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1"/>
  </bookViews>
  <sheets>
    <sheet name="Инструкция" sheetId="1" r:id="rId2"/>
    <sheet name="Титульный" sheetId="2" r:id="rId3"/>
    <sheet name="Список территорий" sheetId="3" r:id="rId4"/>
    <sheet name="Дифференциация" sheetId="4" state="hidden" r:id="rId5"/>
    <sheet name="Перечень тарифов" sheetId="5"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state="hidden" r:id="rId46"/>
    <sheet name="Договоры" sheetId="46" state="hidden" r:id="rId47"/>
    <sheet name="Порядок ТП" sheetId="47"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Т-ТН'!$142:$145</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Т-гор.вода'!$202:$204</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Т-ТН'!$146:$149</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Т-гор.вода'!$205:$207</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тарифов'!$101:$125</definedName>
    <definedName name="BLOCK_PT_HEAT">'Перечень тарифов'!$13:$99</definedName>
    <definedName name="BLOCK_PT_HEAT_NOT_R">'Перечень тарифов'!$85:$89</definedName>
    <definedName name="BLOCK_PT_HEAT_NOT_R_TMP">'Перечень тарифов'!$80:$84</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тарифов'!$127:$141</definedName>
    <definedName name="BLOCK_PT_VOTV">'Перечень тарифов'!$143:$157</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территорий'!$E$31:$I$31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тарифов'!$Z$12:$Z$159</definedName>
    <definedName name="DIFFERENTIATION_TARIFF_VD_ID">'Перечень тарифов'!$AB$12:$AB$159</definedName>
    <definedName name="DIFFERENTIATION_TARIFF_VTAR_ID">'Перечень тарифов'!$AA$12:$AA$159</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Предложение!$L$89</definedName>
    <definedName name="OFFER_METHOD">Предложение!$K$24:$K$87</definedName>
    <definedName name="OFFER_METHOD_FLAG">TEHSHEET!$L$6</definedName>
    <definedName name="OFFER_TARIFF_A_1">Предложение!$24:$26</definedName>
    <definedName name="OFFER_TARIFF_A_2">Предложение!$91:$93</definedName>
    <definedName name="OFFER_TARIFF_A_3">Предложение!$156:$158</definedName>
    <definedName name="OFFER_TARIFF_A_4">Предложение!$221:$223</definedName>
    <definedName name="OFFER_TARIFF_A_5">Предложение!$286:$288</definedName>
    <definedName name="OFFER_TARIFF_A_COLDVSNA_1">Предложение!$55:$57</definedName>
    <definedName name="OFFER_TARIFF_A_COLDVSNA_2">Предложение!$122:$124</definedName>
    <definedName name="OFFER_TARIFF_A_COLDVSNA_3">Предложение!$187:$189</definedName>
    <definedName name="OFFER_TARIFF_A_COLDVSNA_4">Предложение!$252:$254</definedName>
    <definedName name="OFFER_TARIFF_A_COLDVSNA_5">Предложение!$317:$319</definedName>
    <definedName name="OFFER_TARIFF_A_HOTVSNA_1">Предложение!$70:$72</definedName>
    <definedName name="OFFER_TARIFF_A_HOTVSNA_2">Предложение!$137:$139</definedName>
    <definedName name="OFFER_TARIFF_A_HOTVSNA_3">Предложение!$202:$204</definedName>
    <definedName name="OFFER_TARIFF_A_HOTVSNA_4">Предложение!$267:$269</definedName>
    <definedName name="OFFER_TARIFF_A_HOTVSNA_5">Предложение!$332:$334</definedName>
    <definedName name="OFFER_TARIFF_A_VOTV_1">Предложение!$79:$81</definedName>
    <definedName name="OFFER_TARIFF_A_VOTV_2">Предложение!$146:$148</definedName>
    <definedName name="OFFER_TARIFF_A_VOTV_3">Предложение!$211:$213</definedName>
    <definedName name="OFFER_TARIFF_A_VOTV_4">Предложение!$276:$278</definedName>
    <definedName name="OFFER_TARIFF_A_VOTV_5">Предложение!$341:$343</definedName>
    <definedName name="OFFER_TARIFF_B_1">Предложение!$27:$29</definedName>
    <definedName name="OFFER_TARIFF_B_2">Предложение!$94:$96</definedName>
    <definedName name="OFFER_TARIFF_B_3">Предложение!$159:$161</definedName>
    <definedName name="OFFER_TARIFF_B_4">Предложение!$224:$226</definedName>
    <definedName name="OFFER_TARIFF_B_5">Предложение!$289:$291</definedName>
    <definedName name="OFFER_TARIFF_B_COLDVSNA_1">Предложение!$58:$60</definedName>
    <definedName name="OFFER_TARIFF_B_COLDVSNA_2">Предложение!$125:$127</definedName>
    <definedName name="OFFER_TARIFF_B_COLDVSNA_3">Предложение!$190:$192</definedName>
    <definedName name="OFFER_TARIFF_B_COLDVSNA_4">Предложение!$255:$257</definedName>
    <definedName name="OFFER_TARIFF_B_COLDVSNA_5">Предложение!$320:$322</definedName>
    <definedName name="OFFER_TARIFF_B_HOTVSNA_1">Предложение!$73:$75</definedName>
    <definedName name="OFFER_TARIFF_B_HOTVSNA_2">Предложение!$140:$142</definedName>
    <definedName name="OFFER_TARIFF_B_HOTVSNA_3">Предложение!$205:$207</definedName>
    <definedName name="OFFER_TARIFF_B_HOTVSNA_4">Предложение!$270:$272</definedName>
    <definedName name="OFFER_TARIFF_B_HOTVSNA_5">Предложение!$335:$337</definedName>
    <definedName name="OFFER_TARIFF_B_VOTV_1">Предложение!$82:$84</definedName>
    <definedName name="OFFER_TARIFF_B_VOTV_2">Предложение!$149:$151</definedName>
    <definedName name="OFFER_TARIFF_B_VOTV_3">Предложение!$214:$216</definedName>
    <definedName name="OFFER_TARIFF_B_VOTV_4">Предложение!$279:$281</definedName>
    <definedName name="OFFER_TARIFF_B_VOTV_5">Предложение!$344:$346</definedName>
    <definedName name="OFFER_TARIFF_C_1">Предложение!$30:$34</definedName>
    <definedName name="OFFER_TARIFF_C_2">Предложение!$97:$101</definedName>
    <definedName name="OFFER_TARIFF_C_3">Предложение!$162:$166</definedName>
    <definedName name="OFFER_TARIFF_C_4">Предложение!$227:$231</definedName>
    <definedName name="OFFER_TARIFF_C_5">Предложение!$292:$296</definedName>
    <definedName name="OFFER_TARIFF_C_COLDVSNA_1">Предложение!$61:$63</definedName>
    <definedName name="OFFER_TARIFF_C_COLDVSNA_2">Предложение!$128:$130</definedName>
    <definedName name="OFFER_TARIFF_C_COLDVSNA_3">Предложение!$193:$195</definedName>
    <definedName name="OFFER_TARIFF_C_COLDVSNA_4">Предложение!$258:$260</definedName>
    <definedName name="OFFER_TARIFF_C_COLDVSNA_5">Предложение!$323:$325</definedName>
    <definedName name="OFFER_TARIFF_C_HOTVSNA_1">Предложение!$76:$78</definedName>
    <definedName name="OFFER_TARIFF_C_HOTVSNA_2">Предложение!$143:$145</definedName>
    <definedName name="OFFER_TARIFF_C_HOTVSNA_3">Предложение!$208:$210</definedName>
    <definedName name="OFFER_TARIFF_C_HOTVSNA_4">Предложение!$273:$275</definedName>
    <definedName name="OFFER_TARIFF_C_HOTVSNA_5">Предложение!$338:$340</definedName>
    <definedName name="OFFER_TARIFF_C_VOTV_1">Предложение!$85:$87</definedName>
    <definedName name="OFFER_TARIFF_C_VOTV_2">Предложение!$152:$154</definedName>
    <definedName name="OFFER_TARIFF_C_VOTV_3">Предложение!$217:$219</definedName>
    <definedName name="OFFER_TARIFF_C_VOTV_4">Предложение!$282:$284</definedName>
    <definedName name="OFFER_TARIFF_C_VOTV_5">Предложение!$347:$349</definedName>
    <definedName name="OFFER_TARIFF_D_1">Предложение!$35:$39</definedName>
    <definedName name="OFFER_TARIFF_D_2">Предложение!$102:$106</definedName>
    <definedName name="OFFER_TARIFF_D_3">Предложение!$167:$171</definedName>
    <definedName name="OFFER_TARIFF_D_4">Предложение!$232:$236</definedName>
    <definedName name="OFFER_TARIFF_D_5">Предложение!$297:$301</definedName>
    <definedName name="OFFER_TARIFF_D_COLDVSNA_1">Предложение!$64:$66</definedName>
    <definedName name="OFFER_TARIFF_D_COLDVSNA_2">Предложение!$131:$133</definedName>
    <definedName name="OFFER_TARIFF_D_COLDVSNA_3">Предложение!$196:$198</definedName>
    <definedName name="OFFER_TARIFF_D_COLDVSNA_4">Предложение!$261:$263</definedName>
    <definedName name="OFFER_TARIFF_D_COLDVSNA_5">Предложение!$326:$328</definedName>
    <definedName name="OFFER_TARIFF_E_COLDVSNA_1">Предложение!$67:$69</definedName>
    <definedName name="OFFER_TARIFF_E_COLDVSNA_2">Предложение!$134:$136</definedName>
    <definedName name="OFFER_TARIFF_E_COLDVSNA_3">Предложение!$199:$201</definedName>
    <definedName name="OFFER_TARIFF_E_COLDVSNA_4">Предложение!$264:$266</definedName>
    <definedName name="OFFER_TARIFF_E_COLDVSNA_5">Предложение!$329:$331</definedName>
    <definedName name="OFFER_TARIFF_E1_1">Предложение!$40:$42</definedName>
    <definedName name="OFFER_TARIFF_E1_2">Предложение!$107:$109</definedName>
    <definedName name="OFFER_TARIFF_E1_3">Предложение!$172:$174</definedName>
    <definedName name="OFFER_TARIFF_E1_4">Предложение!$237:$239</definedName>
    <definedName name="OFFER_TARIFF_E1_5">Предложение!$302:$304</definedName>
    <definedName name="OFFER_TARIFF_E2_1">Предложение!$43:$45</definedName>
    <definedName name="OFFER_TARIFF_E2_2">Предложение!$110:$112</definedName>
    <definedName name="OFFER_TARIFF_E2_3">Предложение!$175:$177</definedName>
    <definedName name="OFFER_TARIFF_E2_4">Предложение!$240:$242</definedName>
    <definedName name="OFFER_TARIFF_E2_5">Предложение!$305:$307</definedName>
    <definedName name="OFFER_TARIFF_F_1">Предложение!$46:$48</definedName>
    <definedName name="OFFER_TARIFF_F_2">Предложение!$113:$115</definedName>
    <definedName name="OFFER_TARIFF_F_3">Предложение!$178:$180</definedName>
    <definedName name="OFFER_TARIFF_F_4">Предложение!$243:$245</definedName>
    <definedName name="OFFER_TARIFF_F_5">Предложение!$308:$310</definedName>
    <definedName name="OFFER_TARIFF_G_1">Предложение!$49:$51</definedName>
    <definedName name="OFFER_TARIFF_G_2">Предложение!$116:$118</definedName>
    <definedName name="OFFER_TARIFF_G_3">Предложение!$181:$183</definedName>
    <definedName name="OFFER_TARIFF_G_4">Предложение!$246:$248</definedName>
    <definedName name="OFFER_TARIFF_G_5">Предложение!$311:$313</definedName>
    <definedName name="OFFER_TARIFF_H_1">Предложение!$52:$54</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территорий'!$C$12:$C$31</definedName>
    <definedName name="pDel_LT_MO">'Список территорий'!$D$11:$D$31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ТП'!$C$26:$C$45</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ТП'!$A$21:$A$45</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ТП'!$E$35</definedName>
    <definedName name="pIns_P_PROCEDURE_TC_3">'Порядок ТП'!$E$39</definedName>
    <definedName name="pIns_P_PROCEDURE_TC_4">'Порядок ТП'!$E$42</definedName>
    <definedName name="pIns_P_PROCEDURE_TC_5">'Порядок ТП'!$E$45</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Предложение!$G$57</definedName>
    <definedName name="pIns_PT_VTAR_A_COLDVSNA_OFFER_2">Предложение!$G$124</definedName>
    <definedName name="pIns_PT_VTAR_A_COLDVSNA_OFFER_3">Предложение!$G$189</definedName>
    <definedName name="pIns_PT_VTAR_A_COLDVSNA_OFFER_4">Предложение!$G$254</definedName>
    <definedName name="pIns_PT_VTAR_A_COLDVSNA_OFFER_5">Предложение!$G$319</definedName>
    <definedName name="pIns_PT_VTAR_A_COLDVSNA_OFFER5">Предложение!$G$319</definedName>
    <definedName name="pIns_PT_VTAR_A_HOTVSNA">'ГВС. Т-гор.вода'!$T$54</definedName>
    <definedName name="pIns_PT_VTAR_A_HOTVSNA_OFFER_1">Предложение!$G$72</definedName>
    <definedName name="pIns_PT_VTAR_A_HOTVSNA_OFFER_2">Предложение!$G$139</definedName>
    <definedName name="pIns_PT_VTAR_A_HOTVSNA_OFFER_3">Предложение!$G$204</definedName>
    <definedName name="pIns_PT_VTAR_A_HOTVSNA_OFFER_4">Предложение!$G$269</definedName>
    <definedName name="pIns_PT_VTAR_A_HOTVSNA_OFFER_5">Предложение!$G$334</definedName>
    <definedName name="pIns_PT_VTAR_A_OFFER_1">Предложение!$G$26</definedName>
    <definedName name="pIns_PT_VTAR_A_OFFER_2">Предложение!$G$93</definedName>
    <definedName name="pIns_PT_VTAR_A_OFFER_3">Предложение!$G$158</definedName>
    <definedName name="pIns_PT_VTAR_A_OFFER_4">Предложение!$G$223</definedName>
    <definedName name="pIns_PT_VTAR_A_OFFER_5">Предложение!$G$288</definedName>
    <definedName name="pIns_PT_VTAR_A_VOTV">'ВО. Т-во'!$T$53</definedName>
    <definedName name="pIns_PT_VTAR_A_VOTV_OFFER_1">Предложение!$G$81</definedName>
    <definedName name="pIns_PT_VTAR_A_VOTV_OFFER_2">Предложение!$G$148</definedName>
    <definedName name="pIns_PT_VTAR_A_VOTV_OFFER_3">Предложение!$G$213</definedName>
    <definedName name="pIns_PT_VTAR_A_VOTV_OFFER_4">Предложение!$G$278</definedName>
    <definedName name="pIns_PT_VTAR_A_VOTV_OFFER_5">Предложение!$G$343</definedName>
    <definedName name="pIns_PT_VTAR_B">'ТС. Т-ТЭ | ТСО'!$T$57</definedName>
    <definedName name="pIns_PT_VTAR_B_COLDVSNA">'ХВС. Т-тех'!$T$53</definedName>
    <definedName name="pIns_PT_VTAR_B_COLDVSNA_OFFER_1">Предложение!$G$60</definedName>
    <definedName name="pIns_PT_VTAR_B_COLDVSNA_OFFER_2">Предложение!$G$127</definedName>
    <definedName name="pIns_PT_VTAR_B_COLDVSNA_OFFER_3">Предложение!$G$192</definedName>
    <definedName name="pIns_PT_VTAR_B_COLDVSNA_OFFER_4">Предложение!$G$257</definedName>
    <definedName name="pIns_PT_VTAR_B_COLDVSNA_OFFER_5">Предложение!$G$322</definedName>
    <definedName name="pIns_PT_VTAR_B_HOTVSNA">'ГВС. Т-транс'!$T$54</definedName>
    <definedName name="pIns_PT_VTAR_B_HOTVSNA_OFFER_1">Предложение!$G$75</definedName>
    <definedName name="pIns_PT_VTAR_B_HOTVSNA_OFFER_2">Предложение!$G$142</definedName>
    <definedName name="pIns_PT_VTAR_B_HOTVSNA_OFFER_3">Предложение!$G$207</definedName>
    <definedName name="pIns_PT_VTAR_B_HOTVSNA_OFFER_4">Предложение!$G$272</definedName>
    <definedName name="pIns_PT_VTAR_B_HOTVSNA_OFFER_5">Предложение!$G$337</definedName>
    <definedName name="pIns_PT_VTAR_B_OFFER_1">Предложение!$G$29</definedName>
    <definedName name="pIns_PT_VTAR_B_OFFER_2">Предложение!$G$96</definedName>
    <definedName name="pIns_PT_VTAR_B_OFFER_3">Предложение!$G$161</definedName>
    <definedName name="pIns_PT_VTAR_B_OFFER_4">Предложение!$G$226</definedName>
    <definedName name="pIns_PT_VTAR_B_OFFER_5">Предложение!$G$291</definedName>
    <definedName name="pIns_PT_VTAR_B_VOTV">'ВО. Т-транс'!$T$53</definedName>
    <definedName name="pIns_PT_VTAR_B_VOTV_OFFER_1">Предложение!$G$84</definedName>
    <definedName name="pIns_PT_VTAR_B_VOTV_OFFER_2">Предложение!$G$151</definedName>
    <definedName name="pIns_PT_VTAR_B_VOTV_OFFER_3">Предложение!$G$216</definedName>
    <definedName name="pIns_PT_VTAR_B_VOTV_OFFER_4">Предложение!$G$281</definedName>
    <definedName name="pIns_PT_VTAR_B_VOTV_OFFER_5">Предложение!$G$346</definedName>
    <definedName name="pIns_PT_VTAR_C">'ТС. Т-ТН'!$T$141</definedName>
    <definedName name="pIns_PT_VTAR_C_COLDVSNA">'ХВС. Т-транс'!$T$53</definedName>
    <definedName name="pIns_PT_VTAR_C_COLDVSNA_OFFER_1">Предложение!$G$63</definedName>
    <definedName name="pIns_PT_VTAR_C_COLDVSNA_OFFER_2">Предложение!$G$130</definedName>
    <definedName name="pIns_PT_VTAR_C_COLDVSNA_OFFER_3">Предложение!$G$195</definedName>
    <definedName name="pIns_PT_VTAR_C_COLDVSNA_OFFER_4">Предложение!$G$260</definedName>
    <definedName name="pIns_PT_VTAR_C_COLDVSNA_OFFER_5">Предложение!$G$325</definedName>
    <definedName name="pIns_PT_VTAR_C_HOTVSNA">'ГВС. Т-подкл'!$T$63</definedName>
    <definedName name="pIns_PT_VTAR_C_HOTVSNA_OFFER_1">Предложение!$G$78</definedName>
    <definedName name="pIns_PT_VTAR_C_HOTVSNA_OFFER_2">Предложение!$G$145</definedName>
    <definedName name="pIns_PT_VTAR_C_HOTVSNA_OFFER_3">Предложение!$G$210</definedName>
    <definedName name="pIns_PT_VTAR_C_HOTVSNA_OFFER_4">Предложение!$G$275</definedName>
    <definedName name="pIns_PT_VTAR_C_HOTVSNA_OFFER_5">Предложение!$G$340</definedName>
    <definedName name="pIns_PT_VTAR_C_OFFER_1">Предложение!$G$34</definedName>
    <definedName name="pIns_PT_VTAR_C_OFFER_2">Предложение!$G$101</definedName>
    <definedName name="pIns_PT_VTAR_C_OFFER_3">Предложение!$G$166</definedName>
    <definedName name="pIns_PT_VTAR_C_OFFER_4">Предложение!$G$231</definedName>
    <definedName name="pIns_PT_VTAR_C_OFFER_5">Предложение!$G$296</definedName>
    <definedName name="pIns_PT_VTAR_C_VOTV">'ВО. Т-подкл'!$T$63</definedName>
    <definedName name="pIns_PT_VTAR_C_VOTV_OFFER_1">Предложение!$G$87</definedName>
    <definedName name="pIns_PT_VTAR_C_VOTV_OFFER_2">Предложение!$G$154</definedName>
    <definedName name="pIns_PT_VTAR_C_VOTV_OFFER_3">Предложение!$G$219</definedName>
    <definedName name="pIns_PT_VTAR_C_VOTV_OFFER_4">Предложение!$G$284</definedName>
    <definedName name="pIns_PT_VTAR_C_VOTV_OFFER_5">Предложение!$G$349</definedName>
    <definedName name="pIns_PT_VTAR_D">'ТС. Т-гор.вода'!$V$201</definedName>
    <definedName name="pIns_PT_VTAR_D_COLDVSNA">'ХВС. Т-подвоз'!$T$53</definedName>
    <definedName name="pIns_PT_VTAR_D_COLDVSNA_OFFER_1">Предложение!$G$66</definedName>
    <definedName name="pIns_PT_VTAR_D_COLDVSNA_OFFER_2">Предложение!$G$133</definedName>
    <definedName name="pIns_PT_VTAR_D_COLDVSNA_OFFER_3">Предложение!$G$198</definedName>
    <definedName name="pIns_PT_VTAR_D_COLDVSNA_OFFER_4">Предложение!$G$263</definedName>
    <definedName name="pIns_PT_VTAR_D_COLDVSNA_OFFER_5">Предложение!$G$328</definedName>
    <definedName name="pIns_PT_VTAR_D_OFFER_1">Предложение!$G$39</definedName>
    <definedName name="pIns_PT_VTAR_D_OFFER_2">Предложение!$G$106</definedName>
    <definedName name="pIns_PT_VTAR_D_OFFER_3">Предложение!$G$171</definedName>
    <definedName name="pIns_PT_VTAR_D_OFFER_4">Предложение!$G$236</definedName>
    <definedName name="pIns_PT_VTAR_D_OFFER_5">Предложение!$G$301</definedName>
    <definedName name="pIns_PT_VTAR_E_COLDVSNA">'ХВС. Т-подкл'!$T$63</definedName>
    <definedName name="pIns_PT_VTAR_E_COLDVSNA_OFFER_1">Предложение!$G$69</definedName>
    <definedName name="pIns_PT_VTAR_E_COLDVSNA_OFFER_2">Предложение!$G$136</definedName>
    <definedName name="pIns_PT_VTAR_E_COLDVSNA_OFFER_3">Предложение!$G$201</definedName>
    <definedName name="pIns_PT_VTAR_E_COLDVSNA_OFFER_4">Предложение!$G$266</definedName>
    <definedName name="pIns_PT_VTAR_E_COLDVSNA_OFFER_5">Предложение!$G$331</definedName>
    <definedName name="pIns_PT_VTAR_E1">'ТС. Т-передача ТЭ'!$T$57</definedName>
    <definedName name="pIns_PT_VTAR_E1_OFFER_1">Предложение!$G$42</definedName>
    <definedName name="pIns_PT_VTAR_E1_OFFER_2">Предложение!$G$109</definedName>
    <definedName name="pIns_PT_VTAR_E1_OFFER_3">Предложение!$G$174</definedName>
    <definedName name="pIns_PT_VTAR_E1_OFFER_4">Предложение!$G$239</definedName>
    <definedName name="pIns_PT_VTAR_E1_OFFER_5">Предложение!$G$304</definedName>
    <definedName name="pIns_PT_VTAR_E2">'ТС. Т-передача ТН'!$T$57</definedName>
    <definedName name="pIns_PT_VTAR_E2_OFFER_1">Предложение!$G$45</definedName>
    <definedName name="pIns_PT_VTAR_E2_OFFER_2">Предложение!$G$112</definedName>
    <definedName name="pIns_PT_VTAR_E2_OFFER_3">Предложение!$G$177</definedName>
    <definedName name="pIns_PT_VTAR_E2_OFFER_4">Предложение!$G$242</definedName>
    <definedName name="pIns_PT_VTAR_E2_OFFER_5">Предложение!$G$307</definedName>
    <definedName name="pIns_PT_VTAR_F">'ТС. Резерв мощности'!$T$57</definedName>
    <definedName name="pIns_PT_VTAR_F_OFFER_1">Предложение!$G$48</definedName>
    <definedName name="pIns_PT_VTAR_F_OFFER_2">Предложение!$G$115</definedName>
    <definedName name="pIns_PT_VTAR_F_OFFER_3">Предложение!$G$180</definedName>
    <definedName name="pIns_PT_VTAR_F_OFFER_4">Предложение!$G$245</definedName>
    <definedName name="pIns_PT_VTAR_F_OFFER_5">Предложение!$G$310</definedName>
    <definedName name="pIns_PT_VTAR_G">'ТС. Т-подкл'!$T$62</definedName>
    <definedName name="pIns_PT_VTAR_G_OFFER_1">Предложение!$G$51</definedName>
    <definedName name="pIns_PT_VTAR_G_OFFER_2">Предложение!$G$118</definedName>
    <definedName name="pIns_PT_VTAR_G_OFFER_3">Предложение!$G$183</definedName>
    <definedName name="pIns_PT_VTAR_G_OFFER_4">Предложение!$G$248</definedName>
    <definedName name="pIns_PT_VTAR_G_OFFER_5">Предложение!$G$313</definedName>
    <definedName name="pIns_PT_VTAR_H">'ТС. Т-подкл(инд)'!$T$56</definedName>
    <definedName name="pIns_PT_VTAR_H_OFFER_1">Предложение!$G$54</definedName>
    <definedName name="pIns_PT_VTAR_H_OFFER_2">Предложение!$G$121</definedName>
    <definedName name="pIns_PT_VTAR_H_OFFER_3">Предложение!$G$186</definedName>
    <definedName name="pIns_PT_VTAR_H_OFFER_4">Предложение!$G$251</definedName>
    <definedName name="pIns_PT_VTAR_H_OFFER_5">Предложение!$G$316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Т-ТН'!$DF$39</definedName>
    <definedName name="pIns_ver_HEAT_TARIFF_D">'ТС. Т-гор.вода'!$EB$43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Т-ТН'!$45:$58</definedName>
    <definedName name="pt_cs_4">'ТС. Т-гор.вода'!$51:$68</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тарифов'!$AL$12:$AL$159</definedName>
    <definedName name="PT_DIFFERENTIATION_CS_ID">'Перечень тарифов'!$AF$12:$AF$159</definedName>
    <definedName name="PT_DIFFERENTIATION_IST_TE">'Перечень тарифов'!$AM$12:$AM$159</definedName>
    <definedName name="PT_DIFFERENTIATION_IST_TE_ID">'Перечень тарифов'!$AG$12:$AG$159</definedName>
    <definedName name="PT_DIFFERENTIATION_NTAR">'Перечень тарифов'!$AJ$12:$AJ$159</definedName>
    <definedName name="PT_DIFFERENTIATION_NTAR_ID">'Перечень тарифов'!$AD$12:$AD$159</definedName>
    <definedName name="PT_DIFFERENTIATION_NUM_CS">'Перечень тарифов'!$AP$12:$AP$159</definedName>
    <definedName name="PT_DIFFERENTIATION_NUM_IST_TE">'Перечень тарифов'!$AQ$12:$AQ$159</definedName>
    <definedName name="PT_DIFFERENTIATION_NUM_NTAR">'Перечень тарифов'!$AN$12:$AN$159</definedName>
    <definedName name="PT_DIFFERENTIATION_NUM_TER">'Перечень тарифов'!$AO$12:$AO$159</definedName>
    <definedName name="PT_DIFFERENTIATION_TER">'Перечень тарифов'!$AK$12:$AK$159</definedName>
    <definedName name="PT_DIFFERENTIATION_TER_ID">'Перечень тарифов'!$AE$12:$AE$159</definedName>
    <definedName name="PT_DIFFERENTIATION_VDET">'Перечень тарифов'!$AI$12:$AI$159</definedName>
    <definedName name="PT_DIFFERENTIATION_VTAR">'Перечень тарифов'!$AH$12:$AH$159</definedName>
    <definedName name="PT_DIFFERENTIATION_VTAR_ID">'Перечень тарифов'!$AC$12:$AC$159</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тарифов'!$F$85</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Т-ТН'!$46:$57</definedName>
    <definedName name="pt_ist_te_4">'ТС. Т-гор.вода'!$52:$67</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Т-ТН'!$43:$140</definedName>
    <definedName name="pt_ntar_4">'ТС. Т-гор.вода'!$49:$170</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Т-ТН'!$44:$59</definedName>
    <definedName name="pt_ter_4">'ТС. Т-гор.вода'!$50:$69</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тарифов'!$W$158</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Предложение!$L$350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ТП'!$H$46</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Предложение!$L$350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Т-ТН'!$DF$142</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Т-гор.вода'!$EB$202</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территорий'!$I$32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территорий'!$E$11:$I$31</definedName>
    <definedName name="TERRITORY_ID">TEHSHEET!$E$56</definedName>
    <definedName name="TERRITORY_LIST_ID">'Список территорий'!$F$11:$F$31</definedName>
    <definedName name="TERRITORY_MO_LIST">'Список территорий'!$H$11:$H$31</definedName>
    <definedName name="TERRITORY_MR_LIST">'Список территорий'!$G$11:$G$31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REESTR_IP_RANGE">REESTR_IP!$A$2:$I$68</definedName>
    <definedName name="VD_LIST">REESTR_VED!$A$2:$B$11</definedName>
    <definedName name="VD_ID_LIST">REESTR_VED!$A$2:$A$11</definedName>
    <definedName name="VD_NAME_LIST">REESTR_VED!$B$2:$B$11</definedName>
    <definedName name="et_B_FHD20_1">et_union_hor!$127:$135</definedName>
    <definedName name="ter_1">'Список территорий'!$G$13:$I$14</definedName>
    <definedName name="ter_5">'Список территорий'!$G$17:$I$17</definedName>
    <definedName name="ter_51">'Список территорий'!$G$20:$I$20</definedName>
    <definedName name="ter_511">'Список территорий'!$G$23:$I$23</definedName>
    <definedName name="ter_5111">'Список территорий'!$G$26:$I$26</definedName>
    <definedName name="ter_51111">'Список территорий'!$G$29:$I$29</definedName>
    <definedName name="pt_ter_30">'ТС. Т-ТН'!$60:$75</definedName>
    <definedName name="pt_cs_30">'ТС. Т-ТН'!$61:$74</definedName>
    <definedName name="pt_ist_te_30">'ТС. Т-ТН'!$62:$73</definedName>
    <definedName name="pt_ter_31">'ТС. Т-ТН'!$76:$91</definedName>
    <definedName name="pt_cs_31">'ТС. Т-ТН'!$77:$90</definedName>
    <definedName name="pt_ist_te_31">'ТС. Т-ТН'!$78:$89</definedName>
    <definedName name="pt_ter_32">'ТС. Т-ТН'!$92:$107</definedName>
    <definedName name="pt_cs_32">'ТС. Т-ТН'!$93:$106</definedName>
    <definedName name="pt_ist_te_32">'ТС. Т-ТН'!$94:$105</definedName>
    <definedName name="pt_ter_33">'ТС. Т-ТН'!$108:$123</definedName>
    <definedName name="pt_cs_33">'ТС. Т-ТН'!$109:$122</definedName>
    <definedName name="pt_ist_te_33">'ТС. Т-ТН'!$110:$121</definedName>
    <definedName name="pt_ter_34">'ТС. Т-ТН'!$124:$139</definedName>
    <definedName name="pt_cs_34">'ТС. Т-ТН'!$125:$138</definedName>
    <definedName name="pt_ist_te_34">'ТС. Т-ТН'!$126:$137</definedName>
    <definedName name="pt_ter_35">'ТС. Т-ТН'!#REF!</definedName>
    <definedName name="pt_cs_35">'ТС. Т-ТН'!#REF!</definedName>
    <definedName name="pt_ist_te_35">'ТС. Т-ТН'!#REF!</definedName>
    <definedName name="pt_ter_36">'ТС. Т-ТН'!#REF!</definedName>
    <definedName name="pt_cs_36">'ТС. Т-ТН'!#REF!</definedName>
    <definedName name="pt_ist_te_36">'ТС. Т-ТН'!#REF!</definedName>
    <definedName name="pt_ntar_301">'ТС. Т-гор.вода'!$171:$200</definedName>
    <definedName name="pt_ter_37">'ТС. Т-гор.вода'!$172:$185</definedName>
    <definedName name="pt_cs_37">'ТС. Т-гор.вода'!$173:$184</definedName>
    <definedName name="pt_ist_te_37">'ТС. Т-гор.вода'!$174:$183</definedName>
    <definedName name="pt_ter_38">'ТС. Т-гор.вода'!$186:$199</definedName>
    <definedName name="pt_cs_38">'ТС. Т-гор.вода'!$187:$198</definedName>
    <definedName name="pt_ist_te_38">'ТС. Т-гор.вода'!$188:$197</definedName>
    <definedName name="pt_ter_39">'ТС. Т-гор.вода'!$70:$89</definedName>
    <definedName name="pt_cs_39">'ТС. Т-гор.вода'!$71:$88</definedName>
    <definedName name="pt_ist_te_39">'ТС. Т-гор.вода'!$72:$87</definedName>
    <definedName name="pt_ter_40">'ТС. Т-гор.вода'!$90:$109</definedName>
    <definedName name="pt_cs_40">'ТС. Т-гор.вода'!$91:$108</definedName>
    <definedName name="pt_ist_te_40">'ТС. Т-гор.вода'!$92:$107</definedName>
    <definedName name="pt_ter_41">'ТС. Т-гор.вода'!$110:$129</definedName>
    <definedName name="pt_cs_41">'ТС. Т-гор.вода'!$111:$128</definedName>
    <definedName name="pt_ist_te_41">'ТС. Т-гор.вода'!$112:$127</definedName>
    <definedName name="pt_ter_42">'ТС. Т-гор.вода'!$130:$149</definedName>
    <definedName name="pt_cs_42">'ТС. Т-гор.вода'!$131:$148</definedName>
    <definedName name="pt_ist_te_42">'ТС. Т-гор.вода'!$132:$147</definedName>
    <definedName name="pt_ter_43">'ТС. Т-гор.вода'!$150:$169</definedName>
    <definedName name="pt_cs_43">'ТС. Т-гор.вода'!$151:$168</definedName>
    <definedName name="pt_ist_te_43">'ТС. Т-гор.вода'!$152:$167</definedName>
    <definedName name="DESCRIPTION_TERRITORY">REESTR_DS!$B$2:$B$7</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<sst xmlns="http://schemas.openxmlformats.org/spreadsheetml/2006/main" count="19024" uniqueCount="4177">
  <si>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</si>
  <si>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</si>
  <si>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</si>
  <si>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</si>
  <si>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</si>
  <si>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</si>
  <si>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</si>
  <si>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</si>
  <si>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</si>
  <si>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</si>
  <si>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</si>
  <si>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</si>
  <si>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</si>
  <si>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27879909</t>
  </si>
  <si>
    <t>Flag_Row_Size</t>
  </si>
  <si>
    <t>Субъект РФ</t>
  </si>
  <si>
    <t>Хабаровский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</si>
  <si>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</si>
  <si>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</si>
  <si>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</si>
  <si>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</si>
  <si>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</si>
  <si>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</si>
  <si>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</si>
  <si>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</si>
  <si>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</si>
  <si>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</si>
  <si>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</si>
  <si>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</si>
  <si>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</si>
  <si>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</si>
  <si>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</si>
  <si>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</si>
  <si>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</si>
  <si>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</si>
  <si>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</si>
  <si>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</si>
  <si>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</si>
  <si>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</si>
  <si>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</si>
  <si>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</si>
  <si>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 44/9</t>
  </si>
  <si>
    <t>Наименование органа регулирования, принявшего решение об утверждении тарифов</t>
  </si>
  <si>
    <t>Комитет по ценам и тарифам Правительства Хабаровского края</t>
  </si>
  <si>
    <t>Источник официального опубликования решения</t>
  </si>
  <si>
    <t>Официальный интернет - портал нормативных правовых актов Хабаровского края https://laws.khv.gov.ru/</t>
  </si>
  <si>
    <t>Открывается, если Тип отчёта "изменения в раскрытой ранее информации"</t>
  </si>
  <si>
    <t>№ 40/8</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</si>
  <si>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</si>
  <si>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</si>
  <si>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</si>
  <si>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</si>
  <si>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</si>
  <si>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</si>
  <si>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272101001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</si>
  <si>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</si>
  <si>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</si>
  <si>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</si>
  <si>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</si>
  <si>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</si>
  <si>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</si>
  <si>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</si>
  <si>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</si>
  <si>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</si>
  <si>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</si>
  <si>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</si>
  <si>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</si>
  <si>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</si>
  <si>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</si>
  <si>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</si>
  <si>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</si>
  <si>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</si>
  <si>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</si>
  <si>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 Хабаровск, ул. Фрунзе, д. 49</t>
  </si>
  <si>
    <t>Фамилия, имя, отчество руководителя</t>
  </si>
  <si>
    <t>Иртов Сергей Викторович</t>
  </si>
  <si>
    <t>Ответственный за заполнение формы</t>
  </si>
  <si>
    <t>Фамилия, имя, отчество</t>
  </si>
  <si>
    <t>Волоснякова Светлана Алексеевна</t>
  </si>
  <si>
    <t>Должность</t>
  </si>
  <si>
    <t>Заместитель начальника управления экономики</t>
  </si>
  <si>
    <t>Контактный телефон</t>
  </si>
  <si>
    <t>8 4212 26-42-04</t>
  </si>
  <si>
    <t>E-mail</t>
  </si>
  <si>
    <t>volosnyakova-sa@dgk.ru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</si>
  <si>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</si>
  <si>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</si>
  <si>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</si>
  <si>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</si>
  <si>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</si>
  <si>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</si>
  <si>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</si>
  <si>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</si>
  <si>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</si>
  <si>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</si>
  <si>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</si>
  <si>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</si>
  <si>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</si>
  <si>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</si>
  <si>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</si>
  <si>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</si>
  <si>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</si>
  <si>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75</t>
  </si>
  <si>
    <t>Город Хабаровск</t>
  </si>
  <si>
    <t>08701000</t>
  </si>
  <si>
    <t>2</t>
  </si>
  <si>
    <t>×</t>
  </si>
  <si>
    <t>210</t>
  </si>
  <si>
    <t>Хабаровский муниципальный район</t>
  </si>
  <si>
    <t>08655000</t>
  </si>
  <si>
    <t>Добавить МО</t>
  </si>
  <si>
    <t>ter_5</t>
  </si>
  <si>
    <t>74</t>
  </si>
  <si>
    <t>Город Комсомольск-на-Амуре</t>
  </si>
  <si>
    <t>08709000</t>
  </si>
  <si>
    <t>ter_51</t>
  </si>
  <si>
    <t>Амурский муниципальный район</t>
  </si>
  <si>
    <t>Город Амурск</t>
  </si>
  <si>
    <t>08603101</t>
  </si>
  <si>
    <t>ter_511</t>
  </si>
  <si>
    <t>113</t>
  </si>
  <si>
    <t>Николаевский муниципальный район</t>
  </si>
  <si>
    <t>Город Николаевск-на-Амуре</t>
  </si>
  <si>
    <t>08631101</t>
  </si>
  <si>
    <t>5</t>
  </si>
  <si>
    <t>ter_5111</t>
  </si>
  <si>
    <t>45</t>
  </si>
  <si>
    <t>Верхнебуреинский муниципальный район</t>
  </si>
  <si>
    <t>Поселок Чегдомын</t>
  </si>
  <si>
    <t>08614151</t>
  </si>
  <si>
    <t>ter_51111</t>
  </si>
  <si>
    <t>144</t>
  </si>
  <si>
    <t>Советско-Гаванский муниципальный район</t>
  </si>
  <si>
    <t>Поселок Майский</t>
  </si>
  <si>
    <t>08642165</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</si>
  <si>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</si>
  <si>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</si>
  <si>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</si>
  <si>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</si>
  <si>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</si>
  <si>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</si>
  <si>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</si>
  <si>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</si>
  <si>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</si>
  <si>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</si>
  <si>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</si>
  <si>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</si>
  <si>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</si>
  <si>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</si>
  <si>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</si>
  <si>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</si>
  <si>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</si>
  <si>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</si>
  <si>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</si>
  <si>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</si>
  <si>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</si>
  <si>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</si>
  <si>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</si>
  <si>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</si>
  <si>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</si>
  <si>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</si>
  <si>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</si>
  <si>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</si>
  <si>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</si>
  <si>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</si>
  <si>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</si>
  <si>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</si>
  <si>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</si>
  <si>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</si>
  <si>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</si>
  <si>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</si>
  <si>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</si>
  <si>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</si>
  <si>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</si>
  <si>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</si>
  <si>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</si>
  <si>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</si>
  <si>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</si>
  <si>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</si>
  <si>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</si>
  <si>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</si>
  <si>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</si>
  <si>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</si>
  <si>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</si>
  <si>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</si>
  <si>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</si>
  <si>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</si>
  <si>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</si>
  <si>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</si>
  <si>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</si>
  <si>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</si>
  <si>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</si>
  <si>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</si>
  <si>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</si>
  <si>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</si>
  <si>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</si>
  <si>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</si>
  <si>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</si>
  <si>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</si>
  <si>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</si>
  <si>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</si>
  <si>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</si>
  <si>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pt_ter_30</t>
  </si>
  <si>
    <t>pt_cs_30</t>
  </si>
  <si>
    <t>pt_ist_te_30</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</si>
  <si>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</si>
  <si>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 xml:space="preserve">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t>
  </si>
  <si>
    <t>"4190064"; "4190066"; "4190067"; "4190068"; "4190069"; "4190070"; "4190071"</t>
  </si>
  <si>
    <t>pIns_PT_VTAR_D</t>
  </si>
  <si>
    <t>pt_ntar_4</t>
  </si>
  <si>
    <t>pt_ter_4</t>
  </si>
  <si>
    <t>pt_cs_4</t>
  </si>
  <si>
    <t>pt_ist_te_4</t>
  </si>
  <si>
    <t>Добавить источник для дифференциации</t>
  </si>
  <si>
    <t>Добавить централизованную систему для дифференциации</t>
  </si>
  <si>
    <t>pt_ter_39</t>
  </si>
  <si>
    <t>pt_cs_39</t>
  </si>
  <si>
    <t>pt_ist_te_39</t>
  </si>
  <si>
    <t>pt_ter_40</t>
  </si>
  <si>
    <t>pt_cs_40</t>
  </si>
  <si>
    <t>pt_ist_te_40</t>
  </si>
  <si>
    <t>pt_ter_41</t>
  </si>
  <si>
    <t>pt_cs_41</t>
  </si>
  <si>
    <t>pt_ist_te_41</t>
  </si>
  <si>
    <t>pt_ter_42</t>
  </si>
  <si>
    <t>pt_cs_42</t>
  </si>
  <si>
    <t>pt_ist_te_42</t>
  </si>
  <si>
    <t>pt_ter_43</t>
  </si>
  <si>
    <t>pt_cs_43</t>
  </si>
  <si>
    <t>pt_ist_te_43</t>
  </si>
  <si>
    <t>Добавить территорию для дифференциации</t>
  </si>
  <si>
    <t>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(для потребителей, получающих тепловую энергию на коллекторах производителей).</t>
  </si>
  <si>
    <t>pt_ntar_301</t>
  </si>
  <si>
    <t>pt_ter_37</t>
  </si>
  <si>
    <t>pt_cs_37</t>
  </si>
  <si>
    <t>pt_ist_te_37</t>
  </si>
  <si>
    <t>pt_ter_38</t>
  </si>
  <si>
    <t>pt_cs_38</t>
  </si>
  <si>
    <t>pt_ist_te_38</t>
  </si>
  <si>
    <t>Добавить наименование тарифа</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</si>
  <si>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</si>
  <si>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</si>
  <si>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</si>
  <si>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</si>
  <si>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</si>
  <si>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</si>
  <si>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</si>
  <si>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</si>
  <si>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</si>
  <si>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</si>
  <si>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</si>
  <si>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</si>
  <si>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</si>
  <si>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</si>
  <si>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</si>
  <si>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</si>
  <si>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</si>
  <si>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</si>
  <si>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</si>
  <si>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</si>
  <si>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</si>
  <si>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</si>
  <si>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</si>
  <si>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</si>
  <si>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</si>
  <si>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</si>
  <si>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</si>
  <si>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</si>
  <si>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</si>
  <si>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</si>
  <si>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</si>
  <si>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</si>
  <si>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</si>
  <si>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</si>
  <si>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</si>
  <si>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</si>
  <si>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</si>
  <si>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</si>
  <si>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</si>
  <si>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</si>
  <si>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</si>
  <si>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</si>
  <si>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</si>
  <si>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</si>
  <si>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</si>
  <si>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</si>
  <si>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</si>
  <si>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</si>
  <si>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</si>
  <si>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</si>
  <si>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</si>
  <si>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</si>
  <si>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</si>
  <si>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</si>
  <si>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</si>
  <si>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</si>
  <si>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</si>
  <si>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</si>
  <si>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</si>
  <si>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</si>
  <si>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</si>
  <si>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</si>
  <si>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</si>
  <si>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</si>
  <si>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</si>
  <si>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</si>
  <si>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</si>
  <si>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</si>
  <si>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</si>
  <si>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</si>
  <si>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</si>
  <si>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</si>
  <si>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</si>
  <si>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</si>
  <si>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</si>
  <si>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</si>
  <si>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</si>
  <si>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</si>
  <si>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</si>
  <si>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</si>
  <si>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</si>
  <si>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</si>
  <si>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</si>
  <si>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</si>
  <si>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</si>
  <si>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</si>
  <si>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</si>
  <si>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</si>
  <si>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</si>
  <si>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</si>
  <si>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</si>
  <si>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</si>
  <si>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</si>
  <si>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</si>
  <si>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</si>
  <si>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</si>
  <si>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</si>
  <si>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</si>
  <si>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</si>
  <si>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</si>
  <si>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</si>
  <si>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</si>
  <si>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</si>
  <si>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</si>
  <si>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</si>
  <si>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</si>
  <si>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</si>
  <si>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</si>
  <si>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</si>
  <si>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</si>
  <si>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</si>
  <si>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</si>
  <si>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</si>
  <si>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</si>
  <si>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</si>
  <si>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</si>
  <si>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</si>
  <si>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</si>
  <si>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</si>
  <si>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</si>
  <si>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</si>
  <si>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</si>
  <si>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</si>
  <si>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</si>
  <si>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</si>
  <si>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</si>
  <si>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</si>
  <si>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</si>
  <si>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</si>
  <si>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</si>
  <si>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</si>
  <si>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</si>
  <si>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</si>
  <si>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</si>
  <si>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</si>
  <si>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</si>
  <si>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</si>
  <si>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</si>
  <si>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</si>
  <si>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</si>
  <si>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</si>
  <si>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</si>
  <si>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</si>
  <si>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</si>
  <si>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</si>
  <si>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</si>
  <si>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</si>
  <si>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</si>
  <si>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</si>
  <si>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</si>
  <si>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</si>
  <si>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</si>
  <si>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</si>
  <si>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</si>
  <si>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</si>
  <si>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</si>
  <si>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</si>
  <si>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</si>
  <si>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</si>
  <si>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</si>
  <si>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</si>
  <si>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</si>
  <si>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</si>
  <si>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</si>
  <si>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</si>
  <si>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</si>
  <si>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</si>
  <si>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</si>
  <si>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</si>
  <si>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</si>
  <si>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</si>
  <si>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</si>
  <si>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</si>
  <si>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</si>
  <si>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</si>
  <si>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</si>
  <si>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</si>
  <si>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</si>
  <si>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</si>
  <si>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</si>
  <si>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</si>
  <si>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</si>
  <si>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</si>
  <si>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</si>
  <si>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</si>
  <si>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</si>
  <si>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</si>
  <si>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</si>
  <si>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</si>
  <si>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</si>
  <si>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</si>
  <si>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</si>
  <si>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</si>
  <si>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</si>
  <si>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</si>
  <si>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</si>
  <si>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</si>
  <si>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</si>
  <si>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</si>
  <si>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</si>
  <si>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</si>
  <si>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</si>
  <si>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</si>
  <si>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</si>
  <si>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</si>
  <si>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</si>
  <si>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</si>
  <si>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</si>
  <si>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</si>
  <si>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</si>
  <si>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</si>
  <si>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</si>
  <si>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</si>
  <si>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</si>
  <si>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</si>
  <si>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</si>
  <si>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</si>
  <si>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</si>
  <si>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</si>
  <si>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</si>
  <si>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</si>
  <si>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</si>
  <si>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</si>
  <si>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</si>
  <si>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</si>
  <si>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</si>
  <si>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</si>
  <si>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</si>
  <si>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</si>
  <si>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</si>
  <si>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</si>
  <si>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</si>
  <si>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</si>
  <si>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</si>
  <si>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</si>
  <si>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</si>
  <si>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</si>
  <si>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</si>
  <si>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</si>
  <si>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</si>
  <si>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</si>
  <si>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</si>
  <si>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</si>
  <si>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</si>
  <si>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</si>
  <si>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</si>
  <si>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</si>
  <si>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</si>
  <si>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</si>
  <si>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</si>
  <si>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</si>
  <si>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</si>
  <si>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</si>
  <si>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</si>
  <si>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</si>
  <si>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</si>
  <si>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</si>
  <si>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</si>
  <si>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</si>
  <si>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</si>
  <si>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</si>
  <si>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</si>
  <si>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</si>
  <si>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</si>
  <si>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</si>
  <si>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</si>
  <si>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</si>
  <si>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без дифференциации</t>
  </si>
  <si>
    <t>вода</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</si>
  <si>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</si>
  <si>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население</t>
  </si>
  <si>
    <t>pt_ter_31</t>
  </si>
  <si>
    <t>pt_cs_31</t>
  </si>
  <si>
    <t>pt_ist_te_31</t>
  </si>
  <si>
    <t>pt_ter_32</t>
  </si>
  <si>
    <t>pt_cs_32</t>
  </si>
  <si>
    <t>pt_ist_te_32</t>
  </si>
  <si>
    <t>pt_ter_33</t>
  </si>
  <si>
    <t>pt_cs_33</t>
  </si>
  <si>
    <t>pt_ist_te_33</t>
  </si>
  <si>
    <t>pt_ter_34</t>
  </si>
  <si>
    <t>pt_cs_34</t>
  </si>
  <si>
    <t>pt_ist_te_34</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</si>
  <si>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</si>
  <si>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</si>
  <si>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</si>
  <si>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</si>
  <si>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</si>
  <si>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</si>
  <si>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</si>
  <si>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</si>
  <si>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</si>
  <si>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</si>
  <si>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</si>
  <si>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</si>
  <si>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прочие</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</si>
  <si>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</si>
  <si>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</si>
  <si>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</si>
  <si>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</si>
  <si>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</si>
  <si>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</si>
  <si>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</si>
  <si>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</si>
  <si>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</si>
  <si>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</si>
  <si>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</si>
  <si>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</si>
  <si>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</si>
  <si>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</si>
  <si>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</si>
  <si>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</si>
  <si>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</si>
  <si>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</si>
  <si>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</si>
  <si>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</si>
  <si>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</si>
  <si>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</si>
  <si>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</si>
  <si>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</si>
  <si>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</si>
  <si>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</si>
  <si>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</si>
  <si>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</si>
  <si>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</si>
  <si>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</si>
  <si>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</si>
  <si>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</si>
  <si>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</si>
  <si>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</si>
  <si>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</si>
  <si>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</si>
  <si>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</si>
  <si>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</si>
  <si>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</si>
  <si>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</si>
  <si>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</si>
  <si>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</si>
  <si>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</si>
  <si>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</si>
  <si>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</si>
  <si>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</si>
  <si>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</si>
  <si>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</si>
  <si>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</si>
  <si>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</si>
  <si>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</si>
  <si>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</si>
  <si>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</si>
  <si>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</si>
  <si>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</si>
  <si>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</si>
  <si>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</si>
  <si>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</si>
  <si>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</si>
  <si>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</si>
  <si>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</si>
  <si>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</si>
  <si>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</si>
  <si>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</si>
  <si>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</si>
  <si>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</si>
  <si>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</si>
  <si>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</si>
  <si>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</si>
  <si>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</si>
  <si>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</si>
  <si>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</si>
  <si>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</si>
  <si>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</si>
  <si>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</si>
  <si>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</si>
  <si>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</si>
  <si>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</si>
  <si>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</si>
  <si>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</si>
  <si>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</si>
  <si>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</si>
  <si>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</si>
  <si>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</si>
  <si>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</si>
  <si>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</si>
  <si>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</si>
  <si>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</si>
  <si>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</si>
  <si>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</si>
  <si>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</si>
  <si>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</si>
  <si>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</si>
  <si>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</si>
  <si>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</si>
  <si>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</si>
  <si>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</si>
  <si>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</si>
  <si>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</si>
  <si>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</si>
  <si>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</si>
  <si>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</si>
  <si>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</si>
  <si>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</si>
  <si>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</si>
  <si>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</si>
  <si>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</si>
  <si>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</si>
  <si>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</si>
  <si>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</si>
  <si>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</si>
  <si>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</si>
  <si>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</si>
  <si>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</si>
  <si>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</si>
  <si>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</si>
  <si>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</si>
  <si>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</si>
  <si>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</si>
  <si>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</si>
  <si>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</si>
  <si>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</si>
  <si>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</si>
  <si>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</si>
  <si>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</si>
  <si>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</si>
  <si>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</si>
  <si>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</si>
  <si>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</si>
  <si>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</si>
  <si>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</si>
  <si>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</si>
  <si>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</si>
  <si>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</si>
  <si>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</si>
  <si>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</si>
  <si>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</si>
  <si>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</si>
  <si>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</si>
  <si>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</si>
  <si>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</si>
  <si>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</si>
  <si>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</si>
  <si>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</si>
  <si>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</si>
  <si>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</si>
  <si>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</si>
  <si>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</si>
  <si>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</si>
  <si>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</si>
  <si>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</si>
  <si>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</si>
  <si>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</si>
  <si>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</si>
  <si>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</si>
  <si>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</si>
  <si>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</si>
  <si>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</si>
  <si>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</si>
  <si>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</si>
  <si>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</si>
  <si>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</si>
  <si>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</si>
  <si>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</si>
  <si>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</si>
  <si>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</si>
  <si>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</si>
  <si>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</si>
  <si>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</si>
  <si>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</si>
  <si>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</si>
  <si>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</si>
  <si>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</si>
  <si>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</si>
  <si>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</si>
  <si>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</si>
  <si>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</si>
  <si>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</si>
  <si>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</si>
  <si>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</si>
  <si>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</si>
  <si>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</si>
  <si>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</si>
  <si>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</si>
  <si>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</si>
  <si>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</si>
  <si>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</si>
  <si>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</si>
  <si>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</si>
  <si>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</si>
  <si>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</si>
  <si>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</si>
  <si>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</si>
  <si>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</si>
  <si>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</si>
  <si>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</si>
  <si>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</si>
  <si>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</si>
  <si>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</si>
  <si>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</si>
  <si>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</si>
  <si>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</si>
  <si>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</si>
  <si>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</si>
  <si>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</si>
  <si>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</si>
  <si>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</si>
  <si>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</si>
  <si>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</si>
  <si>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</si>
  <si>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</si>
  <si>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</si>
  <si>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</si>
  <si>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</si>
  <si>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</si>
  <si>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</si>
  <si>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</si>
  <si>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</si>
  <si>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</si>
  <si>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</si>
  <si>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</si>
  <si>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</si>
  <si>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</si>
  <si>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</si>
  <si>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</si>
  <si>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</si>
  <si>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</si>
  <si>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</si>
  <si>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</si>
  <si>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</si>
  <si>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</si>
  <si>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</si>
  <si>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</si>
  <si>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</si>
  <si>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</si>
  <si>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</si>
  <si>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</si>
  <si>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</si>
  <si>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</si>
  <si>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</si>
  <si>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</si>
  <si>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</si>
  <si>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</si>
  <si>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</si>
  <si>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</si>
  <si>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</si>
  <si>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</si>
  <si>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</si>
  <si>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</si>
  <si>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</si>
  <si>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</si>
  <si>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</si>
  <si>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</si>
  <si>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</si>
  <si>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</si>
  <si>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</si>
  <si>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</si>
  <si>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</si>
  <si>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</si>
  <si>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</si>
  <si>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</si>
  <si>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</si>
  <si>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</si>
  <si>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</si>
  <si>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</si>
  <si>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</si>
  <si>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</si>
  <si>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</si>
  <si>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</si>
  <si>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</si>
  <si>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</si>
  <si>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</si>
  <si>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</si>
  <si>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</si>
  <si>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</si>
  <si>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</si>
  <si>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</si>
  <si>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</si>
  <si>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</si>
  <si>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</si>
  <si>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</si>
  <si>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</si>
  <si>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</si>
  <si>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</si>
  <si>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</si>
  <si>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</si>
  <si>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</si>
  <si>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</si>
  <si>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</si>
  <si>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</si>
  <si>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</si>
  <si>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</si>
  <si>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</si>
  <si>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</si>
  <si>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</si>
  <si>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</si>
  <si>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</si>
  <si>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</si>
  <si>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</si>
  <si>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</si>
  <si>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</si>
  <si>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</si>
  <si>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</si>
  <si>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</si>
  <si>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</si>
  <si>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</si>
  <si>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</si>
  <si>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</si>
  <si>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</si>
  <si>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</si>
  <si>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</si>
  <si>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</si>
  <si>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</si>
  <si>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</si>
  <si>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</si>
  <si>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</si>
  <si>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</si>
  <si>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</si>
  <si>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</si>
  <si>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</si>
  <si>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</si>
  <si>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</si>
  <si>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</si>
  <si>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</si>
  <si>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</si>
  <si>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</si>
  <si>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</si>
  <si>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</si>
  <si>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</si>
  <si>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</si>
  <si>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</si>
  <si>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</si>
  <si>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</si>
  <si>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</si>
  <si>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</si>
  <si>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</si>
  <si>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</si>
  <si>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</si>
  <si>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</si>
  <si>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</si>
  <si>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</si>
  <si>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</si>
  <si>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</si>
  <si>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</si>
  <si>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</si>
  <si>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</si>
  <si>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</si>
  <si>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</si>
  <si>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</si>
  <si>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</si>
  <si>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</si>
  <si>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</si>
  <si>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</si>
  <si>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</si>
  <si>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</si>
  <si>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</si>
  <si>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</si>
  <si>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</si>
  <si>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</si>
  <si>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</si>
  <si>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</si>
  <si>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</si>
  <si>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</si>
  <si>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</si>
  <si>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</si>
  <si>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</si>
  <si>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</si>
  <si>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</si>
  <si>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</si>
  <si>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</si>
  <si>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</si>
  <si>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</si>
  <si>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</si>
  <si>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</si>
  <si>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</si>
  <si>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</si>
  <si>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</si>
  <si>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</si>
  <si>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</si>
  <si>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</si>
  <si>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</si>
  <si>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</si>
  <si>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</si>
  <si>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</si>
  <si>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</si>
  <si>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</si>
  <si>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</si>
  <si>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</si>
  <si>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</si>
  <si>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</si>
  <si>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</si>
  <si>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</si>
  <si>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</si>
  <si>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</si>
  <si>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</si>
  <si>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</si>
  <si>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</si>
  <si>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</si>
  <si>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</si>
  <si>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</si>
  <si>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</si>
  <si>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</si>
  <si>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</si>
  <si>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</si>
  <si>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</si>
  <si>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</si>
  <si>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</si>
  <si>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</si>
  <si>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</si>
  <si>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</si>
  <si>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</si>
  <si>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</si>
  <si>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</si>
  <si>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</si>
  <si>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</si>
  <si>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</si>
  <si>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</si>
  <si>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</si>
  <si>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</si>
  <si>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</si>
  <si>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</si>
  <si>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</si>
  <si>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</si>
  <si>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</si>
  <si>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</si>
  <si>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</si>
  <si>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</si>
  <si>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</si>
  <si>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</si>
  <si>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</si>
  <si>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</si>
  <si>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</si>
  <si>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</si>
  <si>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</si>
  <si>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</si>
  <si>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</si>
  <si>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</si>
  <si>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</si>
  <si>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</si>
  <si>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</si>
  <si>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</si>
  <si>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</si>
  <si>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</si>
  <si>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</si>
  <si>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</si>
  <si>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</si>
  <si>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</si>
  <si>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</si>
  <si>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</si>
  <si>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</si>
  <si>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</si>
  <si>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</si>
  <si>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</si>
  <si>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</si>
  <si>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</si>
  <si>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</si>
  <si>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</si>
  <si>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</si>
  <si>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</si>
  <si>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</si>
  <si>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</si>
  <si>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</si>
  <si>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</si>
  <si>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</si>
  <si>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</si>
  <si>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</si>
  <si>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</si>
  <si>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</si>
  <si>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</si>
  <si>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</si>
  <si>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</si>
  <si>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</si>
  <si>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</si>
  <si>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</si>
  <si>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</si>
  <si>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</si>
  <si>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</si>
  <si>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</si>
  <si>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</si>
  <si>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</si>
  <si>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</si>
  <si>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</si>
  <si>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</si>
  <si>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</si>
  <si>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</si>
  <si>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</si>
  <si>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</si>
  <si>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</si>
  <si>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</si>
  <si>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</si>
  <si>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</si>
  <si>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</si>
  <si>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</si>
  <si>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</si>
  <si>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</si>
  <si>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</si>
  <si>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</si>
  <si>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</si>
  <si>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</si>
  <si>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</si>
  <si>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</si>
  <si>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</si>
  <si>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</si>
  <si>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</si>
  <si>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</si>
  <si>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</si>
  <si>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</si>
  <si>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</si>
  <si>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</si>
  <si>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</si>
  <si>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</si>
  <si>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</si>
  <si>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</si>
  <si>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</si>
  <si>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</si>
  <si>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</si>
  <si>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</si>
  <si>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</si>
  <si>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</si>
  <si>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</si>
  <si>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</si>
  <si>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</si>
  <si>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</si>
  <si>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</si>
  <si>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</si>
  <si>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</si>
  <si>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</si>
  <si>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</si>
  <si>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</si>
  <si>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</si>
  <si>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</si>
  <si>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</si>
  <si>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</si>
  <si>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</si>
  <si>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</si>
  <si>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</si>
  <si>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</si>
  <si>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</si>
  <si>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</si>
  <si>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</si>
  <si>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</si>
  <si>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</si>
  <si>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</si>
  <si>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</si>
  <si>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</si>
  <si>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</si>
  <si>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</si>
  <si>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</si>
  <si>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</si>
  <si>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</si>
  <si>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</si>
  <si>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</si>
  <si>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</si>
  <si>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</si>
  <si>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</si>
  <si>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</si>
  <si>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</si>
  <si>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</si>
  <si>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</si>
  <si>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</si>
  <si>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</si>
  <si>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</si>
  <si>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</si>
  <si>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</si>
  <si>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</si>
  <si>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</si>
  <si>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</si>
  <si>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</si>
  <si>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</si>
  <si>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</si>
  <si>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</si>
  <si>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</si>
  <si>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</si>
  <si>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</si>
  <si>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</si>
  <si>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</si>
  <si>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</si>
  <si>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</si>
  <si>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</si>
  <si>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</si>
  <si>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</si>
  <si>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</si>
  <si>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</si>
  <si>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</si>
  <si>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</si>
  <si>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</si>
  <si>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</si>
  <si>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</si>
  <si>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</si>
  <si>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</si>
  <si>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</si>
  <si>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</si>
  <si>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</si>
  <si>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</si>
  <si>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</si>
  <si>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</si>
  <si>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</si>
  <si>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</si>
  <si>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</si>
  <si>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</si>
  <si>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</si>
  <si>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</si>
  <si>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</si>
  <si>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</si>
  <si>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</si>
  <si>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</si>
  <si>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</si>
  <si>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</si>
  <si>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</si>
  <si>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</si>
  <si>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</si>
  <si>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</si>
  <si>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</si>
  <si>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</si>
  <si>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</si>
  <si>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</si>
  <si>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</si>
  <si>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</si>
  <si>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</si>
  <si>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</si>
  <si>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</si>
  <si>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</si>
  <si>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</si>
  <si>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</si>
  <si>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</si>
  <si>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</si>
  <si>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</si>
  <si>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</si>
  <si>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</si>
  <si>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</si>
  <si>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</si>
  <si>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</si>
  <si>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</si>
  <si>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</si>
  <si>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</si>
  <si>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</si>
  <si>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</si>
  <si>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</si>
  <si>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</si>
  <si>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</si>
  <si>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</si>
  <si>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</si>
  <si>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</si>
  <si>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</si>
  <si>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</si>
  <si>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</si>
  <si>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</si>
  <si>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</si>
  <si>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</si>
  <si>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</si>
  <si>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</si>
  <si>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</si>
  <si>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</si>
  <si>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</si>
  <si>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</si>
  <si>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</si>
  <si>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</si>
  <si>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</si>
  <si>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</si>
  <si>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</si>
  <si>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</si>
  <si>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</si>
  <si>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</si>
  <si>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</si>
  <si>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</si>
  <si>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</si>
  <si>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</si>
  <si>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</si>
  <si>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</si>
  <si>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</si>
  <si>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</si>
  <si>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сайт АО "ДГК" https://www.dvgk.ru/</t>
  </si>
  <si>
    <t>https://portal.eias.ru/Portal/DownloadPage.aspx?type=12&amp;guid=7862c8d8-133b-4929-b589-103a93e428e3</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</si>
  <si>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</si>
  <si>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https://portal.eias.ru/Portal/DownloadPage.aspx?type=12&amp;guid=89e2e3ac-af3b-4267-94a8-13203598aa40</t>
  </si>
  <si>
    <t>1. Копии правоустанавливающих документов, подтверждающих право собственности; 2. Ситуационный план расположения подключаемого объекта; 3. Топографическая карта земельного участка в масштабе 1:500; 4. Документы, подтверждающие полномочия лица, действующего от имени заявителя; для юридических лиц - копии учредительных документов.</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</si>
  <si>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</si>
  <si>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27.07.2010 № 190-ФЗ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</si>
  <si>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</si>
  <si>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 xml:space="preserve">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утверждены Постановлением Правительства РФ от 05.07.2018 № 787. </t>
  </si>
  <si>
    <t>Градостроительный кодекс Российской Федерации.</t>
  </si>
  <si>
    <t>Федеральный закон от 23.11.2009 г. № 261-ФЗ «Об энергосбережении и повышении энергетической эффективности и о внесении изменений в отдельные законодательные акты Российской Федерации».</t>
  </si>
  <si>
    <t>Постановление Правительства РФ от 22.10.2012 № 1075 «О ценообразовании в сфере теплоснабжения».</t>
  </si>
  <si>
    <t>Методические указания по расчету регулируемых цен (тарифов) в сфере теплоснабжения, утверждены Приказом ФСТ от 13.06.2013 № 760-э</t>
  </si>
  <si>
    <t>5.1.1</t>
  </si>
  <si>
    <t xml:space="preserve">Хабаровские тепловые сети - (4212) 26-63-46; "Комсомольские тепловые сети" - (4217) 23-32-04 </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</si>
  <si>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</si>
  <si>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</si>
  <si>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Хабаровские тепловые сети г. Хабаровск, ул. Флегонтова, 13-а, кабинет 214; "Комсомольские тепловые сети" г.Комсомольск-на-Амуре, ул.Пендрие, 6</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</si>
  <si>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</si>
  <si>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понедельник-пятница: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</si>
  <si>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</si>
  <si>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</si>
  <si>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</si>
  <si>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</si>
  <si>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</si>
  <si>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</si>
  <si>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</si>
  <si>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</si>
  <si>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pt_ntar_30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</si>
  <si>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</si>
  <si>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</si>
  <si>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</si>
  <si>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</si>
  <si>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</si>
  <si>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</si>
  <si>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</si>
  <si>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</si>
  <si>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</si>
  <si>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</si>
  <si>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</si>
  <si>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</si>
  <si>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</si>
  <si>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</si>
  <si>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</si>
  <si>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</si>
  <si>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</si>
  <si>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</si>
  <si>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</si>
  <si>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</si>
  <si>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</si>
  <si>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</si>
  <si>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</si>
  <si>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</si>
  <si>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</si>
  <si>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</si>
  <si>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</si>
  <si>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</si>
  <si>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</si>
  <si>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</si>
  <si>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</si>
  <si>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</si>
  <si>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</si>
  <si>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</si>
  <si>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</si>
  <si>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</si>
  <si>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</si>
  <si>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</si>
  <si>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</si>
  <si>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</si>
  <si>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</si>
  <si>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</si>
  <si>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</si>
  <si>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</si>
  <si>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</si>
  <si>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</si>
  <si>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</si>
  <si>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</si>
  <si>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</si>
  <si>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</si>
  <si>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</si>
  <si>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</si>
  <si>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</si>
  <si>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</si>
  <si>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</si>
  <si>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</si>
  <si>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</si>
  <si>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</si>
  <si>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</si>
  <si>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</si>
  <si>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</si>
  <si>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</si>
  <si>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</si>
  <si>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</si>
  <si>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</si>
  <si>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</si>
  <si>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</si>
  <si>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</si>
  <si>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</si>
  <si>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</si>
  <si>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</si>
  <si>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</si>
  <si>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</si>
  <si>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</si>
  <si>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</si>
  <si>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</si>
  <si>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</si>
  <si>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</si>
  <si>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</si>
  <si>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</si>
  <si>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</si>
  <si>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</si>
  <si>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</si>
  <si>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</si>
  <si>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</si>
  <si>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</si>
  <si>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</si>
  <si>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</si>
  <si>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</si>
  <si>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</si>
  <si>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</si>
  <si>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</si>
  <si>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</si>
  <si>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</si>
  <si>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</si>
  <si>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</si>
  <si>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</si>
  <si>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</si>
  <si>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</si>
  <si>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</si>
  <si>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</si>
  <si>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</si>
  <si>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</si>
  <si>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</si>
  <si>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</si>
  <si>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</si>
  <si>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</si>
  <si>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</si>
  <si>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</si>
  <si>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</si>
  <si>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</si>
  <si>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</si>
  <si>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</si>
  <si>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</si>
  <si>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</si>
  <si>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</si>
  <si>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</si>
  <si>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</si>
  <si>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</si>
  <si>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</si>
  <si>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</si>
  <si>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</si>
  <si>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</si>
  <si>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</si>
  <si>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</si>
  <si>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</si>
  <si>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</si>
  <si>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</si>
  <si>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</si>
  <si>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</si>
  <si>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</si>
  <si>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</si>
  <si>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</si>
  <si>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</si>
  <si>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</si>
  <si>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</si>
  <si>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</si>
  <si>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</si>
  <si>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</si>
  <si>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</si>
  <si>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</si>
  <si>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</si>
  <si>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</si>
  <si>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</si>
  <si>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</si>
  <si>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</si>
  <si>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</si>
  <si>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</si>
  <si>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</si>
  <si>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</si>
  <si>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</si>
  <si>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</si>
  <si>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</si>
  <si>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</si>
  <si>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</si>
  <si>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</si>
  <si>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</si>
  <si>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</si>
  <si>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</si>
  <si>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</si>
  <si>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</si>
  <si>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</si>
  <si>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</si>
  <si>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</si>
  <si>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</si>
  <si>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</si>
  <si>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</si>
  <si>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</si>
  <si>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</si>
  <si>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</si>
  <si>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</si>
  <si>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</si>
  <si>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</si>
  <si>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</si>
  <si>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</si>
  <si>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</si>
  <si>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</si>
  <si>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</si>
  <si>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</si>
  <si>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</si>
  <si>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</si>
  <si>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</si>
  <si>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</si>
  <si>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</si>
  <si>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</si>
  <si>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</si>
  <si>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</si>
  <si>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</si>
  <si>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</si>
  <si>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</si>
  <si>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</si>
  <si>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</si>
  <si>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</si>
  <si>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</si>
  <si>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</si>
  <si>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</si>
  <si>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</si>
  <si>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</si>
  <si>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</si>
  <si>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</si>
  <si>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</si>
  <si>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</si>
  <si>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</si>
  <si>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</si>
  <si>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</si>
  <si>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</si>
  <si>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</si>
  <si>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</si>
  <si>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</si>
  <si>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</si>
  <si>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</si>
  <si>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</si>
  <si>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</si>
  <si>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</si>
  <si>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</si>
  <si>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</si>
  <si>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</si>
  <si>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</si>
  <si>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</si>
  <si>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</si>
  <si>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</si>
  <si>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</si>
  <si>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</si>
  <si>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</si>
  <si>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</si>
  <si>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</si>
  <si>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</si>
  <si>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</si>
  <si>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</si>
  <si>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</si>
  <si>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</si>
  <si>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</si>
  <si>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</si>
  <si>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</si>
  <si>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</si>
  <si>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</si>
  <si>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</si>
  <si>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</si>
  <si>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</si>
  <si>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</si>
  <si>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</si>
  <si>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</si>
  <si>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</si>
  <si>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</si>
  <si>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</si>
  <si>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</si>
  <si>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</si>
  <si>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</si>
  <si>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</si>
  <si>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</si>
  <si>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</si>
  <si>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</si>
  <si>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</si>
  <si>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</si>
  <si>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</si>
  <si>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</si>
  <si>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</si>
  <si>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</si>
  <si>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</si>
  <si>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</si>
  <si>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</si>
  <si>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</si>
  <si>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</si>
  <si>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</si>
  <si>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</si>
  <si>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</si>
  <si>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</si>
  <si>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</si>
  <si>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</si>
  <si>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</si>
  <si>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</si>
  <si>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</si>
  <si>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</si>
  <si>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</si>
  <si>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</si>
  <si>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</si>
  <si>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</si>
  <si>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</si>
  <si>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</si>
  <si>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</si>
  <si>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</si>
  <si>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</si>
  <si>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</si>
  <si>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</si>
  <si>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</si>
  <si>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</si>
  <si>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</si>
  <si>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</si>
  <si>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</si>
  <si>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</si>
  <si>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</si>
  <si>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</si>
  <si>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</si>
  <si>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</si>
  <si>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</si>
  <si>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</si>
  <si>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</si>
  <si>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</si>
  <si>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</si>
  <si>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</si>
  <si>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</si>
  <si>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</si>
  <si>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</si>
  <si>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</si>
  <si>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</si>
  <si>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</si>
  <si>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</si>
  <si>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</si>
  <si>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</si>
  <si>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</si>
  <si>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</si>
  <si>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</si>
  <si>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</si>
  <si>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</si>
  <si>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</si>
  <si>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</si>
  <si>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</si>
  <si>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</si>
  <si>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</si>
  <si>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</si>
  <si>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</si>
  <si>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</si>
  <si>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</si>
  <si>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</si>
  <si>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</si>
  <si>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</si>
  <si>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</si>
  <si>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</si>
  <si>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</si>
  <si>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</si>
  <si>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</si>
  <si>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</si>
  <si>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</si>
  <si>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</si>
  <si>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</si>
  <si>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</si>
  <si>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</si>
  <si>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</si>
  <si>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</si>
  <si>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</si>
  <si>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</si>
  <si>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</si>
  <si>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</si>
  <si>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</si>
  <si>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</si>
  <si>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</si>
  <si>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</si>
  <si>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</si>
  <si>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</si>
  <si>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</si>
  <si>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</si>
  <si>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</si>
  <si>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</si>
  <si>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</si>
  <si>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</si>
  <si>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</si>
  <si>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</si>
  <si>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</si>
  <si>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</si>
  <si>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</si>
  <si>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</si>
  <si>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</si>
  <si>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</si>
  <si>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</si>
  <si>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</si>
  <si>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</si>
  <si>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</si>
  <si>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</si>
  <si>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</si>
  <si>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</si>
  <si>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</si>
  <si>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</si>
  <si>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</si>
  <si>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</si>
  <si>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</si>
  <si>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</si>
  <si>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</si>
  <si>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</si>
  <si>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</si>
  <si>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</si>
  <si>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</si>
  <si>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</si>
  <si>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</si>
  <si>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</si>
  <si>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</si>
  <si>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</si>
  <si>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</si>
  <si>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</si>
  <si>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</si>
  <si>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</si>
  <si>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</si>
  <si>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</si>
  <si>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</si>
  <si>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</si>
  <si>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</si>
  <si>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</si>
  <si>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</si>
  <si>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</si>
  <si>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</si>
  <si>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</si>
  <si>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</si>
  <si>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</si>
  <si>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</si>
  <si>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</si>
  <si>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</si>
  <si>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</si>
  <si>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</si>
  <si>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</si>
  <si>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</si>
  <si>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</si>
  <si>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</si>
  <si>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</si>
  <si>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</si>
  <si>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</si>
  <si>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</si>
  <si>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</si>
  <si>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</si>
  <si>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</si>
  <si>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</si>
  <si>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</si>
  <si>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</si>
  <si>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</si>
  <si>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</si>
  <si>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</si>
  <si>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</si>
  <si>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</si>
  <si>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</si>
  <si>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</si>
  <si>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</si>
  <si>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</si>
  <si>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</si>
  <si>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</si>
  <si>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</si>
  <si>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</si>
  <si>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</si>
  <si>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</si>
  <si>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</si>
  <si>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</si>
  <si>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</si>
  <si>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</si>
  <si>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</si>
  <si>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</si>
  <si>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</si>
  <si>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</si>
  <si>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</si>
  <si>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</si>
  <si>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</si>
  <si>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</si>
  <si>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</si>
  <si>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</si>
  <si>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</si>
  <si>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</si>
  <si>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</si>
  <si>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</si>
  <si>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</si>
  <si>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</si>
  <si>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</si>
  <si>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</si>
  <si>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</si>
  <si>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</si>
  <si>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</si>
  <si>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</si>
  <si>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</si>
  <si>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</si>
  <si>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</si>
  <si>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</si>
  <si>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</si>
  <si>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</si>
  <si>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</si>
  <si>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</si>
  <si>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</si>
  <si>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</si>
  <si>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</si>
  <si>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</si>
  <si>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</si>
  <si>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</si>
  <si>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</si>
  <si>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</si>
  <si>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</si>
  <si>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</si>
  <si>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</si>
  <si>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</si>
  <si>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</si>
  <si>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</si>
  <si>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</si>
  <si>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</si>
  <si>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</si>
  <si>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</si>
  <si>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</si>
  <si>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</si>
  <si>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</si>
  <si>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</si>
  <si>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</si>
  <si>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</si>
  <si>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</si>
  <si>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</si>
  <si>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</si>
  <si>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</si>
  <si>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</si>
  <si>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</si>
  <si>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</si>
  <si>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</si>
  <si>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</si>
  <si>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</si>
  <si>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</si>
  <si>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</si>
  <si>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</si>
  <si>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</si>
  <si>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</si>
  <si>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</si>
  <si>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</si>
  <si>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</si>
  <si>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</si>
  <si>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</si>
  <si>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</si>
  <si>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</si>
  <si>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</si>
  <si>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</si>
  <si>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</si>
  <si>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</si>
  <si>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</si>
  <si>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</si>
  <si>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</si>
  <si>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</si>
  <si>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</si>
  <si>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</si>
  <si>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</si>
  <si>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</si>
  <si>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</si>
  <si>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</si>
  <si>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</si>
  <si>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</si>
  <si>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</si>
  <si>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</si>
  <si>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</si>
  <si>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</si>
  <si>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</si>
  <si>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</si>
  <si>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</si>
  <si>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</si>
  <si>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</si>
  <si>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</si>
  <si>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</si>
  <si>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</si>
  <si>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</si>
  <si>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</si>
  <si>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</si>
  <si>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</si>
  <si>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</si>
  <si>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</si>
  <si>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</si>
  <si>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</si>
  <si>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</si>
  <si>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</si>
  <si>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</si>
  <si>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</si>
  <si>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</si>
  <si>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</si>
  <si>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</si>
  <si>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</si>
  <si>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</si>
  <si>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</si>
  <si>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</si>
  <si>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</si>
  <si>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</si>
  <si>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</si>
  <si>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</si>
  <si>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</si>
  <si>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</si>
  <si>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</si>
  <si>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</si>
  <si>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</si>
  <si>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</si>
  <si>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</si>
  <si>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</si>
  <si>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</si>
  <si>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</si>
  <si>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</si>
  <si>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</si>
  <si>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</si>
  <si>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</si>
  <si>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</si>
  <si>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</si>
  <si>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</si>
  <si>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</si>
  <si>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</si>
  <si>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</si>
  <si>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</si>
  <si>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</si>
  <si>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</si>
  <si>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</si>
  <si>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</si>
  <si>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</si>
  <si>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</si>
  <si>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</si>
  <si>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</si>
  <si>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</si>
  <si>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</si>
  <si>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</si>
  <si>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</si>
  <si>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</si>
  <si>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</si>
  <si>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</si>
  <si>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</si>
  <si>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</si>
  <si>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</si>
  <si>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</si>
  <si>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</si>
  <si>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</si>
  <si>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</si>
  <si>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</si>
  <si>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</si>
  <si>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</si>
  <si>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</si>
  <si>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</si>
  <si>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</si>
  <si>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</si>
  <si>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</si>
  <si>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</si>
  <si>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</si>
  <si>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</si>
  <si>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</si>
  <si>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</si>
  <si>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</si>
  <si>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</si>
  <si>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</si>
  <si>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</si>
  <si>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</si>
  <si>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</si>
  <si>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</si>
  <si>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</si>
  <si>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</si>
  <si>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</si>
  <si>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</si>
  <si>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</si>
  <si>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</si>
  <si>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</si>
  <si>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</si>
  <si>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</si>
  <si>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</si>
  <si>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</si>
  <si>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</si>
  <si>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</si>
  <si>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</si>
  <si>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</si>
  <si>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</si>
  <si>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</si>
  <si>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</si>
  <si>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</si>
  <si>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</si>
  <si>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</si>
  <si>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</si>
  <si>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</si>
  <si>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</si>
  <si>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</si>
  <si>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</si>
  <si>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</si>
  <si>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</si>
  <si>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</si>
  <si>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</si>
  <si>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</si>
  <si>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</si>
  <si>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</si>
  <si>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</si>
  <si>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</si>
  <si>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</si>
  <si>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</si>
  <si>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</si>
  <si>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</si>
  <si>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</si>
  <si>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</si>
  <si>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</si>
  <si>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</si>
  <si>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</si>
  <si>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</si>
  <si>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</si>
  <si>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</si>
  <si>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</si>
  <si>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</si>
  <si>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</si>
  <si>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</si>
  <si>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</si>
  <si>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</si>
  <si>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</si>
  <si>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</si>
  <si>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</si>
  <si>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</si>
  <si>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</si>
  <si>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</si>
  <si>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</si>
  <si>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</si>
  <si>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</si>
  <si>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</si>
  <si>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</si>
  <si>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</si>
  <si>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</si>
  <si>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</si>
  <si>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</si>
  <si>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</si>
  <si>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</si>
  <si>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</si>
  <si>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</si>
  <si>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</si>
  <si>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</si>
  <si>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</si>
  <si>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</si>
  <si>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</si>
  <si>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</si>
  <si>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</si>
  <si>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</si>
  <si>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</si>
  <si>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</si>
  <si>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</si>
  <si>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</si>
  <si>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</si>
  <si>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</si>
  <si>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</si>
  <si>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</si>
  <si>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</si>
  <si>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</si>
  <si>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</si>
  <si>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</si>
  <si>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</si>
  <si>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</si>
  <si>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</si>
  <si>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</si>
  <si>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</si>
  <si>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</si>
  <si>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</si>
  <si>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</si>
  <si>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</si>
  <si>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</si>
  <si>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</si>
  <si>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</si>
  <si>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</si>
  <si>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</si>
  <si>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</si>
  <si>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</si>
  <si>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</si>
  <si>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</si>
  <si>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</si>
  <si>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</si>
  <si>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Внесены изменения в связи с корректировкой тарифов на 2025 год</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</si>
  <si>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</si>
  <si>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</si>
  <si>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</si>
  <si>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</si>
  <si>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</si>
  <si>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</si>
  <si>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</si>
  <si>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</si>
  <si>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</si>
  <si>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</si>
  <si>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</si>
  <si>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</si>
  <si>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</si>
  <si>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</si>
  <si>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</si>
  <si>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</si>
  <si>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</si>
  <si>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</si>
  <si>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</si>
  <si>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</si>
  <si>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</si>
  <si>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</si>
  <si>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</si>
  <si>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</si>
  <si>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</si>
  <si>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</si>
  <si>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</si>
  <si>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</si>
  <si>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</si>
  <si>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</si>
  <si>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</si>
  <si>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</si>
  <si>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</si>
  <si>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</si>
  <si>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</si>
  <si>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</si>
  <si>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</si>
  <si>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</si>
  <si>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</si>
  <si>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</si>
  <si>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</si>
  <si>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</si>
  <si>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</si>
  <si>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</si>
  <si>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</si>
  <si>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</si>
  <si>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</si>
  <si>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</si>
  <si>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</si>
  <si>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</si>
  <si>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</si>
  <si>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</si>
  <si>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</si>
  <si>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</si>
  <si>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</si>
  <si>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</si>
  <si>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</si>
  <si>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</si>
  <si>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</si>
  <si>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</si>
  <si>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</si>
  <si>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</si>
  <si>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</si>
  <si>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</si>
  <si>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</si>
  <si>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</si>
  <si>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</si>
  <si>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</si>
  <si>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</si>
  <si>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</si>
  <si>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</si>
  <si>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</si>
  <si>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</si>
  <si>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</si>
  <si>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</si>
  <si>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</si>
  <si>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</si>
  <si>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</si>
  <si>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</si>
  <si>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</si>
  <si>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</si>
  <si>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</si>
  <si>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</si>
  <si>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</si>
  <si>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</si>
  <si>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</si>
  <si>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</si>
  <si>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</si>
  <si>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</si>
  <si>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</si>
  <si>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</si>
  <si>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</si>
  <si>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</si>
  <si>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</si>
  <si>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</si>
  <si>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</si>
  <si>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</si>
  <si>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</si>
  <si>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</si>
  <si>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</si>
  <si>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</si>
  <si>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</si>
  <si>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</si>
  <si>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</si>
  <si>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</si>
  <si>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</si>
  <si>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</si>
  <si>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</si>
  <si>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</si>
  <si>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</si>
  <si>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</si>
  <si>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</si>
  <si>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</si>
  <si>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</si>
  <si>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</si>
  <si>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</si>
  <si>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</si>
  <si>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</si>
  <si>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</si>
  <si>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</si>
  <si>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</si>
  <si>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</si>
  <si>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</si>
  <si>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</si>
  <si>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</si>
  <si>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</si>
  <si>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</si>
  <si>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</si>
  <si>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</si>
  <si>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</si>
  <si>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</si>
  <si>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</si>
  <si>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</si>
  <si>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</si>
  <si>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</si>
  <si>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</si>
  <si>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</si>
  <si>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</si>
  <si>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</si>
  <si>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</si>
  <si>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</si>
  <si>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</si>
  <si>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</si>
  <si>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</si>
  <si>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</si>
  <si>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</si>
  <si>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</si>
  <si>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</si>
  <si>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</si>
  <si>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</si>
  <si>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</si>
  <si>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</si>
  <si>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</si>
  <si>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</si>
  <si>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</si>
  <si>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</si>
  <si>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</si>
  <si>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</si>
  <si>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</si>
  <si>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</si>
  <si>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</si>
  <si>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</si>
  <si>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</si>
  <si>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</si>
  <si>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</si>
  <si>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</si>
  <si>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</si>
  <si>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</si>
  <si>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</si>
  <si>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</si>
  <si>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</si>
  <si>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</si>
  <si>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</si>
  <si>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</si>
  <si>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</si>
  <si>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</si>
  <si>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</si>
  <si>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</si>
  <si>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</si>
  <si>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</si>
  <si>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</si>
  <si>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</si>
  <si>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</si>
  <si>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</si>
  <si>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</si>
  <si>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</si>
  <si>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</si>
  <si>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</si>
  <si>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</si>
  <si>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</si>
  <si>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</si>
  <si>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</si>
  <si>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</si>
  <si>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</si>
  <si>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</si>
  <si>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</si>
  <si>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</si>
  <si>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</si>
  <si>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</si>
  <si>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</si>
  <si>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</si>
  <si>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</si>
  <si>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</si>
  <si>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</si>
  <si>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</si>
  <si>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</si>
  <si>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</si>
  <si>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</si>
  <si>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</si>
  <si>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</si>
  <si>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</si>
  <si>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</si>
  <si>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</si>
  <si>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</si>
  <si>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</si>
  <si>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</si>
  <si>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</si>
  <si>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</si>
  <si>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</si>
  <si>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</si>
  <si>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</si>
  <si>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</si>
  <si>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</si>
  <si>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</si>
  <si>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</si>
  <si>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</si>
  <si>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</si>
  <si>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</si>
  <si>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</si>
  <si>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</si>
  <si>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</si>
  <si>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</si>
  <si>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</si>
  <si>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</si>
  <si>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</si>
  <si>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</si>
  <si>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</si>
  <si>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</si>
  <si>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</si>
  <si>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</si>
  <si>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</si>
  <si>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</si>
  <si>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</si>
  <si>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</si>
  <si>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</si>
  <si>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</si>
  <si>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</si>
  <si>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</si>
  <si>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</si>
  <si>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</si>
  <si>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</si>
  <si>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</si>
  <si>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</si>
  <si>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</si>
  <si>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</si>
  <si>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</si>
  <si>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</si>
  <si>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</si>
  <si>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</si>
  <si>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</si>
  <si>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</si>
  <si>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</si>
  <si>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</si>
  <si>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</si>
  <si>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</si>
  <si>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</si>
  <si>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</si>
  <si>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</si>
  <si>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</si>
  <si>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</si>
  <si>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</si>
  <si>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</si>
  <si>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</si>
  <si>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</si>
  <si>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</si>
  <si>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</si>
  <si>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</si>
  <si>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</si>
  <si>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</si>
  <si>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</si>
  <si>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</si>
  <si>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</si>
  <si>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</si>
  <si>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</si>
  <si>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</si>
  <si>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</si>
  <si>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</si>
  <si>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</si>
  <si>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</si>
  <si>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</si>
  <si>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</si>
  <si>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</si>
  <si>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</si>
  <si>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</si>
  <si>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</si>
  <si>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</si>
  <si>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</si>
  <si>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</si>
  <si>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</si>
  <si>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</si>
  <si>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</si>
  <si>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</si>
  <si>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</si>
  <si>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</si>
  <si>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</si>
  <si>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</si>
  <si>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</si>
  <si>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</si>
  <si>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</si>
  <si>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</si>
  <si>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</si>
  <si>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</si>
  <si>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</si>
  <si>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</si>
  <si>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</si>
  <si>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</si>
  <si>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</si>
  <si>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</si>
  <si>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</si>
  <si>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</si>
  <si>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</si>
  <si>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</si>
  <si>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</si>
  <si>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</si>
  <si>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</si>
  <si>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</si>
  <si>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</si>
  <si>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</si>
  <si>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</si>
  <si>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</si>
  <si>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</si>
  <si>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</si>
  <si>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</si>
  <si>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</si>
  <si>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</si>
  <si>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</si>
  <si>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</si>
  <si>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</si>
  <si>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</si>
  <si>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</si>
  <si>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</si>
  <si>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</si>
  <si>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</si>
  <si>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</si>
  <si>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</si>
  <si>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</si>
  <si>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</si>
  <si>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</si>
  <si>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</si>
  <si>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</si>
  <si>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2665</t>
  </si>
  <si>
    <t>26560525</t>
  </si>
  <si>
    <t>АО "ГУ ЖКХ"</t>
  </si>
  <si>
    <t>5116000922</t>
  </si>
  <si>
    <t>511601001</t>
  </si>
  <si>
    <t>13-05-2009 00:00:00</t>
  </si>
  <si>
    <t>26355301</t>
  </si>
  <si>
    <t>АО "Газпром газораспределение Дальний Восток"</t>
  </si>
  <si>
    <t>2722010548</t>
  </si>
  <si>
    <t>272201001</t>
  </si>
  <si>
    <t>19-12-2005 00:00:00</t>
  </si>
  <si>
    <t>27051081</t>
  </si>
  <si>
    <t>997450001</t>
  </si>
  <si>
    <t>26508105</t>
  </si>
  <si>
    <t>АО "ДГК" (СП "Хабаровские тепловые сети", СП "Комсомольские тепловые сети")</t>
  </si>
  <si>
    <t>272302001</t>
  </si>
  <si>
    <t>26810797</t>
  </si>
  <si>
    <t>АО "ДГК" СП Амурская ТЭЦ-1</t>
  </si>
  <si>
    <t>270632001</t>
  </si>
  <si>
    <t>26810792</t>
  </si>
  <si>
    <t>АО "ДГК" СП Комсомольская ТЭЦ-2</t>
  </si>
  <si>
    <t>270332002</t>
  </si>
  <si>
    <t>26810794</t>
  </si>
  <si>
    <t>АО "ДГК" СП Комсомольская ТЭЦ-3</t>
  </si>
  <si>
    <t>270332003</t>
  </si>
  <si>
    <t>26810802</t>
  </si>
  <si>
    <t>АО "ДГК" СП Майская ГРЭС</t>
  </si>
  <si>
    <t>270432001</t>
  </si>
  <si>
    <t>26810799</t>
  </si>
  <si>
    <t>АО "ДГК" СП Николаевская ТЭЦ</t>
  </si>
  <si>
    <t>270532001</t>
  </si>
  <si>
    <t>26813396</t>
  </si>
  <si>
    <t>АО "ДГК" СП Ургальская ЦЭС</t>
  </si>
  <si>
    <t>271032001</t>
  </si>
  <si>
    <t>26809557</t>
  </si>
  <si>
    <t>АО "ДГК" СП Хабаровская ТЭЦ-1</t>
  </si>
  <si>
    <t>272332001</t>
  </si>
  <si>
    <t>26813392</t>
  </si>
  <si>
    <t>АО "ДГК" СП Хабаровская ТЭЦ-2</t>
  </si>
  <si>
    <t>272232001</t>
  </si>
  <si>
    <t>26810789</t>
  </si>
  <si>
    <t>АО "ДГК" СП Хабаровская ТЭЦ-3</t>
  </si>
  <si>
    <t>272532001</t>
  </si>
  <si>
    <t>26322968</t>
  </si>
  <si>
    <t>АО "ДГК" филиал "Хабаровская генерация"</t>
  </si>
  <si>
    <t>272102001</t>
  </si>
  <si>
    <t>26355300</t>
  </si>
  <si>
    <t>АО "ННК-Хабаровский НПЗ"</t>
  </si>
  <si>
    <t>2722010040</t>
  </si>
  <si>
    <t>28445259</t>
  </si>
  <si>
    <t>АО "РАО ЭС Востока"</t>
  </si>
  <si>
    <t>2801133630</t>
  </si>
  <si>
    <t>272401001</t>
  </si>
  <si>
    <t>01-07-2008 00:00:00</t>
  </si>
  <si>
    <t>30802883</t>
  </si>
  <si>
    <t>АО "Спецавтохозяйство по санитарной очистке города Хабаровска"</t>
  </si>
  <si>
    <t>2724211786</t>
  </si>
  <si>
    <t>14-04-2016 00:00:00</t>
  </si>
  <si>
    <t>26355251</t>
  </si>
  <si>
    <t>АО "Ургалуголь"</t>
  </si>
  <si>
    <t>2710001186</t>
  </si>
  <si>
    <t>271001001</t>
  </si>
  <si>
    <t>30856449</t>
  </si>
  <si>
    <t>АО "ФПК" (Вагонный участок Хабаровск-СП Дальневосточного филиала - АО "ФПК")</t>
  </si>
  <si>
    <t>7708709686</t>
  </si>
  <si>
    <t>272443001</t>
  </si>
  <si>
    <t>26448699</t>
  </si>
  <si>
    <t>АО "ХАБАРОВСКИЙ АЭРОПОРТ"</t>
  </si>
  <si>
    <t>2724083654</t>
  </si>
  <si>
    <t>28441406</t>
  </si>
  <si>
    <t>АО "ХЭС"</t>
  </si>
  <si>
    <t>2721202328</t>
  </si>
  <si>
    <t>24-06-2013 00:00:00</t>
  </si>
  <si>
    <t>27573242</t>
  </si>
  <si>
    <t>Администрация Инского сельского поселения</t>
  </si>
  <si>
    <t>2715001158</t>
  </si>
  <si>
    <t>271501001</t>
  </si>
  <si>
    <t>18-11-2024 00:00:00</t>
  </si>
  <si>
    <t>26448737</t>
  </si>
  <si>
    <t>Администрация Резидентского сельского поселения</t>
  </si>
  <si>
    <t>2715001207</t>
  </si>
  <si>
    <t>06-12-2024 00:00:00</t>
  </si>
  <si>
    <t>26620146</t>
  </si>
  <si>
    <t>Администрация сельского поселения "Поселок Морской"</t>
  </si>
  <si>
    <t>2715001165</t>
  </si>
  <si>
    <t>26632561</t>
  </si>
  <si>
    <t>Акционерное общество "Федеральная пассажирская компания" Уральский филиал АО "ФПК", г. Екатеринбург</t>
  </si>
  <si>
    <t>770801001</t>
  </si>
  <si>
    <t>26437984</t>
  </si>
  <si>
    <t>Бикинское МУП "Топливно-энергетический комплекс"</t>
  </si>
  <si>
    <t>2707004758</t>
  </si>
  <si>
    <t>270701001</t>
  </si>
  <si>
    <t>26355255</t>
  </si>
  <si>
    <t>Вяземский лесхозтехникум им. Н.В. Усенко</t>
  </si>
  <si>
    <t>2711000298</t>
  </si>
  <si>
    <t>271101001</t>
  </si>
  <si>
    <t>27569992</t>
  </si>
  <si>
    <t>Дальневосточная дирекция по тепловодоснабжению – структурное подразделение Центральной дирекции по тепловодоснабжению – филиала ОАО "Российские железные дороги"</t>
  </si>
  <si>
    <t>7708503727</t>
  </si>
  <si>
    <t>272445024</t>
  </si>
  <si>
    <t>26812922</t>
  </si>
  <si>
    <t>Дизельная генерация</t>
  </si>
  <si>
    <t>0000000000</t>
  </si>
  <si>
    <t>000000000</t>
  </si>
  <si>
    <t>26512635</t>
  </si>
  <si>
    <t>Дирекция по тепловодоснабжению - структурное подразделение ДВЖД - филиала  ОАО "РЖД"</t>
  </si>
  <si>
    <t>272445002</t>
  </si>
  <si>
    <t>31448820</t>
  </si>
  <si>
    <t>КГУП "Региональные коммунальные системы"</t>
  </si>
  <si>
    <t>2721247706</t>
  </si>
  <si>
    <t>22-07-2020 00:00:00</t>
  </si>
  <si>
    <t>КОМИТЕТ ПО ЦЕНАМ И ТАРИФАМ ПРАВИТЕЛЬСТВА ХАБАРОВСКОГО КРАЯ</t>
  </si>
  <si>
    <t>2721091150</t>
  </si>
  <si>
    <t>31005449</t>
  </si>
  <si>
    <t>МКП "БИМ"</t>
  </si>
  <si>
    <t>2704025485</t>
  </si>
  <si>
    <t>270401001</t>
  </si>
  <si>
    <t>19-05-2017 00:00:00</t>
  </si>
  <si>
    <t>30990711</t>
  </si>
  <si>
    <t>МКП "Гатка"</t>
  </si>
  <si>
    <t>2704025566</t>
  </si>
  <si>
    <t>05-11-2024 00:00:00</t>
  </si>
  <si>
    <t>26490498</t>
  </si>
  <si>
    <t>ММУП "Коммунальник"</t>
  </si>
  <si>
    <t>2708001622</t>
  </si>
  <si>
    <t>270801001</t>
  </si>
  <si>
    <t>30347540</t>
  </si>
  <si>
    <t>МООО "Мариинское коммунальное хозяйство"</t>
  </si>
  <si>
    <t>2719002561</t>
  </si>
  <si>
    <t>271901001</t>
  </si>
  <si>
    <t>03-03-2015 00:00:00</t>
  </si>
  <si>
    <t>28261385</t>
  </si>
  <si>
    <t>МООО "Энергокомплект"</t>
  </si>
  <si>
    <t>2717018439</t>
  </si>
  <si>
    <t>271701001</t>
  </si>
  <si>
    <t>31696203</t>
  </si>
  <si>
    <t>МУП  " ЖКХ Сулук"</t>
  </si>
  <si>
    <t>2700013224</t>
  </si>
  <si>
    <t>270001001</t>
  </si>
  <si>
    <t>27-06-2023 00:00:00</t>
  </si>
  <si>
    <t>31700848</t>
  </si>
  <si>
    <t>МУП "Вектор"</t>
  </si>
  <si>
    <t>2710010720</t>
  </si>
  <si>
    <t>30394078</t>
  </si>
  <si>
    <t>2711002369</t>
  </si>
  <si>
    <t>11-09-2015 00:00:00</t>
  </si>
  <si>
    <t>27945971</t>
  </si>
  <si>
    <t>МУП "Долминская энергетическая компания"</t>
  </si>
  <si>
    <t>2713017226</t>
  </si>
  <si>
    <t>271301001</t>
  </si>
  <si>
    <t>30988026</t>
  </si>
  <si>
    <t>МУП "ЖКХ БМР"</t>
  </si>
  <si>
    <t>2707006233</t>
  </si>
  <si>
    <t>16-06-2017 00:00:00</t>
  </si>
  <si>
    <t>31699872</t>
  </si>
  <si>
    <t>МУП "ЖКХ Тырма"</t>
  </si>
  <si>
    <t>2700013136</t>
  </si>
  <si>
    <t>30367506</t>
  </si>
  <si>
    <t>МУП "ЖКХ-ВОСХОД"</t>
  </si>
  <si>
    <t>2718001452</t>
  </si>
  <si>
    <t>271800001</t>
  </si>
  <si>
    <t>31230245</t>
  </si>
  <si>
    <t>МУП "Жилкомхоз"</t>
  </si>
  <si>
    <t>2704023270</t>
  </si>
  <si>
    <t>30859082</t>
  </si>
  <si>
    <t>МУП "Исток"</t>
  </si>
  <si>
    <t>2709015522</t>
  </si>
  <si>
    <t>270901001</t>
  </si>
  <si>
    <t>30347516</t>
  </si>
  <si>
    <t>МУП "Коммунальщик муниципального района имени Лазо"</t>
  </si>
  <si>
    <t>2713018420</t>
  </si>
  <si>
    <t>17-02-2015 00:00:00</t>
  </si>
  <si>
    <t>30365334</t>
  </si>
  <si>
    <t>МУП "Корфовское"</t>
  </si>
  <si>
    <t>2720052616</t>
  </si>
  <si>
    <t>272001001</t>
  </si>
  <si>
    <t>30373136</t>
  </si>
  <si>
    <t>МУП "Куканское"</t>
  </si>
  <si>
    <t>2720052542</t>
  </si>
  <si>
    <t>08-05-2015 00:00:00</t>
  </si>
  <si>
    <t>31220486</t>
  </si>
  <si>
    <t>МУП "Лазовская ПА"</t>
  </si>
  <si>
    <t>2713018068</t>
  </si>
  <si>
    <t>31326497</t>
  </si>
  <si>
    <t>МУП "Мастер"</t>
  </si>
  <si>
    <t>2705001416</t>
  </si>
  <si>
    <t>270501001</t>
  </si>
  <si>
    <t>13-12-2018 00:00:00</t>
  </si>
  <si>
    <t>31252551</t>
  </si>
  <si>
    <t>МУП "Многовершинный"</t>
  </si>
  <si>
    <t>2705001328</t>
  </si>
  <si>
    <t>28-08-2018 00:00:00</t>
  </si>
  <si>
    <t>28870045</t>
  </si>
  <si>
    <t>МУП "Нанайский теплоэнергетический комплекс"</t>
  </si>
  <si>
    <t>2714010689</t>
  </si>
  <si>
    <t>271401001</t>
  </si>
  <si>
    <t>31772961</t>
  </si>
  <si>
    <t>МУП "Нижнеамурская ресурсоснабжающая организация"</t>
  </si>
  <si>
    <t>2705000370</t>
  </si>
  <si>
    <t>31-10-2022 00:00:00</t>
  </si>
  <si>
    <t>30355542</t>
  </si>
  <si>
    <t>МУП "Николаевские тепловые сети"</t>
  </si>
  <si>
    <t>2705000395</t>
  </si>
  <si>
    <t>23-06-2015 00:00:00</t>
  </si>
  <si>
    <t>28983374</t>
  </si>
  <si>
    <t>МУП "Новатор"</t>
  </si>
  <si>
    <t>2720052609</t>
  </si>
  <si>
    <t>20-05-2015 00:00:00</t>
  </si>
  <si>
    <t>28983359</t>
  </si>
  <si>
    <t>МУП "Осиновореченское"</t>
  </si>
  <si>
    <t>2720052623</t>
  </si>
  <si>
    <t>30857010</t>
  </si>
  <si>
    <t>МУП "Прогресс"</t>
  </si>
  <si>
    <t>2720055198</t>
  </si>
  <si>
    <t>26413005</t>
  </si>
  <si>
    <t>МУП "Производственное предприятие тепловых сетей"</t>
  </si>
  <si>
    <t>2703005461</t>
  </si>
  <si>
    <t>270301001</t>
  </si>
  <si>
    <t>31765442</t>
  </si>
  <si>
    <t>МУП "Солнечное ЖКХ"</t>
  </si>
  <si>
    <t>2700035884</t>
  </si>
  <si>
    <t>02-07-2024 00:00:00</t>
  </si>
  <si>
    <t>31002953</t>
  </si>
  <si>
    <t>МУП "Сосновка"</t>
  </si>
  <si>
    <t>2720056272</t>
  </si>
  <si>
    <t>14-11-2016 00:00:00</t>
  </si>
  <si>
    <t>27946003</t>
  </si>
  <si>
    <t>МУП "Среднехорская энергетическая компания"</t>
  </si>
  <si>
    <t>2713017321</t>
  </si>
  <si>
    <t>31021121</t>
  </si>
  <si>
    <t>МУП "Теплосервис"</t>
  </si>
  <si>
    <t>2705001046</t>
  </si>
  <si>
    <t>26355229</t>
  </si>
  <si>
    <t>МУП "Теплоцентраль"</t>
  </si>
  <si>
    <t>2703004651</t>
  </si>
  <si>
    <t>31316085</t>
  </si>
  <si>
    <t>МУП "Тополевское"</t>
  </si>
  <si>
    <t>2720060014</t>
  </si>
  <si>
    <t>17-04-2019 00:00:00</t>
  </si>
  <si>
    <t>31594819</t>
  </si>
  <si>
    <t>МУП "Электролинии муниципального района имени Лазо"</t>
  </si>
  <si>
    <t>2713015370</t>
  </si>
  <si>
    <t>22-11-2007 00:00:00</t>
  </si>
  <si>
    <t>31041697</t>
  </si>
  <si>
    <t>МУП "Энергетик"</t>
  </si>
  <si>
    <t>2705001053</t>
  </si>
  <si>
    <t>15-06-2017 00:00:00</t>
  </si>
  <si>
    <t>30430305</t>
  </si>
  <si>
    <t>2710008706</t>
  </si>
  <si>
    <t>19-10-2015 00:00:00</t>
  </si>
  <si>
    <t>30959201</t>
  </si>
  <si>
    <t>МУП "Янтарь"</t>
  </si>
  <si>
    <t>2709016117</t>
  </si>
  <si>
    <t>31513639</t>
  </si>
  <si>
    <t>МУП ЖКХ "Услуга ДВ"</t>
  </si>
  <si>
    <t>2709017199</t>
  </si>
  <si>
    <t>27-05-2020 00:00:00</t>
  </si>
  <si>
    <t>31586195</t>
  </si>
  <si>
    <t>МУП УМР "Булавинское жилищно-коммунальное хозяйство"</t>
  </si>
  <si>
    <t>2719003893</t>
  </si>
  <si>
    <t>31759645</t>
  </si>
  <si>
    <t>МУП УМР "Мариинское жилищно-коммунальное хозяйство"</t>
  </si>
  <si>
    <t>2700032964</t>
  </si>
  <si>
    <t>06-05-2024 00:00:00</t>
  </si>
  <si>
    <t>31684354</t>
  </si>
  <si>
    <t>МУП УМР "Нижнеамурское жилищно-коммунальное хозяйство"</t>
  </si>
  <si>
    <t>2700006851</t>
  </si>
  <si>
    <t>10-03-2023 00:00:00</t>
  </si>
  <si>
    <t>31561660</t>
  </si>
  <si>
    <t>МУП УМР "Софийское ЖКХ"</t>
  </si>
  <si>
    <t>2719003780</t>
  </si>
  <si>
    <t>06-04-2020 00:00:00</t>
  </si>
  <si>
    <t>28818783</t>
  </si>
  <si>
    <t>МУП УМР "Циммермановское жилищно-коммунальное хозяйство"</t>
  </si>
  <si>
    <t>2719002378</t>
  </si>
  <si>
    <t>19-07-2013 00:00:00</t>
  </si>
  <si>
    <t>26355228</t>
  </si>
  <si>
    <t>МУП г. Хабаровска "Тепловые сети"</t>
  </si>
  <si>
    <t>2702040135</t>
  </si>
  <si>
    <t>26437970</t>
  </si>
  <si>
    <t>МУП коммунальных услуг Нанайского муниципального района</t>
  </si>
  <si>
    <t>2714010061</t>
  </si>
  <si>
    <t>26355259</t>
  </si>
  <si>
    <t>Муниципальное унитарное Топливно-снабженченское предприятие</t>
  </si>
  <si>
    <t>2713013285</t>
  </si>
  <si>
    <t>31459506</t>
  </si>
  <si>
    <t>Муниципальное унитарное предприятие "Энергия"</t>
  </si>
  <si>
    <t>2710009700</t>
  </si>
  <si>
    <t>13-11-2020 00:00:00</t>
  </si>
  <si>
    <t>26788452</t>
  </si>
  <si>
    <t>ОАО "Де-Кастринская ТЭЦ"</t>
  </si>
  <si>
    <t>2719009060</t>
  </si>
  <si>
    <t>26355286</t>
  </si>
  <si>
    <t>ОАО "Корфовский каменный карьер"</t>
  </si>
  <si>
    <t>2720002950</t>
  </si>
  <si>
    <t>30875814</t>
  </si>
  <si>
    <t>ОАО "РЖД" (Дистанция инженерных сооружений-СП ДВ дирекции-СП ЦДИ -филиала ОАО "РЖД")</t>
  </si>
  <si>
    <t>272545006</t>
  </si>
  <si>
    <t>27570014</t>
  </si>
  <si>
    <t>ОАО "РЖД" (Комсомольская дистанция гражданских сооружений - СП "Дальневосточной дирекции по эксплуатации зданий и сооружений - СП ДВЖД" -  филиала ОАО "РЖД"</t>
  </si>
  <si>
    <t>272145014</t>
  </si>
  <si>
    <t>26441924</t>
  </si>
  <si>
    <t>ОАО "Ростелеком"</t>
  </si>
  <si>
    <t>7707049388</t>
  </si>
  <si>
    <t>272131001</t>
  </si>
  <si>
    <t>30852418</t>
  </si>
  <si>
    <t>ООО "АмурТермоЭнерго"</t>
  </si>
  <si>
    <t>2721193916</t>
  </si>
  <si>
    <t>272301001</t>
  </si>
  <si>
    <t>26-02-2013 00:00:00</t>
  </si>
  <si>
    <t>26355252</t>
  </si>
  <si>
    <t>ООО "Артель старателей "Ниман"</t>
  </si>
  <si>
    <t>2710006441</t>
  </si>
  <si>
    <t>26449994</t>
  </si>
  <si>
    <t>ООО "Богородская ТЭЦ"</t>
  </si>
  <si>
    <t>2719009020</t>
  </si>
  <si>
    <t>28443566</t>
  </si>
  <si>
    <t>ООО "Богородский ЖКЦ"</t>
  </si>
  <si>
    <t>2719002106</t>
  </si>
  <si>
    <t>26412856</t>
  </si>
  <si>
    <t>ООО "Бункер-Порт"</t>
  </si>
  <si>
    <t>2704012599</t>
  </si>
  <si>
    <t>30984477</t>
  </si>
  <si>
    <t>ООО "ВМК Капитал"</t>
  </si>
  <si>
    <t>2721189571</t>
  </si>
  <si>
    <t>20-12-2011 00:00:00</t>
  </si>
  <si>
    <t>30846553</t>
  </si>
  <si>
    <t>ООО "ВиК"</t>
  </si>
  <si>
    <t>2713018854</t>
  </si>
  <si>
    <t>29-03-2016 00:00:00</t>
  </si>
  <si>
    <t>30950933</t>
  </si>
  <si>
    <t>ООО "Вигор ДВ"</t>
  </si>
  <si>
    <t>2711003235</t>
  </si>
  <si>
    <t>31161722</t>
  </si>
  <si>
    <t>ООО "Восток ДВ"</t>
  </si>
  <si>
    <t>2723100868</t>
  </si>
  <si>
    <t>09-10-2008 00:00:00</t>
  </si>
  <si>
    <t>26413068</t>
  </si>
  <si>
    <t>ООО "Гавань Строй Инжиниринг"</t>
  </si>
  <si>
    <t>2704014042</t>
  </si>
  <si>
    <t>31161707</t>
  </si>
  <si>
    <t>ООО "Газэнергосеть Хабаровск"</t>
  </si>
  <si>
    <t>2722099024</t>
  </si>
  <si>
    <t>26-09-2017 00:00:00</t>
  </si>
  <si>
    <t>26441788</t>
  </si>
  <si>
    <t>ООО "Галкино"</t>
  </si>
  <si>
    <t>2720036928</t>
  </si>
  <si>
    <t>26355244</t>
  </si>
  <si>
    <t>ООО "Гарант"</t>
  </si>
  <si>
    <t>2706027368</t>
  </si>
  <si>
    <t>270601001</t>
  </si>
  <si>
    <t>31091311</t>
  </si>
  <si>
    <t>ООО "Гелиос"</t>
  </si>
  <si>
    <t>2709015459</t>
  </si>
  <si>
    <t>30839463</t>
  </si>
  <si>
    <t>ООО "Генерация"</t>
  </si>
  <si>
    <t>2720055254</t>
  </si>
  <si>
    <t>08-06-2016 00:00:00</t>
  </si>
  <si>
    <t>31772875</t>
  </si>
  <si>
    <t>ООО "Глобал"</t>
  </si>
  <si>
    <t>2713020638</t>
  </si>
  <si>
    <t>29-07-2019 00:00:00</t>
  </si>
  <si>
    <t>28816002</t>
  </si>
  <si>
    <t>ООО "ДВ Регион"</t>
  </si>
  <si>
    <t>2709014487</t>
  </si>
  <si>
    <t>31349096</t>
  </si>
  <si>
    <t>ООО "ДВ-Регион"</t>
  </si>
  <si>
    <t>2704025904</t>
  </si>
  <si>
    <t>31768752</t>
  </si>
  <si>
    <t>ООО "ДГК-НТС"</t>
  </si>
  <si>
    <t>2700041013</t>
  </si>
  <si>
    <t>14-10-2024 00:00:00</t>
  </si>
  <si>
    <t>31710056</t>
  </si>
  <si>
    <t>ООО "ЖИЛСТРОЙСЕРВИС"</t>
  </si>
  <si>
    <t>2722088181</t>
  </si>
  <si>
    <t>26322942</t>
  </si>
  <si>
    <t>ООО "Жил ТЭК"</t>
  </si>
  <si>
    <t>2712014335</t>
  </si>
  <si>
    <t>271201001</t>
  </si>
  <si>
    <t>26355257</t>
  </si>
  <si>
    <t>ООО "Жилищно-коммунальный участок № 2"</t>
  </si>
  <si>
    <t>2712007320</t>
  </si>
  <si>
    <t>31713374</t>
  </si>
  <si>
    <t>ООО "ИКС-Хабаровск"</t>
  </si>
  <si>
    <t>2724248296</t>
  </si>
  <si>
    <t>03-03-2022 00:00:00</t>
  </si>
  <si>
    <t>26355299</t>
  </si>
  <si>
    <t>ООО "Инженерный центр"</t>
  </si>
  <si>
    <t>2721103870</t>
  </si>
  <si>
    <t>31535966</t>
  </si>
  <si>
    <t>ООО "Интеллектуальные Коммунальные Системы Ванино"</t>
  </si>
  <si>
    <t>2512466990</t>
  </si>
  <si>
    <t>20-12-2021 00:00:00</t>
  </si>
  <si>
    <t>31614677</t>
  </si>
  <si>
    <t>ООО "КОМТЭК-ДВ"</t>
  </si>
  <si>
    <t>2712011380</t>
  </si>
  <si>
    <t>24-05-2021 00:00:00</t>
  </si>
  <si>
    <t>26413034</t>
  </si>
  <si>
    <t>ООО "Коммунальные сети Ракитнинское"</t>
  </si>
  <si>
    <t>2720029938</t>
  </si>
  <si>
    <t>26413057</t>
  </si>
  <si>
    <t>ООО "Коммунальные сети"</t>
  </si>
  <si>
    <t>2720034092</t>
  </si>
  <si>
    <t>09-02-2007 00:00:00</t>
  </si>
  <si>
    <t>26355294</t>
  </si>
  <si>
    <t>ООО "Коммунальные услуги села Заозерное"</t>
  </si>
  <si>
    <t>2720034110</t>
  </si>
  <si>
    <t>26413054</t>
  </si>
  <si>
    <t>ООО "Коммунальный центр"</t>
  </si>
  <si>
    <t>2720035410</t>
  </si>
  <si>
    <t>27364662</t>
  </si>
  <si>
    <t>ООО "Коммунальщик"</t>
  </si>
  <si>
    <t>2705093992</t>
  </si>
  <si>
    <t>17-06-2011 00:00:00</t>
  </si>
  <si>
    <t>26355296</t>
  </si>
  <si>
    <t>ООО "Кур"</t>
  </si>
  <si>
    <t>2720035120</t>
  </si>
  <si>
    <t>30366502</t>
  </si>
  <si>
    <t>ООО "Масштаб"</t>
  </si>
  <si>
    <t>2706022320</t>
  </si>
  <si>
    <t>27947312</t>
  </si>
  <si>
    <t>ООО "Оазис"</t>
  </si>
  <si>
    <t>2706030709</t>
  </si>
  <si>
    <t>26620235</t>
  </si>
  <si>
    <t>ООО "Охотскэнерго"</t>
  </si>
  <si>
    <t>2715005346</t>
  </si>
  <si>
    <t>30852392</t>
  </si>
  <si>
    <t>ООО "ПМК № 1"</t>
  </si>
  <si>
    <t>2712008194</t>
  </si>
  <si>
    <t>09-03-2007 00:00:00</t>
  </si>
  <si>
    <t>26593862</t>
  </si>
  <si>
    <t>ООО "Прогресс"</t>
  </si>
  <si>
    <t>2711007896</t>
  </si>
  <si>
    <t>26355287</t>
  </si>
  <si>
    <t>ООО "Производственное предприятие "Краснореченское"</t>
  </si>
  <si>
    <t>2720034416</t>
  </si>
  <si>
    <t>31583360</t>
  </si>
  <si>
    <t>ООО "Районный Тепло Энергетический Комплекс"</t>
  </si>
  <si>
    <t>2720063375</t>
  </si>
  <si>
    <t>20-10-2021 00:00:00</t>
  </si>
  <si>
    <t>31733333</t>
  </si>
  <si>
    <t>ООО "Регион Тепло"</t>
  </si>
  <si>
    <t>2722125845</t>
  </si>
  <si>
    <t>20-08-2001 00:00:00</t>
  </si>
  <si>
    <t>26441677</t>
  </si>
  <si>
    <t>ООО "РемСтройКорпорация"</t>
  </si>
  <si>
    <t>2720035233</t>
  </si>
  <si>
    <t>31340459</t>
  </si>
  <si>
    <t>ООО "Родник"</t>
  </si>
  <si>
    <t>2709015748</t>
  </si>
  <si>
    <t>05-10-2016 00:00:00</t>
  </si>
  <si>
    <t>19-11-2024 00:00:00</t>
  </si>
  <si>
    <t>30395964</t>
  </si>
  <si>
    <t>ООО "Савинское коммунальное хозяйство"</t>
  </si>
  <si>
    <t>2719002699</t>
  </si>
  <si>
    <t>21-04-2015 00:00:00</t>
  </si>
  <si>
    <t>03-09-2024 00:00:00</t>
  </si>
  <si>
    <t>31564883</t>
  </si>
  <si>
    <t>ООО "Савэнерго"</t>
  </si>
  <si>
    <t>2705002040</t>
  </si>
  <si>
    <t>01-10-2021 00:00:00</t>
  </si>
  <si>
    <t>31361038</t>
  </si>
  <si>
    <t>ООО "Сантехремстрой"</t>
  </si>
  <si>
    <t>2703079752</t>
  </si>
  <si>
    <t>02-07-2014 00:00:00</t>
  </si>
  <si>
    <t>30852424</t>
  </si>
  <si>
    <t>ООО "СахГЭК"</t>
  </si>
  <si>
    <t>6501178250</t>
  </si>
  <si>
    <t>272045001</t>
  </si>
  <si>
    <t>02-02-2007 00:00:00</t>
  </si>
  <si>
    <t>26593624</t>
  </si>
  <si>
    <t>ООО "Светлана</t>
  </si>
  <si>
    <t>2709013204</t>
  </si>
  <si>
    <t>31740514</t>
  </si>
  <si>
    <t>ООО "СервисМонтажСтрой"</t>
  </si>
  <si>
    <t>2721133032</t>
  </si>
  <si>
    <t>13-12-2005 00:00:00</t>
  </si>
  <si>
    <t>26646176</t>
  </si>
  <si>
    <t>ООО "Сергеевка"</t>
  </si>
  <si>
    <t>2720042706</t>
  </si>
  <si>
    <t>27718564</t>
  </si>
  <si>
    <t>ООО "Сетевик"</t>
  </si>
  <si>
    <t>2704020977</t>
  </si>
  <si>
    <t>27573125</t>
  </si>
  <si>
    <t>ООО "Синергия"</t>
  </si>
  <si>
    <t>2715005515</t>
  </si>
  <si>
    <t>31451070</t>
  </si>
  <si>
    <t>ООО "Солнечная теплоэнергетическая компания"</t>
  </si>
  <si>
    <t>2717007250</t>
  </si>
  <si>
    <t>05-12-2019 00:00:00</t>
  </si>
  <si>
    <t>30398832</t>
  </si>
  <si>
    <t>ООО "Софийское коммунальное хозяйство"</t>
  </si>
  <si>
    <t>2719002748</t>
  </si>
  <si>
    <t>01-06-2015 00:00:00</t>
  </si>
  <si>
    <t>22-08-2024 00:00:00</t>
  </si>
  <si>
    <t>30852400</t>
  </si>
  <si>
    <t>ООО "СпецТрансГаз"</t>
  </si>
  <si>
    <t>2721221024</t>
  </si>
  <si>
    <t>18-12-2015 00:00:00</t>
  </si>
  <si>
    <t>30852409</t>
  </si>
  <si>
    <t>ООО "Сфера"</t>
  </si>
  <si>
    <t>2706024247</t>
  </si>
  <si>
    <t>31-03-2016 00:00:00</t>
  </si>
  <si>
    <t>30984471</t>
  </si>
  <si>
    <t>ООО "ТСК "ФЕСТ"</t>
  </si>
  <si>
    <t>2723183695</t>
  </si>
  <si>
    <t>06-04-2017 00:00:00</t>
  </si>
  <si>
    <t>31598198</t>
  </si>
  <si>
    <t>ООО "Тепло-Амур"</t>
  </si>
  <si>
    <t>2706034252</t>
  </si>
  <si>
    <t>04-06-2021 00:00:00</t>
  </si>
  <si>
    <t>31714606</t>
  </si>
  <si>
    <t>ООО "Тепло-энергетический комплекс"</t>
  </si>
  <si>
    <t>2700013143</t>
  </si>
  <si>
    <t>23-06-2023 00:00:00</t>
  </si>
  <si>
    <t>28457455</t>
  </si>
  <si>
    <t>ООО "Тепловик"</t>
  </si>
  <si>
    <t>2712005796</t>
  </si>
  <si>
    <t>26448691</t>
  </si>
  <si>
    <t>ООО "Тепловик+"</t>
  </si>
  <si>
    <t>2712008878</t>
  </si>
  <si>
    <t>31444109</t>
  </si>
  <si>
    <t>ООО "Теплоресурс"</t>
  </si>
  <si>
    <t>2711004398</t>
  </si>
  <si>
    <t>28-01-2020 00:00:00</t>
  </si>
  <si>
    <t>28271504</t>
  </si>
  <si>
    <t>ООО "Теплоэнергетик р.п. Переяславка"</t>
  </si>
  <si>
    <t>2713017748</t>
  </si>
  <si>
    <t>31392649</t>
  </si>
  <si>
    <t>ООО "Теплоэнергетическая компания "Уссури"</t>
  </si>
  <si>
    <t>2713020074</t>
  </si>
  <si>
    <t>31640042</t>
  </si>
  <si>
    <t>ООО "Тополевское"</t>
  </si>
  <si>
    <t>2720063223</t>
  </si>
  <si>
    <t>03-09-2021 00:00:00</t>
  </si>
  <si>
    <t>28441254</t>
  </si>
  <si>
    <t>ООО "Транснефть - Дальний Восток"</t>
  </si>
  <si>
    <t>2724132118</t>
  </si>
  <si>
    <t>31391097</t>
  </si>
  <si>
    <t>ООО "Троицкий энергетический комплекс"</t>
  </si>
  <si>
    <t>2712011084</t>
  </si>
  <si>
    <t>15-05-2019 00:00:00</t>
  </si>
  <si>
    <t>31369212</t>
  </si>
  <si>
    <t>ООО "Тырский теплоэнергетический комплекс"</t>
  </si>
  <si>
    <t>2719003653</t>
  </si>
  <si>
    <t>24-04-2019 00:00:00</t>
  </si>
  <si>
    <t>30839485</t>
  </si>
  <si>
    <t>ООО "УК Корфовское"</t>
  </si>
  <si>
    <t>2720055247</t>
  </si>
  <si>
    <t>28822172</t>
  </si>
  <si>
    <t>ООО "Управляющая компания"</t>
  </si>
  <si>
    <t>2712002033</t>
  </si>
  <si>
    <t>26437603</t>
  </si>
  <si>
    <t>ООО "Услуга"</t>
  </si>
  <si>
    <t>2709012835</t>
  </si>
  <si>
    <t>30848023</t>
  </si>
  <si>
    <t>ООО "ХОРСКИЙ ТЕПЛОЭНЕРГЕТИК"</t>
  </si>
  <si>
    <t>2723182726</t>
  </si>
  <si>
    <t>03-12-2012 00:00:00</t>
  </si>
  <si>
    <t>31745554</t>
  </si>
  <si>
    <t>ООО "ХЭС Чегдомын"</t>
  </si>
  <si>
    <t>2700011724</t>
  </si>
  <si>
    <t>26448134</t>
  </si>
  <si>
    <t>ООО "Шел ТЭК"</t>
  </si>
  <si>
    <t>2712014134</t>
  </si>
  <si>
    <t>31768757</t>
  </si>
  <si>
    <t>ООО "ЭНЕРГИЯ"</t>
  </si>
  <si>
    <t>2724228243</t>
  </si>
  <si>
    <t>31523973</t>
  </si>
  <si>
    <t>ООО "ЭНКИ ДВ"</t>
  </si>
  <si>
    <t>2724239975</t>
  </si>
  <si>
    <t>10-12-2020 00:00:00</t>
  </si>
  <si>
    <t>31193290</t>
  </si>
  <si>
    <t>ООО "Энергетик"</t>
  </si>
  <si>
    <t>2715006318</t>
  </si>
  <si>
    <t>08-05-2018 00:00:00</t>
  </si>
  <si>
    <t>30869093</t>
  </si>
  <si>
    <t>ООО "Энергоресурсы"</t>
  </si>
  <si>
    <t>2709015593</t>
  </si>
  <si>
    <t>27364970</t>
  </si>
  <si>
    <t>Охотский филиал ОАО "Теплоэнергосервис"</t>
  </si>
  <si>
    <t>1435191592</t>
  </si>
  <si>
    <t>271543001</t>
  </si>
  <si>
    <t>29-08-2007 00:00:00</t>
  </si>
  <si>
    <t>26412976</t>
  </si>
  <si>
    <t>ПАО "Амурский судостроительный завод"</t>
  </si>
  <si>
    <t>2703000015</t>
  </si>
  <si>
    <t>28147386</t>
  </si>
  <si>
    <t>Рыболовецкая артель (колхоз) им. 50 лет Октября</t>
  </si>
  <si>
    <t>2709001128</t>
  </si>
  <si>
    <t>28262200</t>
  </si>
  <si>
    <t>УФСБ РФ по Хабаровскому краю</t>
  </si>
  <si>
    <t>2721010351</t>
  </si>
  <si>
    <t>30926365</t>
  </si>
  <si>
    <t>ФГБУ «ЦЖКУ» МО РФ (Филиал ФГБУ «ЦЖКУ» МО РФ по ВВО)</t>
  </si>
  <si>
    <t>7729314745</t>
  </si>
  <si>
    <t>20-03-2017 00:00:00</t>
  </si>
  <si>
    <t>30989563</t>
  </si>
  <si>
    <t>ФГКУ "ПУ ФСБ России по Хабаровскому краю и Еврейской автономной области"</t>
  </si>
  <si>
    <t>2723073068</t>
  </si>
  <si>
    <t>26448726</t>
  </si>
  <si>
    <t>ФГУП "РТРС" филиал  "Дальневосточный региональный центр"</t>
  </si>
  <si>
    <t>7717127211</t>
  </si>
  <si>
    <t>272102002</t>
  </si>
  <si>
    <t>26355233</t>
  </si>
  <si>
    <t>ФКУ Исправительная колония № 5 УФСИН России по Хабаровскому краю</t>
  </si>
  <si>
    <t>2704012334</t>
  </si>
  <si>
    <t>26761819</t>
  </si>
  <si>
    <t>Филиал ОАО "РЭУ "Хабаровский"</t>
  </si>
  <si>
    <t>7714783092</t>
  </si>
  <si>
    <t>272343002</t>
  </si>
  <si>
    <t>31600367</t>
  </si>
  <si>
    <t>Филиал ПАО "ОАК" - КнААЗ им. Ю.А. Гагарина</t>
  </si>
  <si>
    <t>7708619320</t>
  </si>
  <si>
    <t>270343001</t>
  </si>
  <si>
    <t>11-05-2022 00:00:00</t>
  </si>
  <si>
    <t>28159257</t>
  </si>
  <si>
    <t>Хабаровская дистанция гражданских сооружений-структ-го подразд-я ДВ дирекции по эксплуатации зданий и сооружений-структ-го подразд-я ДВ ЖД - филиала ОАО "РЖД"</t>
  </si>
  <si>
    <t>272445055</t>
  </si>
  <si>
    <t>01-04-2013 00:00:00</t>
  </si>
  <si>
    <t>28048502</t>
  </si>
  <si>
    <t>войсковая часть № 6767</t>
  </si>
  <si>
    <t>2720022996</t>
  </si>
  <si>
    <t>28799432</t>
  </si>
  <si>
    <t>ООО "Комресурс"</t>
  </si>
  <si>
    <t>2710007981</t>
  </si>
  <si>
    <t>31598186</t>
  </si>
  <si>
    <t>АМУП "Информтехобслуживание"</t>
  </si>
  <si>
    <t>2706021824</t>
  </si>
  <si>
    <t>30429183</t>
  </si>
  <si>
    <t>АО "179 судоремонтный завод"</t>
  </si>
  <si>
    <t>2725078713</t>
  </si>
  <si>
    <t>272501001</t>
  </si>
  <si>
    <t>26322960</t>
  </si>
  <si>
    <t>АО "Ванинский морской торговый порт"</t>
  </si>
  <si>
    <t>2709001590</t>
  </si>
  <si>
    <t>997650001</t>
  </si>
  <si>
    <t>26322945</t>
  </si>
  <si>
    <t>АО "Комсомольский-на-Амуре аэропорт"</t>
  </si>
  <si>
    <t>2712007419</t>
  </si>
  <si>
    <t>31647346</t>
  </si>
  <si>
    <t>БМУП АТП</t>
  </si>
  <si>
    <t>2707009308</t>
  </si>
  <si>
    <t>20-09-2013 00:00:00</t>
  </si>
  <si>
    <t>31-10-2024 00:00:00</t>
  </si>
  <si>
    <t>26451312</t>
  </si>
  <si>
    <t>Войсковая часть 70822</t>
  </si>
  <si>
    <t>2720017555</t>
  </si>
  <si>
    <t>31646788</t>
  </si>
  <si>
    <t>ИП Бабанин П.В.</t>
  </si>
  <si>
    <t>270600019420</t>
  </si>
  <si>
    <t>22-04-2004 00:00:00</t>
  </si>
  <si>
    <t>31769982</t>
  </si>
  <si>
    <t>ИП Байдаев Р.И.</t>
  </si>
  <si>
    <t>071002235710</t>
  </si>
  <si>
    <t>04-07-2023 00:00:00</t>
  </si>
  <si>
    <t>31237719</t>
  </si>
  <si>
    <t>ИП Новицкий И.П.</t>
  </si>
  <si>
    <t>271204322946</t>
  </si>
  <si>
    <t>27568014</t>
  </si>
  <si>
    <t>ИП Пикалова Е.В.</t>
  </si>
  <si>
    <t>270400138123</t>
  </si>
  <si>
    <t>31702188</t>
  </si>
  <si>
    <t>МБУ "Амурская территория комфорта"</t>
  </si>
  <si>
    <t>2700007492</t>
  </si>
  <si>
    <t>21-03-2023 00:00:00</t>
  </si>
  <si>
    <t>31681590</t>
  </si>
  <si>
    <t>МКУ "Сервис"</t>
  </si>
  <si>
    <t>2719009260</t>
  </si>
  <si>
    <t>17-07-2009 00:00:00</t>
  </si>
  <si>
    <t>31370184</t>
  </si>
  <si>
    <t>МООО "Солонцовское коммунальное хозяйство"</t>
  </si>
  <si>
    <t>2719003646</t>
  </si>
  <si>
    <t>04-03-2019 00:00:00</t>
  </si>
  <si>
    <t>30930409</t>
  </si>
  <si>
    <t>МУП "Водоканал ХМР"</t>
  </si>
  <si>
    <t>2720057156</t>
  </si>
  <si>
    <t>27-04-2017 00:00:00</t>
  </si>
  <si>
    <t>31421720</t>
  </si>
  <si>
    <t>МУП "Водоканал муниципального района имени Лазо"</t>
  </si>
  <si>
    <t>2713020765</t>
  </si>
  <si>
    <t>26451300</t>
  </si>
  <si>
    <t>МУП "Горводоканал" г. Комсомольска-на-Амуре</t>
  </si>
  <si>
    <t>2727080370</t>
  </si>
  <si>
    <t>31351407</t>
  </si>
  <si>
    <t>МУП "Мухенский водоканал"</t>
  </si>
  <si>
    <t>2713019390</t>
  </si>
  <si>
    <t>28-06-2017 00:00:00</t>
  </si>
  <si>
    <t>31707314</t>
  </si>
  <si>
    <t>МУП "Мыс Лазарев"</t>
  </si>
  <si>
    <t>2705001663</t>
  </si>
  <si>
    <t>19-09-2023 00:00:00</t>
  </si>
  <si>
    <t>28751908</t>
  </si>
  <si>
    <t>МУП "Николаевские инженерные сети"</t>
  </si>
  <si>
    <t>2705021187</t>
  </si>
  <si>
    <t>31776639</t>
  </si>
  <si>
    <t>МУП "Охотск КХ"</t>
  </si>
  <si>
    <t>2700040330</t>
  </si>
  <si>
    <t>01-10-2024 00:00:00</t>
  </si>
  <si>
    <t>26451298</t>
  </si>
  <si>
    <t>МУП г. Хабаровска "Водоканал"</t>
  </si>
  <si>
    <t>2700001300</t>
  </si>
  <si>
    <t>26512602</t>
  </si>
  <si>
    <t>ООО "Водо-канализационное хозяйство"</t>
  </si>
  <si>
    <t>2706026692</t>
  </si>
  <si>
    <t>27835832</t>
  </si>
  <si>
    <t>ООО "Водоканал района имени Лазо Хабаровского края"</t>
  </si>
  <si>
    <t>2721145172</t>
  </si>
  <si>
    <t>29-12-2006 00:00:00</t>
  </si>
  <si>
    <t>26629455</t>
  </si>
  <si>
    <t>ООО "Водоканал"</t>
  </si>
  <si>
    <t>2706027738</t>
  </si>
  <si>
    <t>31210853</t>
  </si>
  <si>
    <t>2711003796</t>
  </si>
  <si>
    <t>26437992</t>
  </si>
  <si>
    <t>ООО "Водоканал-Транзит"</t>
  </si>
  <si>
    <t>2707005060</t>
  </si>
  <si>
    <t>31359190</t>
  </si>
  <si>
    <t>ООО "Водоснабжение"</t>
  </si>
  <si>
    <t>2706024021</t>
  </si>
  <si>
    <t>29-01-2016 00:00:00</t>
  </si>
  <si>
    <t>31640101</t>
  </si>
  <si>
    <t>ООО "Волна"</t>
  </si>
  <si>
    <t>2719009045</t>
  </si>
  <si>
    <t>16-10-2008 00:00:00</t>
  </si>
  <si>
    <t>31665889</t>
  </si>
  <si>
    <t>ООО "ГидроСтрой"</t>
  </si>
  <si>
    <t>2705001230</t>
  </si>
  <si>
    <t>20-04-2018 00:00:00</t>
  </si>
  <si>
    <t>30943306</t>
  </si>
  <si>
    <t>ООО "Исток"</t>
  </si>
  <si>
    <t>2717006761</t>
  </si>
  <si>
    <t>26607481</t>
  </si>
  <si>
    <t>ООО "Краснореченское"</t>
  </si>
  <si>
    <t>2720039911</t>
  </si>
  <si>
    <t>28546645</t>
  </si>
  <si>
    <t>ООО "Лермонтовское жилищно-эксплуатационное управление"</t>
  </si>
  <si>
    <t>2707005085</t>
  </si>
  <si>
    <t>15-10-2024 00:00:00</t>
  </si>
  <si>
    <t>26441768</t>
  </si>
  <si>
    <t>ООО "ММО "Гаровский водозабор"</t>
  </si>
  <si>
    <t>2720035385</t>
  </si>
  <si>
    <t>31647782</t>
  </si>
  <si>
    <t>ООО "Пролив"</t>
  </si>
  <si>
    <t>2705001021</t>
  </si>
  <si>
    <t>09-06-2017 00:00:00</t>
  </si>
  <si>
    <t>30430995</t>
  </si>
  <si>
    <t>ООО "Прометей"</t>
  </si>
  <si>
    <t>2719002875</t>
  </si>
  <si>
    <t>14-09-2015 00:00:00</t>
  </si>
  <si>
    <t>31238579</t>
  </si>
  <si>
    <t>ООО "Реал Сервис"</t>
  </si>
  <si>
    <t>2720051549</t>
  </si>
  <si>
    <t>26512608</t>
  </si>
  <si>
    <t>ООО "Станция механической очистки"</t>
  </si>
  <si>
    <t>2706027664</t>
  </si>
  <si>
    <t>30823785</t>
  </si>
  <si>
    <t>ООО "Тепловые сети"</t>
  </si>
  <si>
    <t>2713013084</t>
  </si>
  <si>
    <t>11-02-2005 00:00:00</t>
  </si>
  <si>
    <t>30365554</t>
  </si>
  <si>
    <t>ООО "Форест-ДВ"</t>
  </si>
  <si>
    <t>2713014842</t>
  </si>
  <si>
    <t>10-11-2006 00:00:00</t>
  </si>
  <si>
    <t>30478818</t>
  </si>
  <si>
    <t>ООО "Эдельвейс"</t>
  </si>
  <si>
    <t>2713015349</t>
  </si>
  <si>
    <t>01-09-2015 00:00:00</t>
  </si>
  <si>
    <t>31213123</t>
  </si>
  <si>
    <t>ООО "Экология"</t>
  </si>
  <si>
    <t>2721209450</t>
  </si>
  <si>
    <t>07-08-2015 00:00:00</t>
  </si>
  <si>
    <t>30985661</t>
  </si>
  <si>
    <t>ООО "Эксплуатирующая компания индустриального парка "Авангард"</t>
  </si>
  <si>
    <t>2724213536</t>
  </si>
  <si>
    <t>29-06-2016 00:00:00</t>
  </si>
  <si>
    <t>30939348</t>
  </si>
  <si>
    <t>Обособленное подразделение Санаторий-Профилакторий "Горячий Ключ"</t>
  </si>
  <si>
    <t>270345049</t>
  </si>
  <si>
    <t>12-08-2015 00:00:00</t>
  </si>
  <si>
    <t>31222508</t>
  </si>
  <si>
    <t>Общество  с ограниченной ответственностью "СЕНАТ"</t>
  </si>
  <si>
    <t>2707005960</t>
  </si>
  <si>
    <t>30376618</t>
  </si>
  <si>
    <t>Общество с ограниченной ответственностью "Киселевский энергетик"</t>
  </si>
  <si>
    <t>2719002794</t>
  </si>
  <si>
    <t>26512637</t>
  </si>
  <si>
    <t>АО "Дальстальконструкция"</t>
  </si>
  <si>
    <t>2703000270</t>
  </si>
  <si>
    <t>26512651</t>
  </si>
  <si>
    <t>КГБПОУ "Хабаровский дорожно-строительный техникум"</t>
  </si>
  <si>
    <t>2724022676</t>
  </si>
  <si>
    <t>31036939</t>
  </si>
  <si>
    <t>МУП "Николаевские коммунальные сети"</t>
  </si>
  <si>
    <t>2705000860</t>
  </si>
  <si>
    <t>22-11-2016 00:00:00</t>
  </si>
  <si>
    <t>31340194</t>
  </si>
  <si>
    <t>МУП "Регион"</t>
  </si>
  <si>
    <t>2704026048</t>
  </si>
  <si>
    <t>24-08-2018 00:00:00</t>
  </si>
  <si>
    <t>30930883</t>
  </si>
  <si>
    <t>ООО "Дальрео"</t>
  </si>
  <si>
    <t>2720029889</t>
  </si>
  <si>
    <t>12-07-2017 00:00:00</t>
  </si>
  <si>
    <t>27589585</t>
  </si>
  <si>
    <t>ООО "ПК "Краснореченское"</t>
  </si>
  <si>
    <t>2720043989</t>
  </si>
  <si>
    <t>28441267</t>
  </si>
  <si>
    <t>ООО "Регион"</t>
  </si>
  <si>
    <t>2704021836</t>
  </si>
  <si>
    <t>28952839</t>
  </si>
  <si>
    <t>ООО "УК"Стрежень"</t>
  </si>
  <si>
    <t>2712009303</t>
  </si>
  <si>
    <t>26512633</t>
  </si>
  <si>
    <t>ООО"РН-Комсомольский НПЗ"</t>
  </si>
  <si>
    <t>2703032881</t>
  </si>
  <si>
    <t>31341471</t>
  </si>
  <si>
    <t>Общество с ограниченной ответственностью "Сток Система"</t>
  </si>
  <si>
    <t>2706032801</t>
  </si>
  <si>
    <t>25-06-2018 00:00:00</t>
  </si>
  <si>
    <t>26382165</t>
  </si>
  <si>
    <t>МУП "Спецавтохозяйство"</t>
  </si>
  <si>
    <t>2703004740</t>
  </si>
  <si>
    <t>26382168</t>
  </si>
  <si>
    <t>ООО  "Магистраль"</t>
  </si>
  <si>
    <t>2706027079</t>
  </si>
  <si>
    <t>10-02-2006 00:00:00</t>
  </si>
  <si>
    <t>31371431</t>
  </si>
  <si>
    <t>ООО "Амурлифт-Коммунальный"</t>
  </si>
  <si>
    <t>2703029688</t>
  </si>
  <si>
    <t>15-02-2005 00:00:00</t>
  </si>
  <si>
    <t>31683308</t>
  </si>
  <si>
    <t>ООО "Зенит-Дальний Восток"</t>
  </si>
  <si>
    <t>2721155572</t>
  </si>
  <si>
    <t>28466577</t>
  </si>
  <si>
    <t>ООО "ИНА-ДВ"</t>
  </si>
  <si>
    <t>2720026013</t>
  </si>
  <si>
    <t>31708240</t>
  </si>
  <si>
    <t>ООО "КВАНТ"</t>
  </si>
  <si>
    <t>6311186084</t>
  </si>
  <si>
    <t>31708236</t>
  </si>
  <si>
    <t>ООО "НОРМА"</t>
  </si>
  <si>
    <t>6319242598</t>
  </si>
  <si>
    <t>26491496</t>
  </si>
  <si>
    <t>ООО "ОЗОН"</t>
  </si>
  <si>
    <t>2717014522</t>
  </si>
  <si>
    <t>05-07-2006 00:00:00</t>
  </si>
  <si>
    <t>31238427</t>
  </si>
  <si>
    <t>ООО "Полигон Сервис"</t>
  </si>
  <si>
    <t>2704021554</t>
  </si>
  <si>
    <t>31772982</t>
  </si>
  <si>
    <t>ООО "РегСтройКом"</t>
  </si>
  <si>
    <t>2720056917</t>
  </si>
  <si>
    <t>01-03-2017 00:00:00</t>
  </si>
  <si>
    <t>26491488</t>
  </si>
  <si>
    <t>ООО "Туран"</t>
  </si>
  <si>
    <t>2710013270</t>
  </si>
  <si>
    <t>31289710</t>
  </si>
  <si>
    <t>ООО "Фирма "Сталкер"</t>
  </si>
  <si>
    <t>2726008839</t>
  </si>
  <si>
    <t>24-11-1995 00:00:00</t>
  </si>
  <si>
    <t>31570502</t>
  </si>
  <si>
    <t>ООО "Хабавтотранс ДВ"</t>
  </si>
  <si>
    <t>2723187548</t>
  </si>
  <si>
    <t>06-06-2016 00:00:00</t>
  </si>
  <si>
    <t>31618269</t>
  </si>
  <si>
    <t>ООО "Чистая планета"</t>
  </si>
  <si>
    <t>2723143212</t>
  </si>
  <si>
    <t>12-10-2011 00:00:00</t>
  </si>
  <si>
    <t>26491492</t>
  </si>
  <si>
    <t>ООО "Экопром"</t>
  </si>
  <si>
    <t>2710014604</t>
  </si>
  <si>
    <t>NSRF</t>
  </si>
  <si>
    <t>MR_NAME</t>
  </si>
  <si>
    <t>OKTMO_MR_NAME</t>
  </si>
  <si>
    <t>MO_NAME</t>
  </si>
  <si>
    <t>OKTMO_NAME</t>
  </si>
  <si>
    <t>TYPE</t>
  </si>
  <si>
    <t>MR_ID</t>
  </si>
  <si>
    <t>08603000</t>
  </si>
  <si>
    <t>муниципальный район</t>
  </si>
  <si>
    <t>Болоньское</t>
  </si>
  <si>
    <t>08603420</t>
  </si>
  <si>
    <t>сельское поселение</t>
  </si>
  <si>
    <t>Вознесенское</t>
  </si>
  <si>
    <t>08603402</t>
  </si>
  <si>
    <t>городское поселение, в состав которого входит город</t>
  </si>
  <si>
    <t>Джуенское</t>
  </si>
  <si>
    <t>08603404</t>
  </si>
  <si>
    <t>Литовское</t>
  </si>
  <si>
    <t>08603405</t>
  </si>
  <si>
    <t>Омминское</t>
  </si>
  <si>
    <t>08603407</t>
  </si>
  <si>
    <t>Падалинское</t>
  </si>
  <si>
    <t>08603410</t>
  </si>
  <si>
    <t>Санболинское</t>
  </si>
  <si>
    <t>08603413</t>
  </si>
  <si>
    <t>Эльбанское</t>
  </si>
  <si>
    <t>08603160</t>
  </si>
  <si>
    <t>городское поселение, в состав которого входит поселок</t>
  </si>
  <si>
    <t>село Ачан</t>
  </si>
  <si>
    <t>08603401</t>
  </si>
  <si>
    <t>Аяно-Майский муниципальный район</t>
  </si>
  <si>
    <t>08606000</t>
  </si>
  <si>
    <t>Аимское</t>
  </si>
  <si>
    <t>08606402</t>
  </si>
  <si>
    <t>Джигдинское</t>
  </si>
  <si>
    <t>08606413</t>
  </si>
  <si>
    <t>Межселенные территории, входящие в состав Аяно-Майского муниципального района, включающие с Федорово, монтерский пункт Разрезной и др.</t>
  </si>
  <si>
    <t>08606701</t>
  </si>
  <si>
    <t>межселенная территория</t>
  </si>
  <si>
    <t>Нельканское</t>
  </si>
  <si>
    <t>08606416</t>
  </si>
  <si>
    <t>село Аян</t>
  </si>
  <si>
    <t>08606403</t>
  </si>
  <si>
    <t>Бикинский муниципальный район</t>
  </si>
  <si>
    <t>08609000</t>
  </si>
  <si>
    <t>Бойцовское</t>
  </si>
  <si>
    <t>08609402</t>
  </si>
  <si>
    <t>Город Бикин</t>
  </si>
  <si>
    <t>08609101</t>
  </si>
  <si>
    <t>Добролюбовское</t>
  </si>
  <si>
    <t>08609406</t>
  </si>
  <si>
    <t>Лермонтовское</t>
  </si>
  <si>
    <t>08609408</t>
  </si>
  <si>
    <t>Лесопильненское</t>
  </si>
  <si>
    <t>08609407</t>
  </si>
  <si>
    <t>Лончаковское</t>
  </si>
  <si>
    <t>08609410</t>
  </si>
  <si>
    <t>Оренбургское</t>
  </si>
  <si>
    <t>08609412</t>
  </si>
  <si>
    <t>Покровское</t>
  </si>
  <si>
    <t>08609416</t>
  </si>
  <si>
    <t>Пушкинское</t>
  </si>
  <si>
    <t>08609420</t>
  </si>
  <si>
    <t>Ванинский муниципальный район</t>
  </si>
  <si>
    <t>08612000</t>
  </si>
  <si>
    <t>Даттинское</t>
  </si>
  <si>
    <t>08612405</t>
  </si>
  <si>
    <t>Кенадское</t>
  </si>
  <si>
    <t>08612410</t>
  </si>
  <si>
    <t>Монгохтинское</t>
  </si>
  <si>
    <t>08612411</t>
  </si>
  <si>
    <t>Поселок Ванино</t>
  </si>
  <si>
    <t>08612151</t>
  </si>
  <si>
    <t>Поселок Высокогорный</t>
  </si>
  <si>
    <t>08612155</t>
  </si>
  <si>
    <t>Поселок Октябрьский</t>
  </si>
  <si>
    <t>08612159</t>
  </si>
  <si>
    <t>Токинское</t>
  </si>
  <si>
    <t>08612412</t>
  </si>
  <si>
    <t>Тулучинское</t>
  </si>
  <si>
    <t>08612413</t>
  </si>
  <si>
    <t>Тумнинское</t>
  </si>
  <si>
    <t>08612414</t>
  </si>
  <si>
    <t>Уська-Орочское</t>
  </si>
  <si>
    <t>08612415</t>
  </si>
  <si>
    <t>08614000</t>
  </si>
  <si>
    <t>Аланапское</t>
  </si>
  <si>
    <t>08614402</t>
  </si>
  <si>
    <t>Алонкинское</t>
  </si>
  <si>
    <t>08614401</t>
  </si>
  <si>
    <t>Гербинское</t>
  </si>
  <si>
    <t>08614405</t>
  </si>
  <si>
    <t>Межселенные территории, входящие в состав Верхнебуреинского муниципального района, включающие п Шахтинский</t>
  </si>
  <si>
    <t>08614701</t>
  </si>
  <si>
    <t>Поселок Новый Ургал</t>
  </si>
  <si>
    <t>08614153</t>
  </si>
  <si>
    <t>Согдинское</t>
  </si>
  <si>
    <t>08614409</t>
  </si>
  <si>
    <t>Среднеургальское</t>
  </si>
  <si>
    <t>08614408</t>
  </si>
  <si>
    <t>Сулукское</t>
  </si>
  <si>
    <t>08614403</t>
  </si>
  <si>
    <t>Тырминское</t>
  </si>
  <si>
    <t>08614412</t>
  </si>
  <si>
    <t>Усть-Ургальское</t>
  </si>
  <si>
    <t>08614407</t>
  </si>
  <si>
    <t>Чекундинское</t>
  </si>
  <si>
    <t>08614410</t>
  </si>
  <si>
    <t>Этыркэнское</t>
  </si>
  <si>
    <t>08614418</t>
  </si>
  <si>
    <t>поселок Софийск</t>
  </si>
  <si>
    <t>08614411</t>
  </si>
  <si>
    <t>Вяземский муниципальный район</t>
  </si>
  <si>
    <t>08617000</t>
  </si>
  <si>
    <t>Аванское</t>
  </si>
  <si>
    <t>08617437</t>
  </si>
  <si>
    <t>Венюковское</t>
  </si>
  <si>
    <t>08617404</t>
  </si>
  <si>
    <t>Видновское</t>
  </si>
  <si>
    <t>08617407</t>
  </si>
  <si>
    <t>Виноградовское</t>
  </si>
  <si>
    <t>08617410</t>
  </si>
  <si>
    <t>Глебовское</t>
  </si>
  <si>
    <t>08617412</t>
  </si>
  <si>
    <t>Город Вяземский</t>
  </si>
  <si>
    <t>08617101</t>
  </si>
  <si>
    <t>60</t>
  </si>
  <si>
    <t>Дормидонтовское</t>
  </si>
  <si>
    <t>08617416</t>
  </si>
  <si>
    <t>61</t>
  </si>
  <si>
    <t>Забайкальское</t>
  </si>
  <si>
    <t>08617418</t>
  </si>
  <si>
    <t>62</t>
  </si>
  <si>
    <t>Капитоновское</t>
  </si>
  <si>
    <t>08617420</t>
  </si>
  <si>
    <t>63</t>
  </si>
  <si>
    <t>Кедровское</t>
  </si>
  <si>
    <t>08617422</t>
  </si>
  <si>
    <t>64</t>
  </si>
  <si>
    <t>Котиковское</t>
  </si>
  <si>
    <t>08617424</t>
  </si>
  <si>
    <t>65</t>
  </si>
  <si>
    <t>Красицкое</t>
  </si>
  <si>
    <t>08617426</t>
  </si>
  <si>
    <t>Кукелевское</t>
  </si>
  <si>
    <t>08617428</t>
  </si>
  <si>
    <t>67</t>
  </si>
  <si>
    <t>Медвеженское</t>
  </si>
  <si>
    <t>08617432</t>
  </si>
  <si>
    <t>Отрадненское</t>
  </si>
  <si>
    <t>08617438</t>
  </si>
  <si>
    <t>69</t>
  </si>
  <si>
    <t>Садовое</t>
  </si>
  <si>
    <t>08617439</t>
  </si>
  <si>
    <t>70</t>
  </si>
  <si>
    <t>Шереметьевское</t>
  </si>
  <si>
    <t>08617440</t>
  </si>
  <si>
    <t>71</t>
  </si>
  <si>
    <t>Шумнинское</t>
  </si>
  <si>
    <t>08617444</t>
  </si>
  <si>
    <t>72</t>
  </si>
  <si>
    <t>поселок Дормидонтовка</t>
  </si>
  <si>
    <t>08617413</t>
  </si>
  <si>
    <t>73</t>
  </si>
  <si>
    <t>городской округ</t>
  </si>
  <si>
    <t>Комсомольский муниципальный район</t>
  </si>
  <si>
    <t>08620000</t>
  </si>
  <si>
    <t>Бельговское</t>
  </si>
  <si>
    <t>08620404</t>
  </si>
  <si>
    <t>76</t>
  </si>
  <si>
    <t>Бокторское</t>
  </si>
  <si>
    <t>08620405</t>
  </si>
  <si>
    <t>77</t>
  </si>
  <si>
    <t>Большекартельское</t>
  </si>
  <si>
    <t>08620407</t>
  </si>
  <si>
    <t>78</t>
  </si>
  <si>
    <t>Верхнетамбовское</t>
  </si>
  <si>
    <t>08620410</t>
  </si>
  <si>
    <t>79</t>
  </si>
  <si>
    <t>Гайтерское</t>
  </si>
  <si>
    <t>08620413</t>
  </si>
  <si>
    <t>80</t>
  </si>
  <si>
    <t>Галичное</t>
  </si>
  <si>
    <t>08620467</t>
  </si>
  <si>
    <t>81</t>
  </si>
  <si>
    <t>Гурское</t>
  </si>
  <si>
    <t>08620468</t>
  </si>
  <si>
    <t>82</t>
  </si>
  <si>
    <t>Даппинское</t>
  </si>
  <si>
    <t>08620419</t>
  </si>
  <si>
    <t>83</t>
  </si>
  <si>
    <t>Кенайское</t>
  </si>
  <si>
    <t>08620430</t>
  </si>
  <si>
    <t>84</t>
  </si>
  <si>
    <t>85</t>
  </si>
  <si>
    <t>Молодежное</t>
  </si>
  <si>
    <t>08620435</t>
  </si>
  <si>
    <t>86</t>
  </si>
  <si>
    <t>Нижнетамбовское</t>
  </si>
  <si>
    <t>08620437</t>
  </si>
  <si>
    <t>87</t>
  </si>
  <si>
    <t>Нижнехалбинское</t>
  </si>
  <si>
    <t>08620440</t>
  </si>
  <si>
    <t>88</t>
  </si>
  <si>
    <t>Новоильиновское</t>
  </si>
  <si>
    <t>08620443</t>
  </si>
  <si>
    <t>89</t>
  </si>
  <si>
    <t>Новомирское</t>
  </si>
  <si>
    <t>08620446</t>
  </si>
  <si>
    <t>90</t>
  </si>
  <si>
    <t>Пиваньское</t>
  </si>
  <si>
    <t>08620447</t>
  </si>
  <si>
    <t>91</t>
  </si>
  <si>
    <t>Селихинское</t>
  </si>
  <si>
    <t>08620449</t>
  </si>
  <si>
    <t>92</t>
  </si>
  <si>
    <t>Снежинское</t>
  </si>
  <si>
    <t>08620452</t>
  </si>
  <si>
    <t>93</t>
  </si>
  <si>
    <t>Уктурское</t>
  </si>
  <si>
    <t>08620455</t>
  </si>
  <si>
    <t>94</t>
  </si>
  <si>
    <t>Хурбинское</t>
  </si>
  <si>
    <t>08620461</t>
  </si>
  <si>
    <t>95</t>
  </si>
  <si>
    <t>Эконьское</t>
  </si>
  <si>
    <t>08620476</t>
  </si>
  <si>
    <t>96</t>
  </si>
  <si>
    <t>Ягодненское</t>
  </si>
  <si>
    <t>08620470</t>
  </si>
  <si>
    <t>97</t>
  </si>
  <si>
    <t>Нанайский муниципальный район</t>
  </si>
  <si>
    <t>08628000</t>
  </si>
  <si>
    <t>Арсеньевское</t>
  </si>
  <si>
    <t>08628402</t>
  </si>
  <si>
    <t>98</t>
  </si>
  <si>
    <t>Верхнеманоминское</t>
  </si>
  <si>
    <t>08628407</t>
  </si>
  <si>
    <t>99</t>
  </si>
  <si>
    <t>Верхненергенское</t>
  </si>
  <si>
    <t>08628427</t>
  </si>
  <si>
    <t>100</t>
  </si>
  <si>
    <t>Дадинское</t>
  </si>
  <si>
    <t>08628416</t>
  </si>
  <si>
    <t>101</t>
  </si>
  <si>
    <t>Джаринское</t>
  </si>
  <si>
    <t>08628419</t>
  </si>
  <si>
    <t>102</t>
  </si>
  <si>
    <t>Джонкинское</t>
  </si>
  <si>
    <t>08628422</t>
  </si>
  <si>
    <t>103</t>
  </si>
  <si>
    <t>Дубовомысское</t>
  </si>
  <si>
    <t>08628423</t>
  </si>
  <si>
    <t>104</t>
  </si>
  <si>
    <t>Иннокентьевское</t>
  </si>
  <si>
    <t>08628424</t>
  </si>
  <si>
    <t>105</t>
  </si>
  <si>
    <t>Лидогинское</t>
  </si>
  <si>
    <t>08628425</t>
  </si>
  <si>
    <t>106</t>
  </si>
  <si>
    <t>Маякское</t>
  </si>
  <si>
    <t>08628428</t>
  </si>
  <si>
    <t>107</t>
  </si>
  <si>
    <t>Найхинское</t>
  </si>
  <si>
    <t>08628431</t>
  </si>
  <si>
    <t>108</t>
  </si>
  <si>
    <t>109</t>
  </si>
  <si>
    <t>Нижнеманоминское</t>
  </si>
  <si>
    <t>08628434</t>
  </si>
  <si>
    <t>110</t>
  </si>
  <si>
    <t>Синдинское</t>
  </si>
  <si>
    <t>08628437</t>
  </si>
  <si>
    <t>111</t>
  </si>
  <si>
    <t>село Троицкое</t>
  </si>
  <si>
    <t>08628439</t>
  </si>
  <si>
    <t>112</t>
  </si>
  <si>
    <t>08631000</t>
  </si>
  <si>
    <t>08631404</t>
  </si>
  <si>
    <t>114</t>
  </si>
  <si>
    <t>Коасносельское</t>
  </si>
  <si>
    <t>08631413</t>
  </si>
  <si>
    <t>115</t>
  </si>
  <si>
    <t>Константиновское</t>
  </si>
  <si>
    <t>08631431</t>
  </si>
  <si>
    <t>116</t>
  </si>
  <si>
    <t>Магинское</t>
  </si>
  <si>
    <t>08631414</t>
  </si>
  <si>
    <t>117</t>
  </si>
  <si>
    <t>Межселенная территория Николаевского муниципального района, включающая с Власьево</t>
  </si>
  <si>
    <t>08631701</t>
  </si>
  <si>
    <t>118</t>
  </si>
  <si>
    <t>Нигирское</t>
  </si>
  <si>
    <t>08631419</t>
  </si>
  <si>
    <t>119</t>
  </si>
  <si>
    <t>Нижнепронгенское</t>
  </si>
  <si>
    <t>08631422</t>
  </si>
  <si>
    <t>120</t>
  </si>
  <si>
    <t>121</t>
  </si>
  <si>
    <t>Озерпахское</t>
  </si>
  <si>
    <t>08631425</t>
  </si>
  <si>
    <t>122</t>
  </si>
  <si>
    <t>Орель-Члянское</t>
  </si>
  <si>
    <t>08631428</t>
  </si>
  <si>
    <t>123</t>
  </si>
  <si>
    <t>Оремифское</t>
  </si>
  <si>
    <t>08631437</t>
  </si>
  <si>
    <t>124</t>
  </si>
  <si>
    <t>Поселок Лазарев</t>
  </si>
  <si>
    <t>08631154</t>
  </si>
  <si>
    <t>125</t>
  </si>
  <si>
    <t>Поселок Многовершинный</t>
  </si>
  <si>
    <t>08631158</t>
  </si>
  <si>
    <t>126</t>
  </si>
  <si>
    <t>Пуирское</t>
  </si>
  <si>
    <t>08631434</t>
  </si>
  <si>
    <t>127</t>
  </si>
  <si>
    <t>Члянское</t>
  </si>
  <si>
    <t>08631410</t>
  </si>
  <si>
    <t>128</t>
  </si>
  <si>
    <t>Охотский муниципальный округ</t>
  </si>
  <si>
    <t>08534000</t>
  </si>
  <si>
    <t>муниципальный округ</t>
  </si>
  <si>
    <t>129</t>
  </si>
  <si>
    <t>Охотский муниципальный район</t>
  </si>
  <si>
    <t>08634000</t>
  </si>
  <si>
    <t>Аркинское</t>
  </si>
  <si>
    <t>08634402</t>
  </si>
  <si>
    <t>130</t>
  </si>
  <si>
    <t>Булгинское</t>
  </si>
  <si>
    <t>08634404</t>
  </si>
  <si>
    <t>131</t>
  </si>
  <si>
    <t>Вострецовское</t>
  </si>
  <si>
    <t>08634407</t>
  </si>
  <si>
    <t>132</t>
  </si>
  <si>
    <t>Инское</t>
  </si>
  <si>
    <t>08634410</t>
  </si>
  <si>
    <t>133</t>
  </si>
  <si>
    <t>Морское</t>
  </si>
  <si>
    <t>08634412</t>
  </si>
  <si>
    <t>134</t>
  </si>
  <si>
    <t>Новоустьинское</t>
  </si>
  <si>
    <t>08634414</t>
  </si>
  <si>
    <t>135</t>
  </si>
  <si>
    <t>136</t>
  </si>
  <si>
    <t>Поселок Охотск</t>
  </si>
  <si>
    <t>08634151</t>
  </si>
  <si>
    <t>137</t>
  </si>
  <si>
    <t>Резидентское</t>
  </si>
  <si>
    <t>08634416</t>
  </si>
  <si>
    <t>138</t>
  </si>
  <si>
    <t>08642000</t>
  </si>
  <si>
    <t>Гаткинское</t>
  </si>
  <si>
    <t>08642402</t>
  </si>
  <si>
    <t>139</t>
  </si>
  <si>
    <t>Город Советская Гавань</t>
  </si>
  <si>
    <t>08642101</t>
  </si>
  <si>
    <t>140</t>
  </si>
  <si>
    <t>Межселенные территории, входящие в состав Советско-Гаванского муниципального района, включающие п Нельма, п Коппи и др.</t>
  </si>
  <si>
    <t>08642701</t>
  </si>
  <si>
    <t>141</t>
  </si>
  <si>
    <t>Поселок Заветы Ильича</t>
  </si>
  <si>
    <t>08642159</t>
  </si>
  <si>
    <t>142</t>
  </si>
  <si>
    <t>Поселок Лососина</t>
  </si>
  <si>
    <t>08642162</t>
  </si>
  <si>
    <t>143</t>
  </si>
  <si>
    <t>145</t>
  </si>
  <si>
    <t>Солнечный муниципальный район</t>
  </si>
  <si>
    <t>08644000</t>
  </si>
  <si>
    <t>Амгуньское</t>
  </si>
  <si>
    <t>08644402</t>
  </si>
  <si>
    <t>146</t>
  </si>
  <si>
    <t>Березовское</t>
  </si>
  <si>
    <t>08644404</t>
  </si>
  <si>
    <t>147</t>
  </si>
  <si>
    <t>Горинское</t>
  </si>
  <si>
    <t>08644406</t>
  </si>
  <si>
    <t>148</t>
  </si>
  <si>
    <t>Горненское</t>
  </si>
  <si>
    <t>08644432</t>
  </si>
  <si>
    <t>149</t>
  </si>
  <si>
    <t>Джамкуское</t>
  </si>
  <si>
    <t>08644408</t>
  </si>
  <si>
    <t>150</t>
  </si>
  <si>
    <t>Дукинское</t>
  </si>
  <si>
    <t>08644410</t>
  </si>
  <si>
    <t>151</t>
  </si>
  <si>
    <t>Кондонское</t>
  </si>
  <si>
    <t>08644416</t>
  </si>
  <si>
    <t>152</t>
  </si>
  <si>
    <t>Поселок Солнечный</t>
  </si>
  <si>
    <t>08644151</t>
  </si>
  <si>
    <t>153</t>
  </si>
  <si>
    <t>154</t>
  </si>
  <si>
    <t>Харпичанское</t>
  </si>
  <si>
    <t>08644425</t>
  </si>
  <si>
    <t>155</t>
  </si>
  <si>
    <t>Хурмулинское</t>
  </si>
  <si>
    <t>08644428</t>
  </si>
  <si>
    <t>156</t>
  </si>
  <si>
    <t>Эворонское</t>
  </si>
  <si>
    <t>08644430</t>
  </si>
  <si>
    <t>157</t>
  </si>
  <si>
    <t>Тугуро-Чумиканский муниципальный район</t>
  </si>
  <si>
    <t>08646000</t>
  </si>
  <si>
    <t>Алгазеинское</t>
  </si>
  <si>
    <t>08646402</t>
  </si>
  <si>
    <t>158</t>
  </si>
  <si>
    <t>Межселенные территории, входящие в состав Тугуро-Чумиканского муниципального района, включающие метеостанцию Большой Шантар, метеостанцию Бурукаи и др.</t>
  </si>
  <si>
    <t>08646701</t>
  </si>
  <si>
    <t>159</t>
  </si>
  <si>
    <t>Торомское</t>
  </si>
  <si>
    <t>08646404</t>
  </si>
  <si>
    <t>160</t>
  </si>
  <si>
    <t>161</t>
  </si>
  <si>
    <t>Тугурское</t>
  </si>
  <si>
    <t>08646407</t>
  </si>
  <si>
    <t>162</t>
  </si>
  <si>
    <t>Удское</t>
  </si>
  <si>
    <t>08646410</t>
  </si>
  <si>
    <t>163</t>
  </si>
  <si>
    <t>село Чумикан</t>
  </si>
  <si>
    <t>08646411</t>
  </si>
  <si>
    <t>164</t>
  </si>
  <si>
    <t>Ульчский муниципальный район</t>
  </si>
  <si>
    <t>08650000</t>
  </si>
  <si>
    <t>Быстринское</t>
  </si>
  <si>
    <t>08650409</t>
  </si>
  <si>
    <t>165</t>
  </si>
  <si>
    <t>Де-Кастринское</t>
  </si>
  <si>
    <t>08650413</t>
  </si>
  <si>
    <t>166</t>
  </si>
  <si>
    <t>Дудинское</t>
  </si>
  <si>
    <t>08650416</t>
  </si>
  <si>
    <t>167</t>
  </si>
  <si>
    <t>Калиновское</t>
  </si>
  <si>
    <t>08650419</t>
  </si>
  <si>
    <t>168</t>
  </si>
  <si>
    <t>Киселевское</t>
  </si>
  <si>
    <t>08650422</t>
  </si>
  <si>
    <t>169</t>
  </si>
  <si>
    <t>Мариинское</t>
  </si>
  <si>
    <t>08650425</t>
  </si>
  <si>
    <t>170</t>
  </si>
  <si>
    <t>Нижнегаванское</t>
  </si>
  <si>
    <t>08650428</t>
  </si>
  <si>
    <t>171</t>
  </si>
  <si>
    <t>Савинское</t>
  </si>
  <si>
    <t>08650431</t>
  </si>
  <si>
    <t>172</t>
  </si>
  <si>
    <t>Санниковское</t>
  </si>
  <si>
    <t>08650434</t>
  </si>
  <si>
    <t>173</t>
  </si>
  <si>
    <t>Село Богородское</t>
  </si>
  <si>
    <t>08650401</t>
  </si>
  <si>
    <t>174</t>
  </si>
  <si>
    <t>Село Булава</t>
  </si>
  <si>
    <t>08650407</t>
  </si>
  <si>
    <t>175</t>
  </si>
  <si>
    <t>Солонцовское</t>
  </si>
  <si>
    <t>08650437</t>
  </si>
  <si>
    <t>176</t>
  </si>
  <si>
    <t>Софийское</t>
  </si>
  <si>
    <t>08650440</t>
  </si>
  <si>
    <t>177</t>
  </si>
  <si>
    <t>Сусанинское</t>
  </si>
  <si>
    <t>08650443</t>
  </si>
  <si>
    <t>178</t>
  </si>
  <si>
    <t>Тахтинское</t>
  </si>
  <si>
    <t>08650449</t>
  </si>
  <si>
    <t>179</t>
  </si>
  <si>
    <t>Тырское</t>
  </si>
  <si>
    <t>08650452</t>
  </si>
  <si>
    <t>180</t>
  </si>
  <si>
    <t>181</t>
  </si>
  <si>
    <t>Ухтинское</t>
  </si>
  <si>
    <t>08650455</t>
  </si>
  <si>
    <t>182</t>
  </si>
  <si>
    <t>Циммермановское</t>
  </si>
  <si>
    <t>08650458</t>
  </si>
  <si>
    <t>183</t>
  </si>
  <si>
    <t>Анастасьевское</t>
  </si>
  <si>
    <t>08655402</t>
  </si>
  <si>
    <t>184</t>
  </si>
  <si>
    <t>Бычихинское</t>
  </si>
  <si>
    <t>08655407</t>
  </si>
  <si>
    <t>185</t>
  </si>
  <si>
    <t>Восточное</t>
  </si>
  <si>
    <t>08655476</t>
  </si>
  <si>
    <t>186</t>
  </si>
  <si>
    <t>Галкинское</t>
  </si>
  <si>
    <t>08655412</t>
  </si>
  <si>
    <t>187</t>
  </si>
  <si>
    <t>Дружбинское</t>
  </si>
  <si>
    <t>08655415</t>
  </si>
  <si>
    <t>188</t>
  </si>
  <si>
    <t>Елабужское</t>
  </si>
  <si>
    <t>08655416</t>
  </si>
  <si>
    <t>189</t>
  </si>
  <si>
    <t>Ильинское</t>
  </si>
  <si>
    <t>08655419</t>
  </si>
  <si>
    <t>190</t>
  </si>
  <si>
    <t>Казакевичевское</t>
  </si>
  <si>
    <t>08655422</t>
  </si>
  <si>
    <t>191</t>
  </si>
  <si>
    <t>Князе-Волконское</t>
  </si>
  <si>
    <t>08655425</t>
  </si>
  <si>
    <t>192</t>
  </si>
  <si>
    <t>Корсаковское</t>
  </si>
  <si>
    <t>08655431</t>
  </si>
  <si>
    <t>193</t>
  </si>
  <si>
    <t>Куканское</t>
  </si>
  <si>
    <t>08655434</t>
  </si>
  <si>
    <t>194</t>
  </si>
  <si>
    <t>Малышевское</t>
  </si>
  <si>
    <t>08655437</t>
  </si>
  <si>
    <t>195</t>
  </si>
  <si>
    <t>Мирненское</t>
  </si>
  <si>
    <t>08655440</t>
  </si>
  <si>
    <t>196</t>
  </si>
  <si>
    <t>Мичуринское</t>
  </si>
  <si>
    <t>08655443</t>
  </si>
  <si>
    <t>197</t>
  </si>
  <si>
    <t>Наумовское</t>
  </si>
  <si>
    <t>08655445</t>
  </si>
  <si>
    <t>198</t>
  </si>
  <si>
    <t>Некрасовское</t>
  </si>
  <si>
    <t>08655448</t>
  </si>
  <si>
    <t>199</t>
  </si>
  <si>
    <t>Новокуровское</t>
  </si>
  <si>
    <t>08655452</t>
  </si>
  <si>
    <t>200</t>
  </si>
  <si>
    <t>Осиновореченское</t>
  </si>
  <si>
    <t>08655453</t>
  </si>
  <si>
    <t>201</t>
  </si>
  <si>
    <t>Петропавловское</t>
  </si>
  <si>
    <t>08655455</t>
  </si>
  <si>
    <t>202</t>
  </si>
  <si>
    <t>Побединское</t>
  </si>
  <si>
    <t>08655458</t>
  </si>
  <si>
    <t>203</t>
  </si>
  <si>
    <t>Поселок Корфовский</t>
  </si>
  <si>
    <t>08655155</t>
  </si>
  <si>
    <t>204</t>
  </si>
  <si>
    <t>Ракитненское</t>
  </si>
  <si>
    <t>08655459</t>
  </si>
  <si>
    <t>205</t>
  </si>
  <si>
    <t>Сергеевское</t>
  </si>
  <si>
    <t>08655460</t>
  </si>
  <si>
    <t>206</t>
  </si>
  <si>
    <t>Сикачи-Алянское</t>
  </si>
  <si>
    <t>08655462</t>
  </si>
  <si>
    <t>207</t>
  </si>
  <si>
    <t>Тополевское</t>
  </si>
  <si>
    <t>08655465</t>
  </si>
  <si>
    <t>208</t>
  </si>
  <si>
    <t>Улика-Национальное</t>
  </si>
  <si>
    <t>08655467</t>
  </si>
  <si>
    <t>209</t>
  </si>
  <si>
    <t>Челнинское</t>
  </si>
  <si>
    <t>08655473</t>
  </si>
  <si>
    <t>211</t>
  </si>
  <si>
    <t>им. Лазо муниципальный район</t>
  </si>
  <si>
    <t>08624000</t>
  </si>
  <si>
    <t>Бичевское</t>
  </si>
  <si>
    <t>08624402</t>
  </si>
  <si>
    <t>212</t>
  </si>
  <si>
    <t>Гвасюгинское</t>
  </si>
  <si>
    <t>08624407</t>
  </si>
  <si>
    <t>213</t>
  </si>
  <si>
    <t>Георгиевское</t>
  </si>
  <si>
    <t>08624404</t>
  </si>
  <si>
    <t>214</t>
  </si>
  <si>
    <t>Долминское</t>
  </si>
  <si>
    <t>08624410</t>
  </si>
  <si>
    <t>215</t>
  </si>
  <si>
    <t>Дурминское</t>
  </si>
  <si>
    <t>08624413</t>
  </si>
  <si>
    <t>216</t>
  </si>
  <si>
    <t>Золотинское</t>
  </si>
  <si>
    <t>08624416</t>
  </si>
  <si>
    <t>217</t>
  </si>
  <si>
    <t>Кондратьевское</t>
  </si>
  <si>
    <t>08624422</t>
  </si>
  <si>
    <t>218</t>
  </si>
  <si>
    <t>Кругликовское</t>
  </si>
  <si>
    <t>08624425</t>
  </si>
  <si>
    <t>219</t>
  </si>
  <si>
    <t>Марусинское</t>
  </si>
  <si>
    <t>08624428</t>
  </si>
  <si>
    <t>220</t>
  </si>
  <si>
    <t>Могилевское</t>
  </si>
  <si>
    <t>08624431</t>
  </si>
  <si>
    <t>221</t>
  </si>
  <si>
    <t>Оборское</t>
  </si>
  <si>
    <t>08624434</t>
  </si>
  <si>
    <t>222</t>
  </si>
  <si>
    <t>Полетнинское</t>
  </si>
  <si>
    <t>08624437</t>
  </si>
  <si>
    <t>223</t>
  </si>
  <si>
    <t>Поселок Мухен</t>
  </si>
  <si>
    <t>08624154</t>
  </si>
  <si>
    <t>224</t>
  </si>
  <si>
    <t>Поселок Переяславка</t>
  </si>
  <si>
    <t>08624151</t>
  </si>
  <si>
    <t>225</t>
  </si>
  <si>
    <t>Поселок Хор</t>
  </si>
  <si>
    <t>08624157</t>
  </si>
  <si>
    <t>226</t>
  </si>
  <si>
    <t>Святогорское</t>
  </si>
  <si>
    <t>08624440</t>
  </si>
  <si>
    <t>227</t>
  </si>
  <si>
    <t>Сидиминское</t>
  </si>
  <si>
    <t>08624443</t>
  </si>
  <si>
    <t>228</t>
  </si>
  <si>
    <t>Ситинское</t>
  </si>
  <si>
    <t>08624446</t>
  </si>
  <si>
    <t>229</t>
  </si>
  <si>
    <t>Сукпайское</t>
  </si>
  <si>
    <t>08624450</t>
  </si>
  <si>
    <t>230</t>
  </si>
  <si>
    <t>Черняевское</t>
  </si>
  <si>
    <t>08624452</t>
  </si>
  <si>
    <t>231</t>
  </si>
  <si>
    <t>232</t>
  </si>
  <si>
    <t>им. Полины Осипенко муниципальный район</t>
  </si>
  <si>
    <t>08637000</t>
  </si>
  <si>
    <t>Бриаканское</t>
  </si>
  <si>
    <t>08637402</t>
  </si>
  <si>
    <t>233</t>
  </si>
  <si>
    <t>Владимировское</t>
  </si>
  <si>
    <t>08637404</t>
  </si>
  <si>
    <t>234</t>
  </si>
  <si>
    <t>Межселенные территории, входящие в состав муниципального района имени Полины Осипенко, включающие п Октябрьский, гидрологический пост Обхорошее и др.</t>
  </si>
  <si>
    <t>08637701</t>
  </si>
  <si>
    <t>235</t>
  </si>
  <si>
    <t>Удинское</t>
  </si>
  <si>
    <t>08637416</t>
  </si>
  <si>
    <t>236</t>
  </si>
  <si>
    <t>Херпучинское</t>
  </si>
  <si>
    <t>08637419</t>
  </si>
  <si>
    <t>237</t>
  </si>
  <si>
    <t>им. Полины Осипенко</t>
  </si>
  <si>
    <t>08637406</t>
  </si>
  <si>
    <t>238</t>
  </si>
  <si>
    <t>239</t>
  </si>
  <si>
    <t>NUMBER_POINT</t>
  </si>
  <si>
    <t>INVP_NAME</t>
  </si>
  <si>
    <t>INVP_ID</t>
  </si>
  <si>
    <t>L_START_DATE</t>
  </si>
  <si>
    <t>L_END_DATE</t>
  </si>
  <si>
    <t>L_DECISION_NAME</t>
  </si>
  <si>
    <t>L_DECISION_TYPE</t>
  </si>
  <si>
    <t>L_DECISION_NMBR</t>
  </si>
  <si>
    <t>L_DECISION_DATE</t>
  </si>
  <si>
    <t>Инвестиционная программа № 1021-р от 23.07.2024 МУП Г. ХАБАРОВСКА "ТЕПЛОВЫЕ СЕТИ" в сфере теплоснабжения по развитию и модернизации котельных, на территории городского округа Хабаровск на 2025-2028 годы</t>
  </si>
  <si>
    <t>01.01.2025</t>
  </si>
  <si>
    <t>31.12.2028</t>
  </si>
  <si>
    <t>Инвестиционная программа № 1037-р от 23.07.2021 Муниципальное унитарное Топливно-снабженченское предприятие в сфере теплоснабжения по модернизации и реконструкции котельных и тепловых сетей, на территории городского поселения Поселок Переяславка, им. Лазо муниципальный район на 2022-2025 годы</t>
  </si>
  <si>
    <t>01.01.2022</t>
  </si>
  <si>
    <t>31.12.2025</t>
  </si>
  <si>
    <t>Инвестиционная программа № 1038-р от 23.07.2021 Муниципальное унитарное Топливно-снабженченское предприятие в сфере теплоснабжения по модернизации и реконструкции котельных и тепловых сетей, на территории городского поселения Поселок Переяславка, им. Лазо муниципальный район на 2022-2025 годы</t>
  </si>
  <si>
    <t>Инвестиционная программа № 1125-р от 10.08.2020 Муниципальное унитарное Топливно-снабженченское предприятие в сфере теплоснабжения по развитию системы теплоснабжения, на территории сельского поселения Золотинское, им. Лазо муниципальный район на 2021-2025 годы</t>
  </si>
  <si>
    <t>01.01.2021</t>
  </si>
  <si>
    <t>Инвестиционная программа № 1126-р от 10.08.2020 Муниципальное унитарное Топливно-снабженченское предприятие в сфере теплоснабжения по развитию системы теплоснабжения, на территории сельского поселения Полетнинское, им. Лазо муниципальный район на 2021-2024 годы</t>
  </si>
  <si>
    <t>31.12.2024</t>
  </si>
  <si>
    <t>Инвестиционная программа № 1127-р от 10.08.2020 МУП "Лазовская ПА" в сфере теплоснабжения по комплексному развитию систем теплоснабжения, на территории сельского поселения Святогорское, им. Лазо муниципальный район на 2021-2025 годы</t>
  </si>
  <si>
    <t>Инвестиционная программа № 1134-р от 12.08.2020 МУП "Коммунальщик муниципального района имени Лазо" в сфере теплоснабжения по развитию системы теплоснабжения, на территории сельского поселения Дурминское, им. Лазо муниципальный район на 2021-2024 годы</t>
  </si>
  <si>
    <t>Инвестиционная программа № 1135-р от 12.08.2020 Муниципальное унитарное Топливно-снабженченское предприятие в сфере теплоснабжения по развитию системы теплоснабжения, на территории с Гродеково, Могилевское, им. Лазо муниципальный район на 2021-2024 годы</t>
  </si>
  <si>
    <t>Инвестиционная программа № 1152-р от 19.08.2020 МУП "Коммунальщик муниципального района имени Лазо" в сфере теплоснабжения по комплексному развитию систем теплоснабжения, на территории сельского поселения Георгиевское, им. Лазо муниципальный район на 2021-2024 годы</t>
  </si>
  <si>
    <t>Инвестиционная программа № 1194-р от 19.08.2021 Муниципальное унитарное Топливно-снабженченское предприятие в сфере теплоснабжения по модернизации и реконструкции системы теплоснабжения, на территории городского поселения Поселок Переяславка, им. Лазо муниципальный район на 2022-2024 годы</t>
  </si>
  <si>
    <t>Инвестиционная программа № 1227-р от 27.08.2020 Муниципальное унитарное Топливно-снабженченское предприятие в сфере теплоснабжения по развитию системы теплоснабжения, на территории с Соколовка, Марусинское, им. Лазо муниципальный район на 2021-2024 годы</t>
  </si>
  <si>
    <t>31.01.2024</t>
  </si>
  <si>
    <t>Инвестиционная программа № 1236-р от 31.08.2021 ООО "АмурТермоЭнерго" в сфере теплоснабжения по реконструкции систем теплоснабжения, на территории сельского поселения Сергеевское, Хабаровский муниципальный район на 2022-2041 годы</t>
  </si>
  <si>
    <t>31.12.2041</t>
  </si>
  <si>
    <t>Инвестиционная программа № 1245-р от 09.09.2020 МУП "Коммунальщик муниципального района имени Лазо" в сфере теплоснабжения по комплексному развитию систем теплоснабжения, на территории сельского поселения Сукпайское, им. Лазо муниципальный район на 2021-2023 годы</t>
  </si>
  <si>
    <t>31.12.2023</t>
  </si>
  <si>
    <t>Инвестиционная программа № 1245-рп от 26.11.2020 МУП "Сосновка" в сфере теплоснабжения в отношении системы теплоснабжения, на территории городского округа на 2021-2023 годы</t>
  </si>
  <si>
    <t>Инвестиционная программа № 1251-р от 28.10.2024 ООО "ГЛОБАЛ" в сфере теплоснабжения по развитию систем теплоснабжения, на территории городского поселения Поселок Хор, им. Лазо муниципальный район на 2025-2029 годы</t>
  </si>
  <si>
    <t>31.12.2029</t>
  </si>
  <si>
    <t>Инвестиционная программа № 1253-р от 09.09.2021 МУП "Коммунальщик муниципального района имени Лазо" в сфере теплоснабжения по развитию системы теплоснабжения, на территории городского поселения Поселок Мухен, им. Лазо муниципальный район на 2022-2025 годы</t>
  </si>
  <si>
    <t>Инвестиционная программа № 126-р от 10.02.2022 ООО "АмурТермоЭнерго" в сфере теплоснабжения по реконструкции систем теплоснабжения, на территории с Черная Речка, Восточное, Хабаровский муниципальный район на 2022-2041 годы</t>
  </si>
  <si>
    <t>10.02.2022</t>
  </si>
  <si>
    <t>Инвестиционная программа № 1313-р от 12.11.2024 ООО "Шел ТЭК" в сфере теплоснабжения по развитию систем теплоснабжения, на территории городского поселения Поселок Солнечный, Солнечный муниципальный район на 2024-2033 годы</t>
  </si>
  <si>
    <t>12.11.2024</t>
  </si>
  <si>
    <t>31.12.2033</t>
  </si>
  <si>
    <t>Инвестиционная программа № 1389-р от 29.11.2024 КГУП "Региональные коммунальные системы" в сфере теплоснабжения по модернизации систем теплоснабжения, на территории городского поселения Поселок Заветы Ильича, Советско-Гаванский муниципальный район на 2024-2025 годы</t>
  </si>
  <si>
    <t>29.11.2024</t>
  </si>
  <si>
    <t>Инвестиционная программа № 1491-р от 22.08.2022 Бикинское МУП "Топливно-энергетический комплекс" в сфере теплоснабжения по развитию систем теплоснабжения, на территории городского поселения Город Бикин, Бикинский муниципальный район на 2023-2027 годы</t>
  </si>
  <si>
    <t>01.01.2023</t>
  </si>
  <si>
    <t>31.12.2027</t>
  </si>
  <si>
    <t>Инвестиционная программа № 1528-р от 26.12.2024 ООО "ЖИЛСТРОЙСЕРВИС" в сфере теплоснабжения по модернизации и реконструкции централизованных систем теплоснабжения на 2024-2039 годы</t>
  </si>
  <si>
    <t>26.12.2024</t>
  </si>
  <si>
    <t>26.12.2039</t>
  </si>
  <si>
    <t>Инвестиционная программа № 1528-р от 30.10.2020 МУП "Теплоцентраль" в сфере теплоснабжения по модернизации и реконструкции тепловых сетей, на территории городского округа Комсомольск-на-Амуре на 2021-2022 годы</t>
  </si>
  <si>
    <t>31.12.2022</t>
  </si>
  <si>
    <t>Инвестиционная программа № 1606-р от 26.10.2021 ООО "ЭНКИ ДВ" в сфере теплоснабжения по реконструкции тепловых сетей, на территории сельского поселения Бычихинское, Хабаровский муниципальный район на 2022-2034 годы</t>
  </si>
  <si>
    <t>31.12.2034</t>
  </si>
  <si>
    <t>Инвестиционная программа № 1609-р от 11.11.2020 ООО "Шел ТЭК" в сфере теплоснабжения по развитию систем теплоснабжения, на территории муниципального района Амурский на 2021-2035 годы</t>
  </si>
  <si>
    <t>31.12.2035</t>
  </si>
  <si>
    <t>Инвестиционная программа № 1615-р от 19.10.2023 ООО "Охотскэнерго" в сфере теплоснабжения по реконструкции систем теплоснабжения, на территории муниципального района Охотский на 2023-2032 годы</t>
  </si>
  <si>
    <t>19.10.2023</t>
  </si>
  <si>
    <t>31.12.2032</t>
  </si>
  <si>
    <t>Инвестиционная программа № 1664-р от 30.10.2023 ООО "Троицкий энергетический комплекс" в сфере теплоснабжения по реконструкции систем теплоснабжения, на территории сельского поселения Вознесенское, Амурский муниципальный район на 2024-2030 годы</t>
  </si>
  <si>
    <t>01.01.2024</t>
  </si>
  <si>
    <t>31.12.2030</t>
  </si>
  <si>
    <t>Инвестиционная программа № 1665-р от 30.10.2023 ООО "Жил ТЭК" в сфере теплоснабжения по реконструкции систем теплоснабжения, на территории п Снежный, Снежинское, Комсомольский муниципальный район на 2024-2028 годы</t>
  </si>
  <si>
    <t>Инвестиционная программа № 1699-р от 08.11.2021 ООО "АмурТермоЭнерго" в сфере теплоснабжения по реконструкции систем теплоснабжения, на территории с Гаровка-2, Ракитненское, Хабаровский муниципальный район на 2022-2041 годы</t>
  </si>
  <si>
    <t>Инвестиционная программа № 1795-р от 23.11.2021 ООО "Интелектуальные Коммунальные Системы Ванино" в сфере теплоснабжения по модернизации систем теплоснабжения, на территории городского поселения Поселок Ванино, Ванинский муниципальный район на 2022-2046 годы</t>
  </si>
  <si>
    <t>31.12.2046</t>
  </si>
  <si>
    <t>Инвестиционная программа № 1857-р от 13.10.2022 ООО "АмурТермоЭнерго" в сфере теплоснабжения по реконструкции систем теплоснабжения, на территории с Калинка, Сергеевское, Хабаровский муниципальный район на 2023-2042 годы</t>
  </si>
  <si>
    <t>31.12.2042</t>
  </si>
  <si>
    <t>Инвестиционная программа № 1938-р от 18.12.2023 ООО "Шел ТЭК" в сфере теплоснабжения по реконструкции систем теплоснабжения, на территории городского поселения Поселок Лазарев, Николаевский муниципальный район на 2024-2033 годы</t>
  </si>
  <si>
    <t>Инвестиционная программа № 1941-р от 18.12.2023 ООО "Теплоэнергетическая компания "Уссури" в сфере теплоснабжения по реконструкции тепловых сетей, на территории сельского поселения Село Богородское, Ульчский муниципальный район на 2024 год</t>
  </si>
  <si>
    <t>Инвестиционная программа № 1941-р от 18.12.2023 ООО "Теплоэнергетическая компания "Уссури" в сфере теплоснабжения по реконструкции тепловых сетей, на территории сельского поселения Село Богородское, Ульчский муниципальный район на 2024-2034 годы</t>
  </si>
  <si>
    <t>Инвестиционная программа № 2117-р от 21.11.2022 ООО "ЭНКИ ДВ" в сфере теплоснабжения по реконструкции систем теплоснабжения, на территории п Кукан, Куканское, Хабаровский муниципальный район на 2022-2042 годы</t>
  </si>
  <si>
    <t>21.11.2022</t>
  </si>
  <si>
    <t>Инвестиционная программа № 213-р от 10.02.2023 ООО "Шел ТЭК" в сфере теплоснабжения по развитию систем теплоснабжения, на территории сельского поселения Ягодненское, Комсомольский муниципальный район на 2023-2038 годы</t>
  </si>
  <si>
    <t>10.02.2023</t>
  </si>
  <si>
    <t>31.12.2038</t>
  </si>
  <si>
    <t>Инвестиционная программа № 23@ (с изм. N38@ от 28.12.2023) от 12.12.2019 АО "ДГК" в сфере теплоснабжения и горячего водоснабжения по строительству, реконструкции, модернизации и развитию котельных и тепловых сетей на 2023-2027 годы</t>
  </si>
  <si>
    <t>Инвестиционная программа № 249-р от 26.02.2024 ООО "Регион Тепло" в сфере теплоснабжения по развитию систем теплоснабжения, на территории с Георгиевка, Георгиевское, им. Лазо муниципальный район на 2025-2045 годы</t>
  </si>
  <si>
    <t>31.12.2045</t>
  </si>
  <si>
    <t>Инвестиционная программа № 314-р от 28.03.2022 ООО "Светлана в сфере теплоснабжения по развитию систем теплоснабжения, на территории сельского поселения Тумнинское, Ванинский муниципальный район на 2022-2036 годы</t>
  </si>
  <si>
    <t>28.03.2022</t>
  </si>
  <si>
    <t>31.12.2036</t>
  </si>
  <si>
    <t>Инвестиционная программа № 335-р от 14.03.2023 ООО "Тополевское" в сфере теплоснабжения по реконструкции систем теплоснабжения, на территории с Заозерное, Тополевское, Хабаровский муниципальный район на 2023-2042 годы</t>
  </si>
  <si>
    <t>14.03.2023</t>
  </si>
  <si>
    <t>Инвестиционная программа № 39@ от 23.12.2024 АО "ДГК" в сфере теплоснабжения и горячего водоснабжения по строительству, реконструкции, модернизации и развитию котельных и тепловых сетей на 2024-2029 годы</t>
  </si>
  <si>
    <t>23.12.2024</t>
  </si>
  <si>
    <t>Инвестиционная программа № 3@ от 15.09.2022 Охотский филиал ОАО "Теплоэнергосервис" в сфере теплоснабжения по модернизации систем коммунальной инфраструктуры, на территории муниципального района Охотский на 2023 год</t>
  </si>
  <si>
    <t>Инвестиционная программа № 521-р от 11.04.2024 ООО "СервисМонтажСтрой" в сфере теплоснабжения по модернизации и реконструкции систем теплоснабжения, на территории с Осиновая Речка, Осиновореченское, Хабаровский муниципальный район на 2024-2046 годы</t>
  </si>
  <si>
    <t>11.04.2024</t>
  </si>
  <si>
    <t>Инвестиционная программа № 526-рп от 17.08.2023 МУП "Производственное предприятие тепловых сетей" в сфере теплоснабжения по модернизации, реконструкции и техническому перевооружению систем теплоснабжения, на территории городского округа Комсомольск-на-Амуре на 2024-2028 годы</t>
  </si>
  <si>
    <t>Инвестиционная программа № 645-р от 16.05.2022 ООО "Тепло-Амур" в сфере теплоснабжения по реконструкции системы теплоснабжения, на территории сельского поселения Болоньское, Амурский муниципальный район на 2022-2030 годы</t>
  </si>
  <si>
    <t>01.08.2022</t>
  </si>
  <si>
    <t>Инвестиционная программа № 662-рп от 24.10.2024 МУП г. Хабаровска "Тепловые сети" в сфере теплоснабжения по модернизации и строительству объектов, на территории городского округа Хабаровск на 2024 год</t>
  </si>
  <si>
    <t>24.10.2024</t>
  </si>
  <si>
    <t>Инвестиционная программа № 695-р от 03.06.2021 ООО "Тепловик+" в сфере теплоснабжения по развитию систем теплоснабжения, на территории сельского поселения Даппинское, Комсомольский муниципальный район на 2022-2024 годы</t>
  </si>
  <si>
    <t>Инвестиционная программа № 732-рп от 12.08.2021 МУП г. Хабаровска "Тепловые сети" в сфере теплоснабжения по строительству, реконструкции, модернизации и развитию имущественного комплекса, на территории городского округа Хабаровск на 2022-2024 годы</t>
  </si>
  <si>
    <t>Инвестиционная программа № 783-р от 28.06.2021 ООО "Шел ТЭК" в сфере теплоснабжения по развитию систем теплоснабжения, на территории муниципального района Комсомольский на 2022-2026 годы</t>
  </si>
  <si>
    <t>31.12.2026</t>
  </si>
  <si>
    <t>Инвестиционная программа № 824-рп от 18.12.2024 ООО "ДГК-НТС" в сфере теплоснабжения по техническому перевооружению тепловой сети, на территории городского поселения Город Николаевск-на-Амуре, Николаевский муниципальный район на 2025-2028 годы</t>
  </si>
  <si>
    <t>Инвестиционная программа № 843-р от 13.07.2023 МООО "Энергокомплект" в сфере теплоснабжения по реконструкции объектов, на территории с Бриакан, Бриаканское, им. Полины Осипенко муниципальный район на 2023-2031 годы</t>
  </si>
  <si>
    <t>13.07.2023</t>
  </si>
  <si>
    <t>31.12.2031</t>
  </si>
  <si>
    <t>Инвестиционная программа № 919-р от 14.07.2020 МУП "Коммунальщик муниципального района имени Лазо" в сфере теплоснабжения по развитию системы теплоснабжения, на территории п Сита, Ситинское, им. Лазо муниципальный район на 2021-2022 годы</t>
  </si>
  <si>
    <t>Инвестиционная программа № 948-р от 22.07.2020 МУП "Лазовская ПА" в сфере теплоснабжения по комплексному развитию систем теплоснабжения, на территории сельского поселения Гвасюгинское, им. Лазо муниципальный район на 2021-2025 годы</t>
  </si>
  <si>
    <t>Инвестиционная программа № 951-р от 24.07.2020 МУП "Коммунальщик муниципального района имени Лазо" в сфере теплоснабжения по развитию системы теплоснабжения, на территории с Черняево, Черняевское, им. Лазо муниципальный район на 2021-2022 годы</t>
  </si>
  <si>
    <t>Инвестиционная программа № 969-р от 08.07.2021 МУП "Лазовская ПА" в сфере теплоснабжения по развитию систем теплоснабжения, на территории сельского поселения Бичевское, им. Лазо муниципальный район на 2022 год</t>
  </si>
  <si>
    <t>Инвестиционная программа № 969-р от 08.07.2021 МУП "Лазовская ПА" в сфере теплоснабжения по развитию системы теплоснабжения, на территории сельского поселения Бичевское, им. Лазо муниципальный район на 2022-2025 годы</t>
  </si>
  <si>
    <t>Инвестиционная программа от 03.03.2021 ООО "АмурТермоЭнерго" в сфере теплоснабжения по реконструкции котельных и тепловых сетей, на территории сельского поселения Князе-Волконское, Хабаровский муниципальный район на 2021-2040 годы</t>
  </si>
  <si>
    <t>03.03.2021</t>
  </si>
  <si>
    <t>31.12.2040</t>
  </si>
  <si>
    <t>Инвестиционная программа от 05.05.2022 ООО "Масштаб" в сфере теплоснабжения по реконструкции тепловых сетей, на территории сельского поселения Падалинское, Амурский муниципальный район на 2022-2030 годы</t>
  </si>
  <si>
    <t>01.12.2022</t>
  </si>
  <si>
    <t>Инвестиционная программа от 13.09.2022 ООО "Теплоэнергетическая компания "Уссури" в сфере теплоснабжения по реконструкции котельных и тепловых сетей, на территории сельского поселения Сусанинское, Ульчский муниципальный район на 2022-2035 годы</t>
  </si>
  <si>
    <t>Инвестиционная программа от 13.09.2022 ООО "Теплоэнергетическая компания "Уссури" в сфере теплоснабжения по реконструкции систем теплоснабжения, на территории сельского поселения Сусанинское, Ульчский муниципальный район на 2022-2035 годы</t>
  </si>
  <si>
    <t>Инвестиционная программа от 15.07.2024 МУП Г. ХАБАРОВСКА "ТЕПЛОВЫЕ СЕТИ" в сфере теплоснабжения по модернизации, развитию и техническому перевооружению объектов, на территории городского округа Хабаровск на 2025-2027 годы</t>
  </si>
  <si>
    <t>Инвестиционная программа от 18.12.2023 ООО "Шел ТЭК" в сфере теплоснабжения по реконструкции систем теплоснабжения, на территории городского поселения Поселок Лазарев, Николаевский муниципальный район на 2023-2033 годы</t>
  </si>
  <si>
    <t>18.12.2023</t>
  </si>
  <si>
    <t>Инвестиционная программа от 24.08.2022 КГУП "Региональные коммунальные системы" в сфере теплоснабжения по реконструкции системы теплоснабжения, на территории сельского поселения Литовское, Амурский муниципальный район на 2023-2047 годы</t>
  </si>
  <si>
    <t>31.12.2047</t>
  </si>
  <si>
    <t>Инвестиционная программа от 26.12.2023 ООО "ИКС-Хабаровск" в сфере теплоснабжения по строительству тепловой сети, на территории городского округа Хабаровск на 2024-2048 годы</t>
  </si>
  <si>
    <t>31.12.2048</t>
  </si>
  <si>
    <t>Инвестиционная программа от 28.03.2022 ООО "Светлана в сфере теплоснабжения по комплексному развитию объектов, на территории сельского поселения Тумнинское, Ванинский муниципальный район на 2022-2035 годы</t>
  </si>
  <si>
    <t>31.05.2035</t>
  </si>
  <si>
    <t>Инвестиционная программа от 28.03.2022 ООО "Светлана в сфере теплоснабжения по комплексному развитию объектов, на территории сельского поселения Тумнинское, Ванинский муниципальный район на 2022-2036 годы</t>
  </si>
  <si>
    <t>31.05.2036</t>
  </si>
  <si>
    <t>Инвестиционная программа от 30.06.2023 Охотский филиал ОАО "Теплоэнергосервис" в сфере теплоснабжения по реконструкции и модернизации существующих объектов инфраструктуры, на территории муниципального округа Охотский на 2024-2028 годы</t>
  </si>
  <si>
    <t>Инвестиционная программа от 30.10.2023 ООО "Троицкий энергетический комплекс" в сфере теплоснабжения по развитию систем теплоснабжения, на территории сельского поселения Вознесенское, Амурский муниципальный район на 2023-2030 годы</t>
  </si>
  <si>
    <t>30.10.2023</t>
  </si>
  <si>
    <t>TER_NAME</t>
  </si>
  <si>
    <t>Территория 1</t>
  </si>
  <si>
    <t>Территория 2</t>
  </si>
  <si>
    <t>Территория 3</t>
  </si>
  <si>
    <t>Территория 4</t>
  </si>
  <si>
    <t>Территория 5</t>
  </si>
  <si>
    <t>Территория 6</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</si>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</sst>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15" formatCode="000000"/>
    <numFmt numFmtId="216" formatCode="#,##0.000"/>
    <numFmt numFmtId="217" formatCode="#,##0.0000"/>
    <numFmt numFmtId="218" formatCode="dd\.mm\.yyyy"/>
    <numFmt numFmtId="219" formatCode="h:mm;@"/>
    <numFmt numFmtId="220" formatCode="_-* #,##0.00\ _₽_-;\-* #,##0.00\ _₽_-;_-* &quot;-&quot;??\ _₽_-;_-@_-"/>
    <numFmt numFmtId="221" formatCode="_-* #,##0\ _₽_-;\-* #,##0\ _₽_-;_-* &quot;-&quot;\ _₽_-;_-@_-"/>
    <numFmt numFmtId="222" formatCode="_-* #,##0.00\ &quot;₽&quot;_-;\-* #,##0.00\ &quot;₽&quot;_-;_-* &quot;-&quot;??\ &quot;₽&quot;_-;_-@_-"/>
    <numFmt numFmtId="223" formatCode="_-* #,##0\ &quot;₽&quot;_-;\-* #,##0\ &quot;₽&quot;_-;_-* &quot;-&quot;\ &quot;₽&quot;_-;_-@_-"/>
    <numFmt numFmtId="224" formatCode="_-* #,##0.00[$€-1]_-;\-* #,##0.00[$€-1]_-;_-* &quot;-&quot;??[$€-1]_-"/>
    <numFmt numFmtId="225"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20" fontId="6" fillId="0" borderId="0" applyFont="0" applyFill="0" applyBorder="0" applyNumberFormat="1">
      <alignment vertical="top"/>
    </xf>
    <xf numFmtId="221" fontId="6" fillId="0" borderId="0" applyFont="0" applyFill="0" applyBorder="0" applyNumberFormat="1">
      <alignment vertical="top"/>
    </xf>
    <xf numFmtId="222" fontId="6" fillId="0" borderId="0" applyFont="0" applyFill="0" applyBorder="0" applyNumberFormat="1">
      <alignment vertical="top"/>
    </xf>
    <xf numFmtId="223"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24" fontId="20" fillId="0" borderId="0" applyFont="1" applyFill="0" applyBorder="0" applyNumberFormat="1"/>
    <xf numFmtId="38" fontId="21" fillId="0" borderId="0" applyFont="1" applyFill="0" applyBorder="0" applyNumberFormat="1">
      <alignment vertical="top"/>
    </xf>
    <xf numFmtId="225" fontId="22" fillId="33" borderId="0" applyFont="1" applyFill="1" applyBorder="0" applyNumberFormat="1">
      <protection locked="0"/>
    </xf>
    <xf numFmtId="0" fontId="23" fillId="0" borderId="0" applyFont="1" applyFill="0" applyBorder="0">
      <alignment vertical="center"/>
    </xf>
    <xf numFmtId="216" fontId="22" fillId="33" borderId="0" applyFont="1" applyFill="1" applyBorder="0" applyNumberFormat="1">
      <protection locked="0"/>
    </xf>
    <xf numFmtId="217"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8857">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20" fontId="6" fillId="0" borderId="0" xfId="28" applyNumberFormat="1">
      <alignment vertical="top"/>
    </xf>
    <xf numFmtId="221" fontId="6" fillId="0" borderId="0" xfId="29" applyNumberFormat="1">
      <alignment vertical="top"/>
    </xf>
    <xf numFmtId="222" fontId="6" fillId="0" borderId="0" xfId="30" applyNumberFormat="1">
      <alignment vertical="top"/>
    </xf>
    <xf numFmtId="223"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24" fontId="20" fillId="0" borderId="0" xfId="49" applyFont="1" applyNumberFormat="1"/>
    <xf numFmtId="38" fontId="21" fillId="0" borderId="0" xfId="50" applyFont="1" applyNumberFormat="1">
      <alignment vertical="top"/>
    </xf>
    <xf numFmtId="225" fontId="22" fillId="33" borderId="0" xfId="51" applyFont="1" applyFill="1" applyNumberFormat="1">
      <protection locked="0"/>
    </xf>
    <xf numFmtId="0" fontId="23" fillId="0" borderId="0" xfId="52" applyFont="1">
      <alignment vertical="center"/>
    </xf>
    <xf numFmtId="216" fontId="22" fillId="33" borderId="0" xfId="53" applyFont="1" applyFill="1" applyNumberFormat="1">
      <protection locked="0"/>
    </xf>
    <xf numFmtId="217"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20" fontId="31" fillId="0" borderId="0" xfId="28" applyFont="1" applyNumberFormat="1">
      <alignment vertical="top"/>
    </xf>
    <xf numFmtId="221" fontId="31" fillId="0" borderId="0" xfId="29" applyFont="1" applyNumberFormat="1">
      <alignment vertical="top"/>
    </xf>
    <xf numFmtId="222" fontId="31" fillId="0" borderId="0" xfId="30" applyFont="1" applyNumberFormat="1">
      <alignment vertical="top"/>
    </xf>
    <xf numFmtId="223"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20" fontId="31" fillId="0" borderId="0" xfId="28" applyFont="1" applyNumberFormat="1">
      <alignment vertical="top"/>
    </xf>
    <xf numFmtId="221" fontId="31" fillId="0" borderId="0" xfId="29" applyFont="1" applyNumberFormat="1">
      <alignment vertical="top"/>
    </xf>
    <xf numFmtId="222" fontId="31" fillId="0" borderId="0" xfId="30" applyFont="1" applyNumberFormat="1">
      <alignment vertical="top"/>
    </xf>
    <xf numFmtId="223"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20" fontId="31" fillId="0" borderId="0" xfId="28" applyFont="1" applyNumberFormat="1">
      <alignment vertical="top"/>
    </xf>
    <xf numFmtId="221" fontId="31" fillId="0" borderId="0" xfId="29" applyFont="1" applyNumberFormat="1">
      <alignment vertical="top"/>
    </xf>
    <xf numFmtId="222" fontId="31" fillId="0" borderId="0" xfId="30" applyFont="1" applyNumberFormat="1">
      <alignment vertical="top"/>
    </xf>
    <xf numFmtId="223"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20" fontId="31" fillId="0" borderId="0" xfId="28" applyFont="1" applyNumberFormat="1">
      <alignment vertical="top"/>
    </xf>
    <xf numFmtId="221" fontId="31" fillId="0" borderId="0" xfId="29" applyFont="1" applyNumberFormat="1">
      <alignment vertical="top"/>
    </xf>
    <xf numFmtId="222" fontId="31" fillId="0" borderId="0" xfId="30" applyFont="1" applyNumberFormat="1">
      <alignment vertical="top"/>
    </xf>
    <xf numFmtId="223"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20" fontId="31" fillId="0" borderId="0" xfId="28" applyFont="1" applyNumberFormat="1">
      <alignment vertical="top"/>
    </xf>
    <xf numFmtId="221" fontId="31" fillId="0" borderId="0" xfId="29" applyFont="1" applyNumberFormat="1">
      <alignment vertical="top"/>
    </xf>
    <xf numFmtId="222" fontId="31" fillId="0" borderId="0" xfId="30" applyFont="1" applyNumberFormat="1">
      <alignment vertical="top"/>
    </xf>
    <xf numFmtId="223"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215"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16"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217"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217"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217"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215"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217"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217" fontId="22" fillId="39" borderId="13" xfId="0" applyFont="1" applyFill="1" applyBorder="1" applyNumberFormat="1">
      <alignment horizontal="right" vertical="center" wrapText="1"/>
      <protection locked="0"/>
    </xf>
    <xf numFmtId="217"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16"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216"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216"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216" fontId="48" fillId="0" borderId="12" xfId="0" applyFont="1" applyBorder="1" applyNumberFormat="1">
      <alignment horizontal="right" vertical="center" wrapText="1"/>
    </xf>
    <xf numFmtId="216"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216"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215"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215"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215"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18" fontId="0" fillId="39" borderId="12" xfId="0" applyFont="1" applyFill="1" applyBorder="1" applyNumberFormat="1">
      <alignment horizontal="left" vertical="center" wrapText="1" indent="1"/>
      <protection locked="0"/>
    </xf>
    <xf numFmtId="218" fontId="0" fillId="0" borderId="12" xfId="0" applyFont="1" applyBorder="1" applyNumberFormat="1">
      <alignment horizontal="left" vertical="center" wrapText="1" indent="1"/>
    </xf>
    <xf numFmtId="218" fontId="0" fillId="39" borderId="12" xfId="0" applyFont="1" applyFill="1" applyBorder="1" applyNumberFormat="1">
      <alignment horizontal="center" vertical="center" wrapText="1"/>
      <protection locked="0"/>
    </xf>
    <xf numFmtId="218" fontId="48" fillId="0" borderId="0" xfId="0" applyFont="1" applyNumberFormat="1">
      <alignment horizontal="center" vertical="center" wrapText="1"/>
    </xf>
    <xf numFmtId="218" fontId="48" fillId="0" borderId="12" xfId="0" applyFont="1" applyBorder="1" applyNumberFormat="1">
      <alignment horizontal="center" vertical="center" wrapText="1"/>
    </xf>
    <xf numFmtId="218" fontId="0" fillId="39" borderId="12" xfId="0" applyFont="1" applyFill="1" applyBorder="1" applyNumberFormat="1">
      <alignment horizontal="left" vertical="center" wrapText="1"/>
      <protection locked="0"/>
    </xf>
    <xf numFmtId="218" fontId="0" fillId="36" borderId="12" xfId="0" applyFont="1" applyFill="1" applyBorder="1" applyNumberFormat="1">
      <alignment horizontal="left" vertical="center" wrapText="1" indent="1"/>
      <protection locked="0"/>
    </xf>
    <xf numFmtId="218"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218" fontId="0" fillId="39" borderId="14" xfId="0" applyFont="1" applyFill="1" applyBorder="1" applyNumberFormat="1">
      <alignment horizontal="left" vertical="center" wrapText="1"/>
      <protection locked="0"/>
    </xf>
    <xf numFmtId="218"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218"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215"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215"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215" fontId="45" fillId="0" borderId="19" xfId="0" applyFont="1" applyBorder="1" applyNumberFormat="1">
      <alignment horizontal="center" vertical="center" wrapText="1"/>
    </xf>
    <xf numFmtId="215" fontId="45" fillId="0" borderId="20" xfId="0" applyFont="1" applyBorder="1" applyNumberFormat="1">
      <alignment horizontal="center" vertical="center" wrapText="1"/>
    </xf>
    <xf numFmtId="219" fontId="22" fillId="39" borderId="12" xfId="0" applyFont="1" applyFill="1" applyBorder="1" applyNumberFormat="1">
      <alignment horizontal="left" vertical="center" wrapText="1" indent="1"/>
      <protection locked="0"/>
    </xf>
    <xf numFmtId="218"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218"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218"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16"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218" fontId="22" fillId="34" borderId="12" xfId="0" applyFont="1" applyFill="1" applyBorder="1" applyNumberFormat="1">
      <alignment horizontal="left" vertical="center" wrapText="1" indent="1"/>
    </xf>
    <xf numFmtId="218"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18"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218"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218"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215" fontId="22" fillId="0" borderId="17" xfId="0" applyFont="1" applyBorder="1" applyNumberFormat="1">
      <alignment horizontal="center" vertical="center" wrapText="1"/>
    </xf>
    <xf numFmtId="215" fontId="22" fillId="0" borderId="23" xfId="0" applyFont="1" applyBorder="1" applyNumberFormat="1">
      <alignment horizontal="center" vertical="center" wrapText="1"/>
    </xf>
    <xf numFmtId="215" fontId="22" fillId="0" borderId="14" xfId="0" applyFont="1" applyBorder="1" applyNumberFormat="1">
      <alignment horizontal="center" vertical="center" wrapText="1"/>
    </xf>
    <xf numFmtId="215" fontId="22" fillId="0" borderId="15" xfId="0" applyFont="1" applyBorder="1" applyNumberFormat="1">
      <alignment horizontal="center" vertical="center" wrapText="1"/>
    </xf>
    <xf numFmtId="215"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215" fontId="22" fillId="0" borderId="36" xfId="0" applyFont="1" applyBorder="1" applyNumberFormat="1">
      <alignment horizontal="center" vertical="center" wrapText="1"/>
    </xf>
    <xf numFmtId="215" fontId="22" fillId="0" borderId="12" xfId="0" applyFont="1" applyBorder="1" applyNumberFormat="1">
      <alignment horizontal="center" vertical="center" wrapText="1"/>
    </xf>
    <xf numFmtId="215"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218"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18"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18"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18"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18"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18"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18"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15" fontId="22" fillId="0" borderId="14" xfId="0" applyFont="1" applyBorder="1" applyNumberFormat="1">
      <alignment horizontal="center" vertical="center" wrapText="1"/>
    </xf>
    <xf numFmtId="215"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0" fontId="48" fillId="0" borderId="0" xfId="0" applyFont="1" applyNumberFormat="1">
      <alignment vertical="center"/>
    </xf>
    <xf numFmtId="0" fontId="48" fillId="0" borderId="0" xfId="0" applyFont="1" applyNumberFormat="1">
      <alignment vertical="center" wrapText="1"/>
    </xf>
    <xf numFmtId="49" fontId="48"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0" fillId="36" borderId="12" xfId="0" applyFont="1" applyFill="1" applyBorder="1" applyNumberFormat="1">
      <alignment horizontal="left" vertical="top"/>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18"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16" fontId="22" fillId="36" borderId="12" xfId="0" applyFont="1" applyFill="1" applyBorder="1" applyNumberFormat="1">
      <alignment horizontal="right" vertical="center" wrapText="1"/>
      <protection locked="0"/>
    </xf>
    <xf numFmtId="218"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16" fontId="47" fillId="0" borderId="12" xfId="0" applyFont="1" applyBorder="1" applyNumberFormat="1">
      <alignment horizontal="right" vertical="center" wrapText="1"/>
    </xf>
    <xf numFmtId="218"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18"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18"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16"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16" fontId="22" fillId="36" borderId="12" xfId="0" applyFont="1" applyFill="1" applyBorder="1" applyNumberFormat="1">
      <alignment horizontal="right" vertical="center" wrapText="1"/>
      <protection locked="0"/>
    </xf>
    <xf numFmtId="218"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18"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218"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40" borderId="12" xfId="0" applyFont="1" applyFill="1" applyBorder="1" applyNumberFormat="1">
      <alignment horizontal="left" vertical="center" wrapText="1" indent="6"/>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12" xfId="0" applyFont="1" applyBorder="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22" fillId="0" borderId="0" xfId="0" applyFont="1" applyNumberFormat="1">
      <alignment vertical="center" wrapText="1"/>
    </xf>
    <xf numFmtId="0" fontId="22" fillId="0" borderId="12"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0" fontId="22" fillId="0" borderId="0" xfId="0" applyFont="1" applyNumberFormat="1">
      <alignment horizontal="left" vertical="top"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16" fontId="22" fillId="36" borderId="23" xfId="0" applyFont="1" applyFill="1" applyBorder="1" applyNumberFormat="1">
      <alignment horizontal="right" vertical="center" wrapText="1"/>
      <protection locked="0"/>
    </xf>
    <xf numFmtId="218"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16"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16"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16"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16" fontId="48" fillId="0" borderId="12" xfId="0" applyFont="1" applyBorder="1" applyNumberFormat="1">
      <alignment horizontal="right" vertical="center" wrapText="1"/>
    </xf>
    <xf numFmtId="218"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17"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17"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17"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17" fontId="22" fillId="34" borderId="13" xfId="0" applyFont="1" applyFill="1" applyBorder="1" applyNumberFormat="1">
      <alignment horizontal="right" vertical="center" wrapText="1"/>
    </xf>
    <xf numFmtId="217"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17"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18"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18"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18" fontId="0" fillId="39" borderId="13" xfId="0" applyFont="1" applyFill="1" applyBorder="1" applyNumberFormat="1">
      <alignment horizontal="left" vertical="center" wrapText="1"/>
      <protection locked="0"/>
    </xf>
    <xf numFmtId="218"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218" fontId="0" fillId="39" borderId="13" xfId="0" applyFont="1" applyFill="1" applyBorder="1" applyNumberFormat="1">
      <alignment horizontal="left" vertical="center" wrapText="1"/>
      <protection locked="0"/>
    </xf>
    <xf numFmtId="218"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15" fontId="22" fillId="0" borderId="37" xfId="0" applyFont="1" applyBorder="1" applyNumberFormat="1">
      <alignment horizontal="center" vertical="center" wrapText="1"/>
    </xf>
    <xf numFmtId="215"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18" fontId="0" fillId="39" borderId="15" xfId="0" applyFont="1" applyFill="1" applyBorder="1" applyNumberFormat="1">
      <alignment horizontal="left" vertical="center" wrapText="1" indent="1"/>
      <protection locked="0"/>
    </xf>
    <xf numFmtId="219" fontId="22" fillId="39" borderId="12" xfId="0" applyFont="1" applyFill="1" applyBorder="1" applyNumberFormat="1">
      <alignment horizontal="left" vertical="center" wrapText="1" indent="1"/>
      <protection locked="0"/>
    </xf>
    <xf numFmtId="218" fontId="48" fillId="0" borderId="0" xfId="0" applyFont="1" applyNumberFormat="1">
      <alignment horizontal="center" vertical="center" wrapText="1"/>
    </xf>
    <xf numFmtId="215" fontId="22" fillId="0" borderId="17" xfId="0" applyFont="1" applyBorder="1" applyNumberFormat="1">
      <alignment horizontal="center" vertical="center" wrapText="1"/>
    </xf>
    <xf numFmtId="215" fontId="22" fillId="0" borderId="14" xfId="0" applyFont="1" applyBorder="1" applyNumberFormat="1">
      <alignment horizontal="center" vertical="center" wrapText="1"/>
    </xf>
    <xf numFmtId="215" fontId="22" fillId="0" borderId="15" xfId="0" applyFont="1" applyBorder="1" applyNumberFormat="1">
      <alignment horizontal="center" vertical="center" wrapText="1"/>
    </xf>
    <xf numFmtId="215"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15" fontId="22" fillId="0" borderId="23" xfId="0" applyFont="1" applyBorder="1" applyNumberFormat="1">
      <alignment horizontal="center" vertical="center" wrapText="1"/>
    </xf>
    <xf numFmtId="215"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15"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15" fontId="45" fillId="0" borderId="19" xfId="0" applyFont="1" applyBorder="1" applyNumberFormat="1">
      <alignment horizontal="center" vertical="center" wrapText="1"/>
    </xf>
    <xf numFmtId="215" fontId="45" fillId="0" borderId="19" xfId="0" applyFont="1" applyBorder="1" applyNumberFormat="1">
      <alignment horizontal="center" vertical="center" wrapText="1"/>
    </xf>
    <xf numFmtId="215" fontId="45" fillId="0" borderId="20" xfId="0" applyFont="1" applyBorder="1" applyNumberFormat="1">
      <alignment horizontal="center" vertical="center" wrapText="1"/>
    </xf>
    <xf numFmtId="0" fontId="48" fillId="0" borderId="0" xfId="0" applyFont="1" applyNumberFormat="1">
      <alignment horizontal="center" vertical="center"/>
    </xf>
    <xf numFmtId="215" fontId="22" fillId="0" borderId="12" xfId="0" applyFont="1" applyBorder="1" applyNumberFormat="1">
      <alignment horizontal="center" vertical="center" wrapText="1"/>
    </xf>
    <xf numFmtId="215" fontId="22" fillId="0" borderId="36" xfId="0" applyFont="1" applyBorder="1" applyNumberFormat="1">
      <alignment horizontal="center" vertical="center" wrapText="1"/>
    </xf>
    <xf numFmtId="215"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18"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18" fontId="0" fillId="39" borderId="12" xfId="0" applyFont="1" applyFill="1" applyBorder="1" applyNumberFormat="1">
      <alignment horizontal="center" vertical="top" wrapText="1"/>
      <protection locked="0"/>
    </xf>
    <xf numFmtId="218"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18"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18"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18"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18"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18"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15" fontId="22" fillId="0" borderId="14" xfId="0" applyFont="1" applyBorder="1" applyNumberFormat="1">
      <alignment horizontal="center" vertical="center" wrapText="1"/>
    </xf>
    <xf numFmtId="215"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0" fontId="48" fillId="0" borderId="0" xfId="0" applyFont="1" applyNumberFormat="1">
      <alignment vertical="center"/>
    </xf>
    <xf numFmtId="0" fontId="48" fillId="0" borderId="0" xfId="0" applyFont="1" applyNumberFormat="1">
      <alignment vertical="center" wrapText="1"/>
    </xf>
    <xf numFmtId="49" fontId="48"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0" fillId="36" borderId="12" xfId="0" applyFont="1" applyFill="1" applyBorder="1" applyNumberFormat="1">
      <alignment horizontal="left" vertical="top"/>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18"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16" fontId="22" fillId="36" borderId="12" xfId="0" applyFont="1" applyFill="1" applyBorder="1" applyNumberFormat="1">
      <alignment horizontal="right" vertical="center" wrapText="1"/>
      <protection locked="0"/>
    </xf>
    <xf numFmtId="218"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16" fontId="47" fillId="0" borderId="12" xfId="0" applyFont="1" applyBorder="1" applyNumberFormat="1">
      <alignment horizontal="right" vertical="center" wrapText="1"/>
    </xf>
    <xf numFmtId="218"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18"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18"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16"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16" fontId="22" fillId="36" borderId="12" xfId="0" applyFont="1" applyFill="1" applyBorder="1" applyNumberFormat="1">
      <alignment horizontal="right" vertical="center" wrapText="1"/>
      <protection locked="0"/>
    </xf>
    <xf numFmtId="218"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18"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218"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40" borderId="12" xfId="0" applyFont="1" applyFill="1" applyBorder="1" applyNumberFormat="1">
      <alignment horizontal="left" vertical="center" wrapText="1" indent="6"/>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12" xfId="0" applyFont="1" applyBorder="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22" fillId="0" borderId="0" xfId="0" applyFont="1" applyNumberFormat="1">
      <alignment vertical="center" wrapText="1"/>
    </xf>
    <xf numFmtId="0" fontId="22" fillId="0" borderId="12"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0" fontId="22" fillId="0" borderId="0" xfId="0" applyFont="1" applyNumberFormat="1">
      <alignment horizontal="left" vertical="top"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16" fontId="22" fillId="36" borderId="23" xfId="0" applyFont="1" applyFill="1" applyBorder="1" applyNumberFormat="1">
      <alignment horizontal="right" vertical="center" wrapText="1"/>
      <protection locked="0"/>
    </xf>
    <xf numFmtId="218"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16"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0" fillId="0" borderId="0" xfId="0" applyFont="1" applyNumberFormat="1">
      <alignment vertical="top"/>
    </xf>
    <xf numFmtId="0" fontId="22" fillId="0" borderId="14" xfId="0" applyFont="1" applyBorder="1" applyNumberFormat="1">
      <alignment horizontal="center" vertical="center"/>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0" xfId="0" applyFont="1" applyNumberFormat="1">
      <alignment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22"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216" fontId="22" fillId="36" borderId="14" xfId="0" applyFont="1" applyFill="1" applyBorder="1" applyNumberFormat="1">
      <alignment horizontal="right" vertical="center" wrapText="1"/>
      <protection locked="0"/>
    </xf>
    <xf numFmtId="218" fontId="0" fillId="39" borderId="12" xfId="0" applyFont="1" applyFill="1" applyBorder="1" applyNumberFormat="1">
      <alignment horizontal="center" vertical="center" wrapText="1"/>
      <protection locked="0"/>
    </xf>
    <xf numFmtId="4" fontId="22" fillId="36" borderId="13" xfId="0" applyFont="1" applyFill="1" applyBorder="1" applyNumberFormat="1">
      <alignment horizontal="right" vertical="center" wrapText="1"/>
      <protection locked="0"/>
    </xf>
    <xf numFmtId="216"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2" xfId="0" applyFont="1" applyBorder="1" applyNumberFormat="1">
      <alignment horizontal="center"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0" fontId="22" fillId="0" borderId="12"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16"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16"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16" fontId="48" fillId="0" borderId="12" xfId="0" applyFont="1" applyBorder="1" applyNumberFormat="1">
      <alignment horizontal="right" vertical="center" wrapText="1"/>
    </xf>
    <xf numFmtId="218"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17"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17"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17"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17" fontId="22" fillId="34" borderId="13" xfId="0" applyFont="1" applyFill="1" applyBorder="1" applyNumberFormat="1">
      <alignment horizontal="right" vertical="center" wrapText="1"/>
    </xf>
    <xf numFmtId="217"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17"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18"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18"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18" fontId="0" fillId="39" borderId="13" xfId="0" applyFont="1" applyFill="1" applyBorder="1" applyNumberFormat="1">
      <alignment horizontal="left" vertical="center" wrapText="1"/>
      <protection locked="0"/>
    </xf>
    <xf numFmtId="218"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218" fontId="0" fillId="39" borderId="13" xfId="0" applyFont="1" applyFill="1" applyBorder="1" applyNumberFormat="1">
      <alignment horizontal="left" vertical="center" wrapText="1"/>
      <protection locked="0"/>
    </xf>
    <xf numFmtId="218"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218" fontId="0" fillId="39" borderId="13" xfId="0" applyFont="1" applyFill="1" applyBorder="1" applyNumberFormat="1">
      <alignment horizontal="left" vertical="center" wrapText="1"/>
      <protection locked="0"/>
    </xf>
    <xf numFmtId="218"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15" fontId="22" fillId="0" borderId="37" xfId="0" applyFont="1" applyBorder="1" applyNumberFormat="1">
      <alignment horizontal="center" vertical="center" wrapText="1"/>
    </xf>
    <xf numFmtId="215"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18" fontId="0" fillId="39" borderId="15" xfId="0" applyFont="1" applyFill="1" applyBorder="1" applyNumberFormat="1">
      <alignment horizontal="left" vertical="center" wrapText="1" indent="1"/>
      <protection locked="0"/>
    </xf>
    <xf numFmtId="219" fontId="22" fillId="39" borderId="12" xfId="0" applyFont="1" applyFill="1" applyBorder="1" applyNumberFormat="1">
      <alignment horizontal="left" vertical="center" wrapText="1" indent="1"/>
      <protection locked="0"/>
    </xf>
    <xf numFmtId="218" fontId="48" fillId="0" borderId="0" xfId="0" applyFont="1" applyNumberFormat="1">
      <alignment horizontal="center" vertical="center" wrapText="1"/>
    </xf>
    <xf numFmtId="215" fontId="22" fillId="0" borderId="17" xfId="0" applyFont="1" applyBorder="1" applyNumberFormat="1">
      <alignment horizontal="center" vertical="center" wrapText="1"/>
    </xf>
    <xf numFmtId="215" fontId="22" fillId="0" borderId="14" xfId="0" applyFont="1" applyBorder="1" applyNumberFormat="1">
      <alignment horizontal="center" vertical="center" wrapText="1"/>
    </xf>
    <xf numFmtId="215" fontId="22" fillId="0" borderId="15" xfId="0" applyFont="1" applyBorder="1" applyNumberFormat="1">
      <alignment horizontal="center" vertical="center" wrapText="1"/>
    </xf>
    <xf numFmtId="215"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15" fontId="22" fillId="0" borderId="23" xfId="0" applyFont="1" applyBorder="1" applyNumberFormat="1">
      <alignment horizontal="center" vertical="center" wrapText="1"/>
    </xf>
    <xf numFmtId="215"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15"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15" fontId="45" fillId="0" borderId="19" xfId="0" applyFont="1" applyBorder="1" applyNumberFormat="1">
      <alignment horizontal="center" vertical="center" wrapText="1"/>
    </xf>
    <xf numFmtId="215" fontId="45" fillId="0" borderId="19" xfId="0" applyFont="1" applyBorder="1" applyNumberFormat="1">
      <alignment horizontal="center" vertical="center" wrapText="1"/>
    </xf>
    <xf numFmtId="215"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15" fontId="22" fillId="0" borderId="12" xfId="0" applyFont="1" applyBorder="1" applyNumberFormat="1">
      <alignment horizontal="center" vertical="center" wrapText="1"/>
    </xf>
    <xf numFmtId="215" fontId="22" fillId="0" borderId="36" xfId="0" applyFont="1" applyBorder="1" applyNumberFormat="1">
      <alignment horizontal="center" vertical="center" wrapText="1"/>
    </xf>
    <xf numFmtId="215"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18"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18" fontId="0" fillId="39" borderId="12" xfId="0" applyFont="1" applyFill="1" applyBorder="1" applyNumberFormat="1">
      <alignment horizontal="center" vertical="top" wrapText="1"/>
      <protection locked="0"/>
    </xf>
    <xf numFmtId="218"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18"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18"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18"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18"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18"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15" fontId="22" fillId="0" borderId="14" xfId="0" applyFont="1" applyBorder="1" applyNumberFormat="1">
      <alignment horizontal="center" vertical="center" wrapText="1"/>
    </xf>
    <xf numFmtId="215"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0" fontId="48" fillId="0" borderId="0" xfId="0" applyFont="1" applyNumberFormat="1">
      <alignment vertical="center"/>
    </xf>
    <xf numFmtId="0" fontId="48" fillId="0" borderId="0" xfId="0" applyFont="1" applyNumberFormat="1">
      <alignment vertical="center" wrapText="1"/>
    </xf>
    <xf numFmtId="49" fontId="48"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35" borderId="12" xfId="0" applyFont="1" applyFill="1" applyBorder="1" applyNumberFormat="1">
      <alignment horizontal="left"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35" borderId="12" xfId="0" applyFont="1" applyFill="1" applyBorder="1" applyNumberFormat="1">
      <alignment horizontal="lef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35" borderId="36" xfId="0" applyFont="1" applyFill="1" applyBorder="1" applyNumberFormat="1">
      <alignment horizontal="left" vertical="top"/>
    </xf>
    <xf numFmtId="0" fontId="22" fillId="0" borderId="0" xfId="0" applyFont="1" applyNumberFormat="1">
      <alignment horizontal="left" vertical="center" indent="1"/>
    </xf>
    <xf numFmtId="0" fontId="0" fillId="0" borderId="0" xfId="0" applyFont="1" applyNumberFormat="1">
      <alignment horizontal="left" vertical="center" inden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0" fillId="36" borderId="12" xfId="0" applyFont="1" applyFill="1" applyBorder="1" applyNumberFormat="1">
      <alignment horizontal="left" vertical="top"/>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18"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16" fontId="22" fillId="36" borderId="12" xfId="0" applyFont="1" applyFill="1" applyBorder="1" applyNumberFormat="1">
      <alignment horizontal="right" vertical="center" wrapText="1"/>
      <protection locked="0"/>
    </xf>
    <xf numFmtId="218"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16" fontId="47" fillId="0" borderId="12" xfId="0" applyFont="1" applyBorder="1" applyNumberFormat="1">
      <alignment horizontal="right" vertical="center" wrapText="1"/>
    </xf>
    <xf numFmtId="218"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18"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18"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16"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16" fontId="22" fillId="36" borderId="12" xfId="0" applyFont="1" applyFill="1" applyBorder="1" applyNumberFormat="1">
      <alignment horizontal="right" vertical="center" wrapText="1"/>
      <protection locked="0"/>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18"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218"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40" borderId="12" xfId="0" applyFont="1" applyFill="1" applyBorder="1" applyNumberFormat="1">
      <alignment horizontal="left" vertical="center" wrapText="1" indent="6"/>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12" xfId="0" applyFont="1" applyBorder="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0" fillId="0" borderId="0" xfId="0" applyFont="1" applyNumberFormat="1">
      <alignment horizontal="left" vertical="top" wrapText="1"/>
    </xf>
    <xf numFmtId="49" fontId="0" fillId="0" borderId="0" xfId="0" applyFont="1" applyNumberFormat="1">
      <alignment vertical="top"/>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16" fontId="22" fillId="36" borderId="23" xfId="0" applyFont="1" applyFill="1" applyBorder="1" applyNumberFormat="1">
      <alignment horizontal="right" vertical="center" wrapText="1"/>
      <protection locked="0"/>
    </xf>
    <xf numFmtId="218"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22" fillId="40" borderId="20"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16"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216" fontId="22" fillId="36" borderId="14" xfId="0" applyFont="1" applyFill="1" applyBorder="1" applyNumberFormat="1">
      <alignment horizontal="right" vertical="center" wrapText="1"/>
      <protection locked="0"/>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48" fillId="0" borderId="15"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18"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9"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 fontId="47" fillId="0" borderId="12" xfId="0" applyFont="1" applyBorder="1" applyNumberFormat="1">
      <alignment horizontal="right" vertical="center" wrapText="1"/>
    </xf>
    <xf numFmtId="216" fontId="47" fillId="0" borderId="12" xfId="0" applyFont="1" applyBorder="1" applyNumberFormat="1">
      <alignment horizontal="right" vertical="center" wrapText="1"/>
    </xf>
    <xf numFmtId="218"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216" fontId="22" fillId="36" borderId="12" xfId="0" applyFont="1" applyFill="1" applyBorder="1" applyNumberFormat="1">
      <alignment horizontal="right" vertical="center" wrapText="1"/>
      <protection locked="0"/>
    </xf>
    <xf numFmtId="4" fontId="22" fillId="0" borderId="13" xfId="0" applyFont="1" applyBorder="1" applyNumberFormat="1">
      <alignment horizontal="right" vertical="center" wrapText="1"/>
    </xf>
    <xf numFmtId="4" fontId="48" fillId="0" borderId="12" xfId="0" applyFont="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0" fillId="0" borderId="0" xfId="0" applyFont="1" applyNumberFormat="1">
      <alignment vertical="top"/>
    </xf>
    <xf numFmtId="0" fontId="22" fillId="0" borderId="0" xfId="0" applyFont="1" applyNumberFormat="1">
      <alignment horizontal="left" vertical="center" indent="1"/>
    </xf>
    <xf numFmtId="0" fontId="22" fillId="0" borderId="14" xfId="0" applyFont="1" applyBorder="1" applyNumberFormat="1">
      <alignment horizontal="center" vertical="center"/>
    </xf>
    <xf numFmtId="0" fontId="22" fillId="0" borderId="14" xfId="0" applyFont="1" applyBorder="1" applyNumberFormat="1">
      <alignment horizontal="center"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22" fillId="40"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0" borderId="0" xfId="0" applyFont="1" applyNumberFormat="1">
      <alignment horizontal="center" vertical="center" wrapText="1"/>
    </xf>
    <xf numFmtId="0" fontId="22" fillId="40" borderId="12" xfId="0" applyFont="1" applyFill="1" applyBorder="1" applyNumberFormat="1">
      <alignment horizontal="left" vertical="center" wrapText="1" indent="6"/>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4" xfId="0" applyFont="1" applyBorder="1" applyNumberFormat="1">
      <alignment horizontal="center" vertical="center"/>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0" xfId="0" applyFont="1" applyNumberFormat="1">
      <alignment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22"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216"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4" fontId="48" fillId="0" borderId="12" xfId="0" applyFont="1" applyBorder="1" applyNumberFormat="1">
      <alignment horizontal="center"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0" fontId="22" fillId="0" borderId="12"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0" fontId="22" fillId="0" borderId="0" xfId="0" applyFont="1" applyNumberFormat="1">
      <alignment horizontal="left" vertical="top"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16"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16"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16" fontId="48" fillId="0" borderId="12" xfId="0" applyFont="1" applyBorder="1" applyNumberFormat="1">
      <alignment horizontal="right" vertical="center" wrapText="1"/>
    </xf>
    <xf numFmtId="218"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17"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17"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17"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17" fontId="22" fillId="34" borderId="13" xfId="0" applyFont="1" applyFill="1" applyBorder="1" applyNumberFormat="1">
      <alignment horizontal="right" vertical="center" wrapText="1"/>
    </xf>
    <xf numFmtId="217"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17"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18"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18"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18" fontId="0" fillId="39" borderId="13" xfId="0" applyFont="1" applyFill="1" applyBorder="1" applyNumberFormat="1">
      <alignment horizontal="left" vertical="center" wrapText="1"/>
      <protection locked="0"/>
    </xf>
    <xf numFmtId="218"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218" fontId="0" fillId="39" borderId="13" xfId="0" applyFont="1" applyFill="1" applyBorder="1" applyNumberFormat="1">
      <alignment horizontal="left" vertical="center" wrapText="1"/>
      <protection locked="0"/>
    </xf>
    <xf numFmtId="218"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218" fontId="0" fillId="39" borderId="13" xfId="0" applyFont="1" applyFill="1" applyBorder="1" applyNumberFormat="1">
      <alignment horizontal="left" vertical="center" wrapText="1"/>
      <protection locked="0"/>
    </xf>
    <xf numFmtId="218"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15" fontId="22" fillId="0" borderId="37" xfId="0" applyFont="1" applyBorder="1" applyNumberFormat="1">
      <alignment horizontal="center" vertical="center" wrapText="1"/>
    </xf>
    <xf numFmtId="215"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18" fontId="0" fillId="39" borderId="15" xfId="0" applyFont="1" applyFill="1" applyBorder="1" applyNumberFormat="1">
      <alignment horizontal="left" vertical="center" wrapText="1" indent="1"/>
      <protection locked="0"/>
    </xf>
    <xf numFmtId="219" fontId="22" fillId="39" borderId="12" xfId="0" applyFont="1" applyFill="1" applyBorder="1" applyNumberFormat="1">
      <alignment horizontal="left" vertical="center" wrapText="1" indent="1"/>
      <protection locked="0"/>
    </xf>
    <xf numFmtId="218" fontId="48" fillId="0" borderId="0" xfId="0" applyFont="1" applyNumberFormat="1">
      <alignment horizontal="center" vertical="center" wrapText="1"/>
    </xf>
    <xf numFmtId="215" fontId="22" fillId="0" borderId="17" xfId="0" applyFont="1" applyBorder="1" applyNumberFormat="1">
      <alignment horizontal="center" vertical="center" wrapText="1"/>
    </xf>
    <xf numFmtId="215" fontId="22" fillId="0" borderId="14" xfId="0" applyFont="1" applyBorder="1" applyNumberFormat="1">
      <alignment horizontal="center" vertical="center" wrapText="1"/>
    </xf>
    <xf numFmtId="215" fontId="22" fillId="0" borderId="15" xfId="0" applyFont="1" applyBorder="1" applyNumberFormat="1">
      <alignment horizontal="center" vertical="center" wrapText="1"/>
    </xf>
    <xf numFmtId="215"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15" fontId="22" fillId="0" borderId="23" xfId="0" applyFont="1" applyBorder="1" applyNumberFormat="1">
      <alignment horizontal="center" vertical="center" wrapText="1"/>
    </xf>
    <xf numFmtId="215"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15"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15" fontId="45" fillId="0" borderId="19" xfId="0" applyFont="1" applyBorder="1" applyNumberFormat="1">
      <alignment horizontal="center" vertical="center" wrapText="1"/>
    </xf>
    <xf numFmtId="215" fontId="45" fillId="0" borderId="19" xfId="0" applyFont="1" applyBorder="1" applyNumberFormat="1">
      <alignment horizontal="center" vertical="center" wrapText="1"/>
    </xf>
    <xf numFmtId="215"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15" fontId="22" fillId="0" borderId="12" xfId="0" applyFont="1" applyBorder="1" applyNumberFormat="1">
      <alignment horizontal="center" vertical="center" wrapText="1"/>
    </xf>
    <xf numFmtId="215" fontId="22" fillId="0" borderId="36" xfId="0" applyFont="1" applyBorder="1" applyNumberFormat="1">
      <alignment horizontal="center" vertical="center" wrapText="1"/>
    </xf>
    <xf numFmtId="215"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18"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18" fontId="0" fillId="39" borderId="12" xfId="0" applyFont="1" applyFill="1" applyBorder="1" applyNumberFormat="1">
      <alignment horizontal="center" vertical="top" wrapText="1"/>
      <protection locked="0"/>
    </xf>
    <xf numFmtId="218"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18"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18"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18"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18"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218"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18"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15" fontId="22" fillId="0" borderId="14" xfId="0" applyFont="1" applyBorder="1" applyNumberFormat="1">
      <alignment horizontal="center" vertical="center" wrapText="1"/>
    </xf>
    <xf numFmtId="215"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0" fontId="48" fillId="0" borderId="0" xfId="0" applyFont="1" applyNumberFormat="1">
      <alignment vertical="center"/>
    </xf>
    <xf numFmtId="0" fontId="48" fillId="0" borderId="0" xfId="0" applyFont="1" applyNumberFormat="1">
      <alignment vertical="center" wrapText="1"/>
    </xf>
    <xf numFmtId="49" fontId="48"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35" borderId="12" xfId="0" applyFont="1" applyFill="1" applyBorder="1" applyNumberFormat="1">
      <alignment horizontal="left"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35" borderId="12" xfId="0" applyFont="1" applyFill="1" applyBorder="1" applyNumberFormat="1">
      <alignment horizontal="lef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35" borderId="36" xfId="0" applyFont="1" applyFill="1" applyBorder="1" applyNumberFormat="1">
      <alignment horizontal="left" vertical="top"/>
    </xf>
    <xf numFmtId="0" fontId="22" fillId="0" borderId="0" xfId="0" applyFont="1" applyNumberFormat="1">
      <alignment horizontal="left" vertical="center" indent="1"/>
    </xf>
    <xf numFmtId="0" fontId="0" fillId="0" borderId="0" xfId="0" applyFont="1" applyNumberFormat="1">
      <alignment horizontal="left" vertical="center" inden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0" fillId="36" borderId="12" xfId="0" applyFont="1" applyFill="1" applyBorder="1" applyNumberFormat="1">
      <alignment horizontal="left" vertical="top"/>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18"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16" fontId="22" fillId="36" borderId="12" xfId="0" applyFont="1" applyFill="1" applyBorder="1" applyNumberFormat="1">
      <alignment horizontal="right" vertical="center" wrapText="1"/>
      <protection locked="0"/>
    </xf>
    <xf numFmtId="218"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16" fontId="47" fillId="0" borderId="12" xfId="0" applyFont="1" applyBorder="1" applyNumberFormat="1">
      <alignment horizontal="right" vertical="center" wrapText="1"/>
    </xf>
    <xf numFmtId="218"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18"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18"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16"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16" fontId="22" fillId="36" borderId="12" xfId="0" applyFont="1" applyFill="1" applyBorder="1" applyNumberFormat="1">
      <alignment horizontal="right" vertical="center" wrapText="1"/>
      <protection locked="0"/>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18"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218"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40" borderId="12" xfId="0" applyFont="1" applyFill="1" applyBorder="1" applyNumberFormat="1">
      <alignment horizontal="left" vertical="center" wrapText="1" indent="6"/>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12" xfId="0" applyFont="1" applyBorder="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0" fillId="0" borderId="0" xfId="0" applyFont="1" applyNumberFormat="1">
      <alignment horizontal="left" vertical="top" wrapText="1"/>
    </xf>
    <xf numFmtId="49" fontId="0" fillId="0" borderId="0" xfId="0" applyFont="1" applyNumberFormat="1">
      <alignment vertical="top"/>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16" fontId="22" fillId="36" borderId="23" xfId="0" applyFont="1" applyFill="1" applyBorder="1" applyNumberFormat="1">
      <alignment horizontal="right" vertical="center" wrapText="1"/>
      <protection locked="0"/>
    </xf>
    <xf numFmtId="218"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22" fillId="40" borderId="20"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16"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216" fontId="22" fillId="36" borderId="14" xfId="0" applyFont="1" applyFill="1" applyBorder="1" applyNumberFormat="1">
      <alignment horizontal="right" vertical="center" wrapText="1"/>
      <protection locked="0"/>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48" fillId="0" borderId="15"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18"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9"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 fontId="47" fillId="0" borderId="12" xfId="0" applyFont="1" applyBorder="1" applyNumberFormat="1">
      <alignment horizontal="right" vertical="center" wrapText="1"/>
    </xf>
    <xf numFmtId="216" fontId="47" fillId="0" borderId="12" xfId="0" applyFont="1" applyBorder="1" applyNumberFormat="1">
      <alignment horizontal="right" vertical="center" wrapText="1"/>
    </xf>
    <xf numFmtId="218"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216" fontId="22" fillId="36" borderId="12" xfId="0" applyFont="1" applyFill="1" applyBorder="1" applyNumberFormat="1">
      <alignment horizontal="right" vertical="center" wrapText="1"/>
      <protection locked="0"/>
    </xf>
    <xf numFmtId="4" fontId="22" fillId="0" borderId="13" xfId="0" applyFont="1" applyBorder="1" applyNumberFormat="1">
      <alignment horizontal="right" vertical="center" wrapText="1"/>
    </xf>
    <xf numFmtId="4" fontId="48" fillId="0" borderId="12" xfId="0" applyFont="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0" fillId="0" borderId="0" xfId="0" applyFont="1" applyNumberFormat="1">
      <alignment vertical="top"/>
    </xf>
    <xf numFmtId="0" fontId="22" fillId="0" borderId="0" xfId="0" applyFont="1" applyNumberFormat="1">
      <alignment horizontal="left" vertical="center" indent="1"/>
    </xf>
    <xf numFmtId="0" fontId="22" fillId="0" borderId="14" xfId="0" applyFont="1" applyBorder="1" applyNumberFormat="1">
      <alignment horizontal="center" vertical="center"/>
    </xf>
    <xf numFmtId="0" fontId="22" fillId="0" borderId="14" xfId="0" applyFont="1" applyBorder="1" applyNumberFormat="1">
      <alignment horizontal="center"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22" fillId="40"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0" borderId="0" xfId="0" applyFont="1" applyNumberFormat="1">
      <alignment horizontal="center" vertical="center" wrapText="1"/>
    </xf>
    <xf numFmtId="0" fontId="22" fillId="40" borderId="12" xfId="0" applyFont="1" applyFill="1" applyBorder="1" applyNumberFormat="1">
      <alignment horizontal="left" vertical="center" wrapText="1" indent="6"/>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4" xfId="0" applyFont="1" applyBorder="1" applyNumberFormat="1">
      <alignment horizontal="center" vertical="center"/>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0" xfId="0" applyFont="1" applyNumberFormat="1">
      <alignment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22"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216"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4" fontId="48" fillId="0" borderId="12" xfId="0" applyFont="1" applyBorder="1" applyNumberFormat="1">
      <alignment horizontal="center"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0" fontId="22" fillId="0" borderId="12"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0" fontId="22" fillId="0" borderId="0" xfId="0" applyFont="1" applyNumberFormat="1">
      <alignment horizontal="left" vertical="top"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16"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16"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16" fontId="48" fillId="0" borderId="12" xfId="0" applyFont="1" applyBorder="1" applyNumberFormat="1">
      <alignment horizontal="right" vertical="center" wrapText="1"/>
    </xf>
    <xf numFmtId="218"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17"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17"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17"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17" fontId="22" fillId="34" borderId="13" xfId="0" applyFont="1" applyFill="1" applyBorder="1" applyNumberFormat="1">
      <alignment horizontal="right" vertical="center" wrapText="1"/>
    </xf>
    <xf numFmtId="217"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17"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18"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18"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0" fontId="22" fillId="0" borderId="0" xfId="0" applyFont="1" applyNumberFormat="1">
      <alignment vertical="center" wrapText="1"/>
    </xf>
    <xf numFmtId="49" fontId="47" fillId="0" borderId="0" xfId="0" applyFont="1" applyNumberFormat="1">
      <alignment vertical="top"/>
    </xf>
    <xf numFmtId="0" fontId="47" fillId="0" borderId="0" xfId="0" applyFont="1" applyNumberFormat="1">
      <alignment vertical="center" wrapText="1"/>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protection locked="0"/>
    </xf>
    <xf numFmtId="0" fontId="22" fillId="0" borderId="0" xfId="0" applyFont="1" applyNumberFormat="1">
      <alignment vertical="center" wrapText="1"/>
    </xf>
    <xf numFmtId="0" fontId="48" fillId="0" borderId="0" xfId="0" applyFont="1" applyNumberFormat="1">
      <alignment vertical="center"/>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18" fontId="0" fillId="39" borderId="13" xfId="0" applyFont="1" applyFill="1" applyBorder="1" applyNumberFormat="1">
      <alignment horizontal="left" vertical="center" wrapText="1"/>
      <protection locked="0"/>
    </xf>
    <xf numFmtId="218"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218" fontId="0" fillId="39" borderId="13" xfId="0" applyFont="1" applyFill="1" applyBorder="1" applyNumberFormat="1">
      <alignment horizontal="left" vertical="center" wrapText="1"/>
      <protection locked="0"/>
    </xf>
    <xf numFmtId="218"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218" fontId="0" fillId="39" borderId="13" xfId="0" applyFont="1" applyFill="1" applyBorder="1" applyNumberFormat="1">
      <alignment horizontal="left" vertical="center" wrapText="1"/>
      <protection locked="0"/>
    </xf>
    <xf numFmtId="218"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15" fontId="22" fillId="0" borderId="37" xfId="0" applyFont="1" applyBorder="1" applyNumberFormat="1">
      <alignment horizontal="center" vertical="center" wrapText="1"/>
    </xf>
    <xf numFmtId="215"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18" fontId="0" fillId="39" borderId="15" xfId="0" applyFont="1" applyFill="1" applyBorder="1" applyNumberFormat="1">
      <alignment horizontal="left" vertical="center" wrapText="1" indent="1"/>
      <protection locked="0"/>
    </xf>
    <xf numFmtId="219" fontId="22" fillId="39" borderId="12" xfId="0" applyFont="1" applyFill="1" applyBorder="1" applyNumberFormat="1">
      <alignment horizontal="left" vertical="center" wrapText="1" indent="1"/>
      <protection locked="0"/>
    </xf>
    <xf numFmtId="218" fontId="48" fillId="0" borderId="0" xfId="0" applyFont="1" applyNumberFormat="1">
      <alignment horizontal="center" vertical="center" wrapText="1"/>
    </xf>
    <xf numFmtId="215" fontId="22" fillId="0" borderId="17" xfId="0" applyFont="1" applyBorder="1" applyNumberFormat="1">
      <alignment horizontal="center" vertical="center" wrapText="1"/>
    </xf>
    <xf numFmtId="215" fontId="22" fillId="0" borderId="14" xfId="0" applyFont="1" applyBorder="1" applyNumberFormat="1">
      <alignment horizontal="center" vertical="center" wrapText="1"/>
    </xf>
    <xf numFmtId="215" fontId="22" fillId="0" borderId="15" xfId="0" applyFont="1" applyBorder="1" applyNumberFormat="1">
      <alignment horizontal="center" vertical="center" wrapText="1"/>
    </xf>
    <xf numFmtId="215"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15" fontId="22" fillId="0" borderId="23" xfId="0" applyFont="1" applyBorder="1" applyNumberFormat="1">
      <alignment horizontal="center" vertical="center" wrapText="1"/>
    </xf>
    <xf numFmtId="215"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15"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15" fontId="45" fillId="0" borderId="19" xfId="0" applyFont="1" applyBorder="1" applyNumberFormat="1">
      <alignment horizontal="center" vertical="center" wrapText="1"/>
    </xf>
    <xf numFmtId="215" fontId="45" fillId="0" borderId="19" xfId="0" applyFont="1" applyBorder="1" applyNumberFormat="1">
      <alignment horizontal="center" vertical="center" wrapText="1"/>
    </xf>
    <xf numFmtId="215"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15" fontId="22" fillId="0" borderId="12" xfId="0" applyFont="1" applyBorder="1" applyNumberFormat="1">
      <alignment horizontal="center" vertical="center" wrapText="1"/>
    </xf>
    <xf numFmtId="215" fontId="22" fillId="0" borderId="36" xfId="0" applyFont="1" applyBorder="1" applyNumberFormat="1">
      <alignment horizontal="center" vertical="center" wrapText="1"/>
    </xf>
    <xf numFmtId="215"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18"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18" fontId="0" fillId="39" borderId="12" xfId="0" applyFont="1" applyFill="1" applyBorder="1" applyNumberFormat="1">
      <alignment horizontal="center" vertical="top" wrapText="1"/>
      <protection locked="0"/>
    </xf>
    <xf numFmtId="218"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18"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18"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18"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18"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218"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18"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15" fontId="22" fillId="0" borderId="14" xfId="0" applyFont="1" applyBorder="1" applyNumberFormat="1">
      <alignment horizontal="center" vertical="center" wrapText="1"/>
    </xf>
    <xf numFmtId="215"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0" fontId="48" fillId="0" borderId="0" xfId="0" applyFont="1" applyNumberFormat="1">
      <alignment vertical="center"/>
    </xf>
    <xf numFmtId="0" fontId="48" fillId="0" borderId="0" xfId="0" applyFont="1" applyNumberFormat="1">
      <alignment vertical="center" wrapText="1"/>
    </xf>
    <xf numFmtId="49" fontId="48"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35" borderId="12" xfId="0" applyFont="1" applyFill="1" applyBorder="1" applyNumberFormat="1">
      <alignment horizontal="left"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35" borderId="12" xfId="0" applyFont="1" applyFill="1" applyBorder="1" applyNumberFormat="1">
      <alignment horizontal="lef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35" borderId="36" xfId="0" applyFont="1" applyFill="1" applyBorder="1" applyNumberFormat="1">
      <alignment horizontal="left" vertical="top"/>
    </xf>
    <xf numFmtId="0" fontId="22" fillId="0" borderId="0" xfId="0" applyFont="1" applyNumberFormat="1">
      <alignment horizontal="left" vertical="center" indent="1"/>
    </xf>
    <xf numFmtId="0" fontId="0" fillId="0" borderId="0" xfId="0" applyFont="1" applyNumberFormat="1">
      <alignment horizontal="left" vertical="center" inden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0" fillId="36" borderId="12" xfId="0" applyFont="1" applyFill="1" applyBorder="1" applyNumberFormat="1">
      <alignment horizontal="left" vertical="top"/>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18"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16" fontId="22" fillId="36" borderId="12" xfId="0" applyFont="1" applyFill="1" applyBorder="1" applyNumberFormat="1">
      <alignment horizontal="right" vertical="center" wrapText="1"/>
      <protection locked="0"/>
    </xf>
    <xf numFmtId="218"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16" fontId="47" fillId="0" borderId="12" xfId="0" applyFont="1" applyBorder="1" applyNumberFormat="1">
      <alignment horizontal="right" vertical="center" wrapText="1"/>
    </xf>
    <xf numFmtId="218"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18"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18"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16"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16" fontId="22" fillId="36" borderId="12" xfId="0" applyFont="1" applyFill="1" applyBorder="1" applyNumberFormat="1">
      <alignment horizontal="right" vertical="center" wrapText="1"/>
      <protection locked="0"/>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18"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218"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40" borderId="12" xfId="0" applyFont="1" applyFill="1" applyBorder="1" applyNumberFormat="1">
      <alignment horizontal="left" vertical="center" wrapText="1" indent="6"/>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12" xfId="0" applyFont="1" applyBorder="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0" fillId="0" borderId="0" xfId="0" applyFont="1" applyNumberFormat="1">
      <alignment horizontal="left" vertical="top" wrapText="1"/>
    </xf>
    <xf numFmtId="49" fontId="0" fillId="0" borderId="0" xfId="0" applyFont="1" applyNumberFormat="1">
      <alignment vertical="top"/>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16" fontId="22" fillId="36" borderId="23" xfId="0" applyFont="1" applyFill="1" applyBorder="1" applyNumberFormat="1">
      <alignment horizontal="right" vertical="center" wrapText="1"/>
      <protection locked="0"/>
    </xf>
    <xf numFmtId="218"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22" fillId="40" borderId="20"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16"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216" fontId="22" fillId="36" borderId="14" xfId="0" applyFont="1" applyFill="1" applyBorder="1" applyNumberFormat="1">
      <alignment horizontal="right" vertical="center" wrapText="1"/>
      <protection locked="0"/>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48" fillId="0" borderId="15"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18"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9"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 fontId="47" fillId="0" borderId="12" xfId="0" applyFont="1" applyBorder="1" applyNumberFormat="1">
      <alignment horizontal="right" vertical="center" wrapText="1"/>
    </xf>
    <xf numFmtId="216" fontId="47" fillId="0" borderId="12" xfId="0" applyFont="1" applyBorder="1" applyNumberFormat="1">
      <alignment horizontal="right" vertical="center" wrapText="1"/>
    </xf>
    <xf numFmtId="218"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216" fontId="22" fillId="36" borderId="12" xfId="0" applyFont="1" applyFill="1" applyBorder="1" applyNumberFormat="1">
      <alignment horizontal="right" vertical="center" wrapText="1"/>
      <protection locked="0"/>
    </xf>
    <xf numFmtId="4" fontId="22" fillId="0" borderId="13" xfId="0" applyFont="1" applyBorder="1" applyNumberFormat="1">
      <alignment horizontal="right" vertical="center" wrapText="1"/>
    </xf>
    <xf numFmtId="4" fontId="48" fillId="0" borderId="12" xfId="0" applyFont="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0" fillId="0" borderId="0" xfId="0" applyFont="1" applyNumberFormat="1">
      <alignment vertical="top"/>
    </xf>
    <xf numFmtId="0" fontId="22" fillId="0" borderId="0" xfId="0" applyFont="1" applyNumberFormat="1">
      <alignment horizontal="left" vertical="center" indent="1"/>
    </xf>
    <xf numFmtId="0" fontId="22" fillId="0" borderId="14" xfId="0" applyFont="1" applyBorder="1" applyNumberFormat="1">
      <alignment horizontal="center" vertical="center"/>
    </xf>
    <xf numFmtId="0" fontId="22" fillId="0" borderId="14" xfId="0" applyFont="1" applyBorder="1" applyNumberFormat="1">
      <alignment horizontal="center"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22" fillId="40"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0" borderId="0" xfId="0" applyFont="1" applyNumberFormat="1">
      <alignment horizontal="center" vertical="center" wrapText="1"/>
    </xf>
    <xf numFmtId="0" fontId="22" fillId="40" borderId="12" xfId="0" applyFont="1" applyFill="1" applyBorder="1" applyNumberFormat="1">
      <alignment horizontal="left" vertical="center" wrapText="1" indent="6"/>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4" xfId="0" applyFont="1" applyBorder="1" applyNumberFormat="1">
      <alignment horizontal="center" vertical="center"/>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0" xfId="0" applyFont="1" applyNumberFormat="1">
      <alignment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22"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216"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4" fontId="48" fillId="0" borderId="12" xfId="0" applyFont="1" applyBorder="1" applyNumberFormat="1">
      <alignment horizontal="center"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0" fontId="22" fillId="0" borderId="12"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0" fontId="22" fillId="0" borderId="0" xfId="0" applyFont="1" applyNumberFormat="1">
      <alignment horizontal="left" vertical="top" wrapText="1"/>
    </xf>
    <xf numFmtId="49" fontId="0" fillId="0" borderId="0" xfId="0" applyFont="1" applyNumberFormat="1">
      <alignment vertical="top"/>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16"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16"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16" fontId="48" fillId="0" borderId="12" xfId="0" applyFont="1" applyBorder="1" applyNumberFormat="1">
      <alignment horizontal="right" vertical="center" wrapText="1"/>
    </xf>
    <xf numFmtId="218"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18"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17"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17"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17"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17" fontId="22" fillId="34" borderId="13" xfId="0" applyFont="1" applyFill="1" applyBorder="1" applyNumberFormat="1">
      <alignment horizontal="right" vertical="center" wrapText="1"/>
    </xf>
    <xf numFmtId="217"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17"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18"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18"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0" fontId="22" fillId="0" borderId="0" xfId="0" applyFont="1" applyNumberFormat="1">
      <alignment vertical="center" wrapText="1"/>
    </xf>
    <xf numFmtId="49" fontId="47" fillId="0" borderId="0" xfId="0" applyFont="1" applyNumberFormat="1">
      <alignment vertical="top"/>
    </xf>
    <xf numFmtId="0" fontId="47" fillId="0" borderId="0" xfId="0" applyFont="1" applyNumberFormat="1">
      <alignment vertical="center" wrapText="1"/>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protection locked="0"/>
    </xf>
    <xf numFmtId="0" fontId="22" fillId="0" borderId="0" xfId="0" applyFont="1" applyNumberFormat="1">
      <alignment vertical="center" wrapText="1"/>
    </xf>
    <xf numFmtId="0" fontId="48" fillId="0" borderId="0" xfId="0" applyFont="1" applyNumberFormat="1">
      <alignment vertical="center"/>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18" fontId="0" fillId="39" borderId="13" xfId="0" applyFont="1" applyFill="1" applyBorder="1" applyNumberFormat="1">
      <alignment horizontal="left" vertical="center" wrapText="1"/>
      <protection locked="0"/>
    </xf>
    <xf numFmtId="218"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218" fontId="0" fillId="39" borderId="13" xfId="0" applyFont="1" applyFill="1" applyBorder="1" applyNumberFormat="1">
      <alignment horizontal="left" vertical="center" wrapText="1"/>
      <protection locked="0"/>
    </xf>
    <xf numFmtId="218"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218" fontId="0" fillId="39" borderId="13" xfId="0" applyFont="1" applyFill="1" applyBorder="1" applyNumberFormat="1">
      <alignment horizontal="left" vertical="center" wrapText="1"/>
      <protection locked="0"/>
    </xf>
    <xf numFmtId="218"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15" fontId="22" fillId="0" borderId="37" xfId="0" applyFont="1" applyBorder="1" applyNumberFormat="1">
      <alignment horizontal="center" vertical="center" wrapText="1"/>
    </xf>
    <xf numFmtId="215"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18" fontId="0" fillId="39" borderId="15" xfId="0" applyFont="1" applyFill="1" applyBorder="1" applyNumberFormat="1">
      <alignment horizontal="left" vertical="center" wrapText="1" indent="1"/>
      <protection locked="0"/>
    </xf>
    <xf numFmtId="219" fontId="22" fillId="39" borderId="12" xfId="0" applyFont="1" applyFill="1" applyBorder="1" applyNumberFormat="1">
      <alignment horizontal="left" vertical="center" wrapText="1" indent="1"/>
      <protection locked="0"/>
    </xf>
    <xf numFmtId="218" fontId="48" fillId="0" borderId="0" xfId="0" applyFont="1" applyNumberFormat="1">
      <alignment horizontal="center" vertical="center" wrapText="1"/>
    </xf>
    <xf numFmtId="215" fontId="22" fillId="0" borderId="17" xfId="0" applyFont="1" applyBorder="1" applyNumberFormat="1">
      <alignment horizontal="center" vertical="center" wrapText="1"/>
    </xf>
    <xf numFmtId="215" fontId="22" fillId="0" borderId="14" xfId="0" applyFont="1" applyBorder="1" applyNumberFormat="1">
      <alignment horizontal="center" vertical="center" wrapText="1"/>
    </xf>
    <xf numFmtId="215" fontId="22" fillId="0" borderId="15" xfId="0" applyFont="1" applyBorder="1" applyNumberFormat="1">
      <alignment horizontal="center" vertical="center" wrapText="1"/>
    </xf>
    <xf numFmtId="215"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15" fontId="22" fillId="0" borderId="23" xfId="0" applyFont="1" applyBorder="1" applyNumberFormat="1">
      <alignment horizontal="center" vertical="center" wrapText="1"/>
    </xf>
    <xf numFmtId="215"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15"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15" fontId="45" fillId="0" borderId="19" xfId="0" applyFont="1" applyBorder="1" applyNumberFormat="1">
      <alignment horizontal="center" vertical="center" wrapText="1"/>
    </xf>
    <xf numFmtId="215" fontId="45" fillId="0" borderId="19" xfId="0" applyFont="1" applyBorder="1" applyNumberFormat="1">
      <alignment horizontal="center" vertical="center" wrapText="1"/>
    </xf>
    <xf numFmtId="215"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15" fontId="22" fillId="0" borderId="12" xfId="0" applyFont="1" applyBorder="1" applyNumberFormat="1">
      <alignment horizontal="center" vertical="center" wrapText="1"/>
    </xf>
    <xf numFmtId="215" fontId="22" fillId="0" borderId="36" xfId="0" applyFont="1" applyBorder="1" applyNumberFormat="1">
      <alignment horizontal="center" vertical="center" wrapText="1"/>
    </xf>
    <xf numFmtId="215"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18"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18" fontId="0" fillId="39" borderId="12" xfId="0" applyFont="1" applyFill="1" applyBorder="1" applyNumberFormat="1">
      <alignment horizontal="center" vertical="top" wrapText="1"/>
      <protection locked="0"/>
    </xf>
    <xf numFmtId="218"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18"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volosnyakova-sa@dgk.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E3E07D-8DBE-55AA-6E83-AF93E7053788}"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0497" width="5.421875" customWidth="1"/>
    <col min="2" max="2" style="30497" width="9.140625" customWidth="1"/>
    <col min="3" max="3" style="30497" width="16.421875" customWidth="1"/>
    <col min="4" max="25" style="30497" width="6.28125" customWidth="1"/>
    <col min="26" max="28" style="30497" width="11.00390625"/>
  </cols>
  <sheetData>
    <row customHeight="1" ht="15.75">
      <c r="A1" s="1984"/>
      <c r="B1" s="1985"/>
      <c r="C1" s="1985"/>
      <c r="D1" s="1985"/>
      <c r="E1" s="1985"/>
      <c r="F1" s="1985"/>
      <c r="G1" s="1985"/>
      <c r="H1" s="1985"/>
      <c r="I1" s="1985"/>
      <c r="J1" s="1985"/>
      <c r="K1" s="1985"/>
      <c r="L1" s="1985"/>
      <c r="M1" s="1985"/>
      <c r="N1" s="1985"/>
      <c r="O1" s="1985"/>
      <c r="P1" s="1985"/>
      <c r="Q1" s="1985"/>
      <c r="R1" s="1985"/>
      <c r="S1" s="1985"/>
      <c r="T1" s="1985"/>
      <c r="U1" s="1985"/>
      <c r="V1" s="1985"/>
      <c r="W1" s="1985"/>
      <c r="X1" s="1985"/>
      <c r="Y1" s="1986"/>
      <c r="Z1" s="1985"/>
      <c r="AA1" s="1987" t="s">
        <v>0</v>
      </c>
      <c r="AB1" s="1985"/>
    </row>
    <row customHeight="1" ht="17.25">
      <c r="A2" s="1985"/>
      <c r="B2" s="2361" t="s">
        <v>1</v>
      </c>
      <c r="C2" s="2361"/>
      <c r="D2" s="2361"/>
      <c r="E2" s="2361"/>
      <c r="F2" s="2361"/>
      <c r="G2" s="2361"/>
      <c r="H2" s="2361"/>
      <c r="I2" s="2361"/>
      <c r="J2" s="2361"/>
      <c r="K2" s="2361"/>
      <c r="L2" s="2361"/>
      <c r="M2" s="2361"/>
      <c r="N2" s="2361"/>
      <c r="O2" s="2361"/>
      <c r="P2" s="2361"/>
      <c r="Q2" s="1989"/>
      <c r="R2" s="1989"/>
      <c r="S2" s="1989"/>
      <c r="T2" s="1989"/>
      <c r="U2" s="1989"/>
      <c r="V2" s="1990"/>
      <c r="W2" s="1989"/>
      <c r="X2" s="1989"/>
      <c r="Y2" s="1986"/>
      <c r="Z2" s="1985"/>
      <c r="AA2" s="1987"/>
      <c r="AB2" s="1985"/>
    </row>
    <row customHeight="1" ht="15.75">
      <c r="A3" s="1985"/>
      <c r="B3" s="2362" t="s">
        <v>2</v>
      </c>
      <c r="C3" s="2362"/>
      <c r="D3" s="2362"/>
      <c r="E3" s="2362"/>
      <c r="F3" s="2362"/>
      <c r="G3" s="2362"/>
      <c r="H3" s="2362"/>
      <c r="I3" s="2362"/>
      <c r="J3" s="2362"/>
      <c r="K3" s="2362"/>
      <c r="L3" s="2362"/>
      <c r="M3" s="2362"/>
      <c r="N3" s="2362"/>
      <c r="O3" s="2362"/>
      <c r="P3" s="2362"/>
      <c r="Q3" s="1990"/>
      <c r="R3" s="1990"/>
      <c r="S3" s="1989"/>
      <c r="T3" s="1989"/>
      <c r="U3" s="1989"/>
      <c r="V3" s="1990"/>
      <c r="W3" s="1990"/>
      <c r="X3" s="1990"/>
      <c r="Y3" s="1990"/>
      <c r="Z3" s="1985"/>
      <c r="AA3" s="1987"/>
      <c r="AB3" s="1985"/>
    </row>
    <row customHeight="1" ht="17.25">
      <c r="A4" s="1985"/>
      <c r="B4" s="1991"/>
      <c r="C4" s="1985"/>
      <c r="D4" s="1990"/>
      <c r="E4" s="1990"/>
      <c r="F4" s="1990"/>
      <c r="G4" s="1990"/>
      <c r="H4" s="1990"/>
      <c r="I4" s="1990"/>
      <c r="J4" s="1990"/>
      <c r="K4" s="1990"/>
      <c r="L4" s="1990"/>
      <c r="M4" s="1990"/>
      <c r="N4" s="1990"/>
      <c r="O4" s="1990"/>
      <c r="P4" s="1990"/>
      <c r="Q4" s="1990"/>
      <c r="R4" s="1990"/>
      <c r="S4" s="1990"/>
      <c r="T4" s="1990"/>
      <c r="U4" s="1990"/>
      <c r="V4" s="1990"/>
      <c r="W4" s="1990"/>
      <c r="X4" s="1990"/>
      <c r="Y4" s="1990"/>
      <c r="Z4" s="1985"/>
      <c r="AA4" s="1987"/>
      <c r="AB4" s="1985"/>
    </row>
    <row customHeight="1" ht="22.5">
      <c r="A5" s="1992"/>
      <c r="B5" s="2363"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364"/>
      <c r="D5" s="2364"/>
      <c r="E5" s="2364"/>
      <c r="F5" s="2364"/>
      <c r="G5" s="2364"/>
      <c r="H5" s="2364"/>
      <c r="I5" s="2364"/>
      <c r="J5" s="2364"/>
      <c r="K5" s="2364"/>
      <c r="L5" s="2364"/>
      <c r="M5" s="2364"/>
      <c r="N5" s="2364"/>
      <c r="O5" s="2364"/>
      <c r="P5" s="2364"/>
      <c r="Q5" s="2364"/>
      <c r="R5" s="2364"/>
      <c r="S5" s="2364"/>
      <c r="T5" s="2364"/>
      <c r="U5" s="2364"/>
      <c r="V5" s="2364"/>
      <c r="W5" s="2364"/>
      <c r="X5" s="2364"/>
      <c r="Y5" s="2365"/>
      <c r="Z5" s="1992"/>
      <c r="AA5" s="1987"/>
      <c r="AB5" s="1992"/>
    </row>
    <row customHeight="1" ht="15">
      <c r="A6" s="1993"/>
      <c r="B6" s="2366" t="s">
        <v>3</v>
      </c>
      <c r="C6" s="2367"/>
      <c r="D6" s="1994"/>
      <c r="E6" s="1994"/>
      <c r="F6" s="1994"/>
      <c r="G6" s="1994"/>
      <c r="H6" s="1994"/>
      <c r="I6" s="1994"/>
      <c r="J6" s="1994"/>
      <c r="K6" s="1994"/>
      <c r="L6" s="1994"/>
      <c r="M6" s="1994"/>
      <c r="N6" s="1994"/>
      <c r="O6" s="1994"/>
      <c r="P6" s="1994"/>
      <c r="Q6" s="1994"/>
      <c r="R6" s="1994"/>
      <c r="S6" s="1994"/>
      <c r="T6" s="1994"/>
      <c r="U6" s="1994"/>
      <c r="V6" s="1994"/>
      <c r="W6" s="1994"/>
      <c r="X6" s="1994"/>
      <c r="Y6" s="1995"/>
      <c r="Z6" s="1996"/>
      <c r="AA6" s="1997"/>
      <c r="AB6" s="1997"/>
    </row>
    <row customHeight="1" ht="15">
      <c r="A7" s="1993"/>
      <c r="B7" s="2366"/>
      <c r="C7" s="2367"/>
      <c r="D7" s="1994"/>
      <c r="E7" s="1994"/>
      <c r="F7" s="1998"/>
      <c r="G7" s="1998"/>
      <c r="H7" s="1998"/>
      <c r="I7" s="1998"/>
      <c r="J7" s="1998"/>
      <c r="K7" s="1998"/>
      <c r="L7" s="1998"/>
      <c r="M7" s="1998"/>
      <c r="N7" s="1998"/>
      <c r="O7" s="1994"/>
      <c r="P7" s="1998"/>
      <c r="Q7" s="1998"/>
      <c r="R7" s="1998"/>
      <c r="S7" s="1998"/>
      <c r="T7" s="1998"/>
      <c r="U7" s="1998"/>
      <c r="V7" s="1998"/>
      <c r="W7" s="1998"/>
      <c r="X7" s="1998"/>
      <c r="Y7" s="1995"/>
      <c r="Z7" s="1996"/>
      <c r="AA7" s="1997"/>
      <c r="AB7" s="1997"/>
    </row>
    <row customHeight="1" ht="15">
      <c r="A8" s="1993"/>
      <c r="B8" s="2366"/>
      <c r="C8" s="2367"/>
      <c r="D8" s="1999"/>
      <c r="E8" s="2000" t="s">
        <v>4</v>
      </c>
      <c r="F8" s="2369" t="s">
        <v>5</v>
      </c>
      <c r="G8" s="2370"/>
      <c r="H8" s="2370"/>
      <c r="I8" s="2370"/>
      <c r="J8" s="2370"/>
      <c r="K8" s="2370"/>
      <c r="L8" s="2370"/>
      <c r="M8" s="2370"/>
      <c r="N8" s="1999"/>
      <c r="O8" s="2001" t="s">
        <v>4</v>
      </c>
      <c r="P8" s="2371" t="s">
        <v>6</v>
      </c>
      <c r="Q8" s="2372"/>
      <c r="R8" s="2372"/>
      <c r="S8" s="2372"/>
      <c r="T8" s="2372"/>
      <c r="U8" s="2372"/>
      <c r="V8" s="2372"/>
      <c r="W8" s="2372"/>
      <c r="X8" s="2372"/>
      <c r="Y8" s="1995"/>
      <c r="Z8" s="1996"/>
      <c r="AA8" s="1997"/>
      <c r="AB8" s="1997"/>
    </row>
    <row customHeight="1" ht="15">
      <c r="A9" s="1993"/>
      <c r="B9" s="2366"/>
      <c r="C9" s="2367"/>
      <c r="D9" s="1999"/>
      <c r="E9" s="2002" t="s">
        <v>4</v>
      </c>
      <c r="F9" s="2369" t="s">
        <v>7</v>
      </c>
      <c r="G9" s="2370"/>
      <c r="H9" s="2370"/>
      <c r="I9" s="2370"/>
      <c r="J9" s="2370"/>
      <c r="K9" s="2370"/>
      <c r="L9" s="2370"/>
      <c r="M9" s="2370"/>
      <c r="N9" s="1999"/>
      <c r="O9" s="2003" t="s">
        <v>4</v>
      </c>
      <c r="P9" s="2371" t="s">
        <v>8</v>
      </c>
      <c r="Q9" s="2372"/>
      <c r="R9" s="2372"/>
      <c r="S9" s="2372"/>
      <c r="T9" s="2372"/>
      <c r="U9" s="2372"/>
      <c r="V9" s="2372"/>
      <c r="W9" s="2372"/>
      <c r="X9" s="2372"/>
      <c r="Y9" s="1995"/>
      <c r="Z9" s="1996"/>
      <c r="AA9" s="1997"/>
      <c r="AB9" s="1997"/>
    </row>
    <row customHeight="1" ht="30">
      <c r="A10" s="1993"/>
      <c r="B10" s="2366"/>
      <c r="C10" s="2368"/>
      <c r="D10" s="2004"/>
      <c r="E10" s="2005"/>
      <c r="F10" s="1998"/>
      <c r="G10" s="1998"/>
      <c r="H10" s="1998"/>
      <c r="I10" s="1998"/>
      <c r="J10" s="1998"/>
      <c r="K10" s="1998"/>
      <c r="L10" s="1998"/>
      <c r="M10" s="1998"/>
      <c r="N10" s="1998"/>
      <c r="O10" s="2005"/>
      <c r="P10" s="1998"/>
      <c r="Q10" s="1998"/>
      <c r="R10" s="1998"/>
      <c r="S10" s="1998"/>
      <c r="T10" s="1998"/>
      <c r="U10" s="1998"/>
      <c r="V10" s="1998"/>
      <c r="W10" s="1998"/>
      <c r="X10" s="1998"/>
      <c r="Y10" s="1995"/>
      <c r="Z10" s="1996"/>
      <c r="AA10" s="1997"/>
      <c r="AB10" s="1997"/>
    </row>
    <row customHeight="1" ht="19.5">
      <c r="A11" s="1993"/>
      <c r="B11" s="2373" t="s">
        <v>9</v>
      </c>
      <c r="C11" s="2374"/>
      <c r="D11" s="1999"/>
      <c r="E11" s="2006"/>
      <c r="F11" s="2006"/>
      <c r="G11" s="2006"/>
      <c r="H11" s="2006"/>
      <c r="I11" s="2006"/>
      <c r="J11" s="2006"/>
      <c r="K11" s="2006"/>
      <c r="L11" s="2006"/>
      <c r="M11" s="2006"/>
      <c r="N11" s="2006"/>
      <c r="O11" s="2006"/>
      <c r="P11" s="2006"/>
      <c r="Q11" s="2006"/>
      <c r="R11" s="2006"/>
      <c r="S11" s="2006"/>
      <c r="T11" s="2006"/>
      <c r="U11" s="2006"/>
      <c r="V11" s="2006"/>
      <c r="W11" s="2006"/>
      <c r="X11" s="2006"/>
      <c r="Y11" s="1995"/>
      <c r="Z11" s="1996"/>
      <c r="AA11" s="1997"/>
      <c r="AB11" s="1997"/>
    </row>
    <row customHeight="1" ht="69">
      <c r="A12" s="1993"/>
      <c r="B12" s="2366"/>
      <c r="C12" s="2368"/>
      <c r="D12" s="2007"/>
      <c r="E12" s="2370" t="s">
        <v>10</v>
      </c>
      <c r="F12" s="2370"/>
      <c r="G12" s="2370"/>
      <c r="H12" s="2370"/>
      <c r="I12" s="2370"/>
      <c r="J12" s="2370"/>
      <c r="K12" s="2370"/>
      <c r="L12" s="2370"/>
      <c r="M12" s="2370"/>
      <c r="N12" s="2370"/>
      <c r="O12" s="2370"/>
      <c r="P12" s="2370"/>
      <c r="Q12" s="2370"/>
      <c r="R12" s="2370"/>
      <c r="S12" s="2370"/>
      <c r="T12" s="2370"/>
      <c r="U12" s="2370"/>
      <c r="V12" s="2370"/>
      <c r="W12" s="2370"/>
      <c r="X12" s="2370"/>
      <c r="Y12" s="1995"/>
      <c r="Z12" s="1996"/>
      <c r="AA12" s="1997"/>
      <c r="AB12" s="1997"/>
    </row>
    <row customHeight="1" ht="15">
      <c r="A13" s="1993"/>
      <c r="B13" s="2373" t="s">
        <v>11</v>
      </c>
      <c r="C13" s="2374"/>
      <c r="D13" s="1994"/>
      <c r="E13" s="2006"/>
      <c r="F13" s="2006"/>
      <c r="G13" s="2006"/>
      <c r="H13" s="2006"/>
      <c r="I13" s="2006"/>
      <c r="J13" s="2006"/>
      <c r="K13" s="2006"/>
      <c r="L13" s="2006"/>
      <c r="M13" s="2006"/>
      <c r="N13" s="2006"/>
      <c r="O13" s="2006"/>
      <c r="P13" s="2006"/>
      <c r="Q13" s="2006"/>
      <c r="R13" s="2006"/>
      <c r="S13" s="2006"/>
      <c r="T13" s="2006"/>
      <c r="U13" s="2006"/>
      <c r="V13" s="2006"/>
      <c r="W13" s="2006"/>
      <c r="X13" s="2006"/>
      <c r="Y13" s="1995"/>
      <c r="Z13" s="1996"/>
      <c r="AA13" s="1997"/>
      <c r="AB13" s="1997"/>
    </row>
    <row customHeight="1" ht="57">
      <c r="A14" s="1993"/>
      <c r="B14" s="2366"/>
      <c r="C14" s="2367"/>
      <c r="D14" s="1999"/>
      <c r="E14" s="2377" t="s">
        <v>12</v>
      </c>
      <c r="F14" s="2377"/>
      <c r="G14" s="2377"/>
      <c r="H14" s="2377"/>
      <c r="I14" s="2377"/>
      <c r="J14" s="2377"/>
      <c r="K14" s="2377"/>
      <c r="L14" s="2377"/>
      <c r="M14" s="2377"/>
      <c r="N14" s="2377"/>
      <c r="O14" s="2377"/>
      <c r="P14" s="2377"/>
      <c r="Q14" s="2377"/>
      <c r="R14" s="2377"/>
      <c r="S14" s="2377"/>
      <c r="T14" s="2377"/>
      <c r="U14" s="2377"/>
      <c r="V14" s="2377"/>
      <c r="W14" s="2377"/>
      <c r="X14" s="2377"/>
      <c r="Y14" s="1995"/>
      <c r="Z14" s="1996"/>
      <c r="AA14" s="1997"/>
      <c r="AB14" s="1997"/>
    </row>
    <row customHeight="1" ht="16.5">
      <c r="A15" s="1993"/>
      <c r="B15" s="2375"/>
      <c r="C15" s="2376"/>
      <c r="D15" s="2008"/>
      <c r="E15" s="2009"/>
      <c r="F15" s="2009"/>
      <c r="G15" s="2009"/>
      <c r="H15" s="2009"/>
      <c r="I15" s="2009"/>
      <c r="J15" s="2009"/>
      <c r="K15" s="2009"/>
      <c r="L15" s="2009"/>
      <c r="M15" s="2009"/>
      <c r="N15" s="2009"/>
      <c r="O15" s="2009"/>
      <c r="P15" s="2009"/>
      <c r="Q15" s="2009"/>
      <c r="R15" s="2009"/>
      <c r="S15" s="2009"/>
      <c r="T15" s="2009"/>
      <c r="U15" s="2009"/>
      <c r="V15" s="2009"/>
      <c r="W15" s="2009"/>
      <c r="X15" s="2009"/>
      <c r="Y15" s="2010"/>
      <c r="Z15" s="1996"/>
      <c r="AA15" s="2011"/>
      <c r="AB15" s="1997"/>
    </row>
    <row customHeight="1" ht="95.25">
      <c r="A16" s="1985"/>
      <c r="B16" s="2377"/>
      <c r="C16" s="2378"/>
      <c r="D16" s="2378"/>
      <c r="E16" s="2378"/>
      <c r="F16" s="2378"/>
      <c r="G16" s="2378"/>
      <c r="H16" s="2378"/>
      <c r="I16" s="2378"/>
      <c r="J16" s="2378"/>
      <c r="K16" s="2378"/>
      <c r="L16" s="2378"/>
      <c r="M16" s="2378"/>
      <c r="N16" s="2378"/>
      <c r="O16" s="2378"/>
      <c r="P16" s="2378"/>
      <c r="Q16" s="2378"/>
      <c r="R16" s="2378"/>
      <c r="S16" s="2378"/>
      <c r="T16" s="2378"/>
      <c r="U16" s="2378"/>
      <c r="V16" s="2378"/>
      <c r="W16" s="2378"/>
      <c r="X16" s="2378"/>
      <c r="Y16" s="2378"/>
      <c r="Z16" s="1985"/>
      <c r="AA16" s="1987"/>
      <c r="AB16" s="1985"/>
    </row>
    <row customHeight="1" ht="14.25">
      <c r="A17" s="1985"/>
      <c r="B17" s="1985"/>
      <c r="C17" s="1985"/>
      <c r="D17" s="1985"/>
      <c r="E17" s="1985"/>
      <c r="F17" s="1985"/>
      <c r="G17" s="1985"/>
      <c r="H17" s="1985"/>
      <c r="I17" s="1985"/>
      <c r="J17" s="1985"/>
      <c r="K17" s="1985"/>
      <c r="L17" s="1985"/>
      <c r="M17" s="1985"/>
      <c r="N17" s="1985"/>
      <c r="O17" s="1985"/>
      <c r="P17" s="1985"/>
      <c r="Q17" s="1985"/>
      <c r="R17" s="1985"/>
      <c r="S17" s="1985"/>
      <c r="T17" s="1985"/>
      <c r="U17" s="1985"/>
      <c r="V17" s="1985"/>
      <c r="W17" s="1985"/>
      <c r="X17" s="1985"/>
      <c r="Y17" s="1986"/>
      <c r="Z17" s="1985"/>
      <c r="AA17" s="1987"/>
      <c r="AB17" s="1985"/>
    </row>
    <row customHeight="1" ht="14.25">
      <c r="A18" s="1985"/>
      <c r="B18" s="1985"/>
      <c r="C18" s="1985"/>
      <c r="D18" s="1985"/>
      <c r="E18" s="1985"/>
      <c r="F18" s="1985"/>
      <c r="G18" s="1985"/>
      <c r="H18" s="1985"/>
      <c r="I18" s="1985"/>
      <c r="J18" s="1985"/>
      <c r="K18" s="1985"/>
      <c r="L18" s="1985"/>
      <c r="M18" s="1985"/>
      <c r="N18" s="1985"/>
      <c r="O18" s="1985"/>
      <c r="P18" s="1985"/>
      <c r="Q18" s="1985"/>
      <c r="R18" s="1985"/>
      <c r="S18" s="1985"/>
      <c r="T18" s="1985"/>
      <c r="U18" s="1985"/>
      <c r="V18" s="1985"/>
      <c r="W18" s="1985"/>
      <c r="X18" s="1985"/>
      <c r="Y18" s="1986"/>
      <c r="Z18" s="1985"/>
      <c r="AA18" s="1987"/>
      <c r="AB18" s="1985"/>
    </row>
    <row customHeight="1" ht="14.25">
      <c r="A19" s="1985"/>
      <c r="B19" s="1985"/>
      <c r="C19" s="1985"/>
      <c r="D19" s="1985"/>
      <c r="E19" s="1985"/>
      <c r="F19" s="1985"/>
      <c r="G19" s="1985"/>
      <c r="H19" s="1985"/>
      <c r="I19" s="1985"/>
      <c r="J19" s="1985"/>
      <c r="K19" s="1985"/>
      <c r="L19" s="1985"/>
      <c r="M19" s="1985"/>
      <c r="N19" s="1985"/>
      <c r="O19" s="1985"/>
      <c r="P19" s="1985"/>
      <c r="Q19" s="1985"/>
      <c r="R19" s="1985"/>
      <c r="S19" s="1985"/>
      <c r="T19" s="1985"/>
      <c r="U19" s="1985"/>
      <c r="V19" s="1985"/>
      <c r="W19" s="1985"/>
      <c r="X19" s="1985"/>
      <c r="Y19" s="1986"/>
      <c r="Z19" s="1985"/>
      <c r="AA19" s="1987"/>
      <c r="AB19" s="1985"/>
    </row>
    <row customHeight="1" ht="14.25">
      <c r="A20" s="1985"/>
      <c r="B20" s="1985"/>
      <c r="C20" s="1985"/>
      <c r="D20" s="1985"/>
      <c r="E20" s="1985"/>
      <c r="F20" s="1985"/>
      <c r="G20" s="1985"/>
      <c r="H20" s="1985"/>
      <c r="I20" s="1985"/>
      <c r="J20" s="1985"/>
      <c r="K20" s="1985"/>
      <c r="L20" s="1985"/>
      <c r="M20" s="1985"/>
      <c r="N20" s="1985"/>
      <c r="O20" s="1985"/>
      <c r="P20" s="1985"/>
      <c r="Q20" s="1985"/>
      <c r="R20" s="1985"/>
      <c r="S20" s="1985"/>
      <c r="T20" s="1985"/>
      <c r="U20" s="1985"/>
      <c r="V20" s="1985"/>
      <c r="W20" s="1985"/>
      <c r="X20" s="1985"/>
      <c r="Y20" s="1986"/>
      <c r="Z20" s="1985"/>
      <c r="AA20" s="1987"/>
      <c r="AB20" s="1985"/>
    </row>
    <row customHeight="1" ht="14.25">
      <c r="A21" s="1985"/>
      <c r="B21" s="1985"/>
      <c r="C21" s="1985"/>
      <c r="D21" s="1985"/>
      <c r="E21" s="1985"/>
      <c r="F21" s="1985"/>
      <c r="G21" s="1985"/>
      <c r="H21" s="1985"/>
      <c r="I21" s="1985"/>
      <c r="J21" s="1985"/>
      <c r="K21" s="1985"/>
      <c r="L21" s="1985"/>
      <c r="M21" s="1985"/>
      <c r="N21" s="1985"/>
      <c r="O21" s="1985"/>
      <c r="P21" s="1985"/>
      <c r="Q21" s="1985"/>
      <c r="R21" s="1985"/>
      <c r="S21" s="1985"/>
      <c r="T21" s="1985"/>
      <c r="U21" s="1985"/>
      <c r="V21" s="1985"/>
      <c r="W21" s="1985"/>
      <c r="X21" s="1985"/>
      <c r="Y21" s="1986"/>
      <c r="Z21" s="1985"/>
      <c r="AA21" s="1987"/>
      <c r="AB21" s="1985"/>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4118DF-EBA7-1EAC-C566-E4BB058FBBA5}"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30505" width="9.140625" hidden="1" customWidth="1"/>
    <col min="2" max="3" style="30541" width="9.140625" hidden="1" customWidth="1"/>
    <col min="4" max="4" style="30726" width="3.00390625" customWidth="1"/>
    <col min="5" max="5" style="30541" width="6.00390625" customWidth="1"/>
    <col min="6" max="6" style="30541" width="1.7109375" hidden="1" customWidth="1"/>
    <col min="7" max="8" style="30541" width="30.00390625" customWidth="1"/>
    <col min="9" max="9" style="30541" width="8.00390625" customWidth="1"/>
    <col min="10" max="10" style="30541" width="12.140625" customWidth="1"/>
    <col min="11" max="11" style="30541" width="46.00390625" customWidth="1"/>
    <col min="12" max="12" style="30541" width="100.00390625" customWidth="1"/>
    <col min="13" max="13" style="30636" width="7.00390625" customWidth="1"/>
    <col min="14" max="22" style="30541" width="10.00390625" customWidth="1"/>
    <col min="23" max="23" style="30541" width="10.57421875" hidden="1"/>
  </cols>
  <sheetData>
    <row s="30621" customFormat="1" customHeight="1" ht="5.25" hidden="1">
      <c r="C1" s="795"/>
      <c r="D1" s="778"/>
      <c r="F1" s="795"/>
      <c r="G1" s="773" t="s">
        <v>86</v>
      </c>
      <c r="H1" s="773" t="s">
        <v>87</v>
      </c>
      <c r="I1" s="773" t="s">
        <v>88</v>
      </c>
      <c r="P1" s="773" t="s">
        <v>86</v>
      </c>
      <c r="Q1" s="773" t="s">
        <v>87</v>
      </c>
      <c r="R1" s="773" t="s">
        <v>88</v>
      </c>
      <c r="W1" s="773" t="s">
        <v>14</v>
      </c>
    </row>
    <row s="30621" customFormat="1" customHeight="1" ht="5.25" hidden="1">
      <c r="C2" s="795"/>
      <c r="D2" s="778"/>
      <c r="F2" s="795"/>
      <c r="W2" s="773">
        <v>0</v>
      </c>
    </row>
    <row s="30516" customFormat="1" customHeight="1" ht="5.25">
      <c r="A3" s="763"/>
      <c r="D3" s="770"/>
      <c r="E3" s="765"/>
      <c r="F3" s="765"/>
      <c r="G3" s="765"/>
      <c r="H3" s="765"/>
      <c r="I3" s="766"/>
      <c r="J3" s="767"/>
      <c r="K3" s="767"/>
      <c r="L3" s="767"/>
      <c r="W3" s="764">
        <v>5</v>
      </c>
    </row>
    <row customHeight="1" ht="23.25">
      <c r="D4" s="734"/>
      <c r="E4" s="2522" t="s">
        <v>448</v>
      </c>
      <c r="F4" s="2522"/>
      <c r="G4" s="2523"/>
      <c r="H4" s="2523"/>
      <c r="I4" s="2524"/>
      <c r="J4" s="775"/>
      <c r="K4" s="737"/>
      <c r="L4" s="737"/>
      <c r="W4" s="731">
        <v>22</v>
      </c>
    </row>
    <row s="30541" customFormat="1" customHeight="1" ht="18">
      <c r="A5" s="1043"/>
      <c r="D5" s="1106"/>
      <c r="E5" s="2498" t="str">
        <f>IF(org=0,"Не определено",org)</f>
        <v>АО "ДГК"</v>
      </c>
      <c r="F5" s="2498"/>
      <c r="G5" s="2499"/>
      <c r="H5" s="2499"/>
      <c r="I5" s="2500"/>
      <c r="J5" s="775"/>
      <c r="K5" s="737"/>
      <c r="L5" s="737"/>
      <c r="M5" s="791"/>
      <c r="W5" s="1042">
        <v>17</v>
      </c>
    </row>
    <row s="30516" customFormat="1" customHeight="1" ht="11.549999999999999">
      <c r="A6" s="763"/>
      <c r="D6" s="770"/>
      <c r="E6" s="765"/>
      <c r="F6" s="765"/>
      <c r="G6" s="768"/>
      <c r="H6" s="768"/>
      <c r="I6" s="769"/>
      <c r="J6" s="769"/>
      <c r="K6" s="1036"/>
      <c r="L6" s="769"/>
      <c r="W6" s="764">
        <v>11</v>
      </c>
    </row>
    <row customHeight="1" ht="14.699999999999998">
      <c r="D7" s="734"/>
      <c r="E7" s="2492" t="s">
        <v>360</v>
      </c>
      <c r="F7" s="2492"/>
      <c r="G7" s="2493"/>
      <c r="H7" s="2493"/>
      <c r="I7" s="2493"/>
      <c r="J7" s="2493"/>
      <c r="K7" s="2493"/>
      <c r="L7" s="2507" t="s">
        <v>361</v>
      </c>
      <c r="W7" s="731">
        <v>14</v>
      </c>
    </row>
    <row customHeight="1" ht="48.29999999999999">
      <c r="D8" s="734"/>
      <c r="E8" s="757" t="s">
        <v>91</v>
      </c>
      <c r="F8" s="1107"/>
      <c r="G8" s="749" t="s">
        <v>89</v>
      </c>
      <c r="H8" s="749" t="s">
        <v>90</v>
      </c>
      <c r="I8" s="698" t="s">
        <v>88</v>
      </c>
      <c r="J8" s="698" t="s">
        <v>449</v>
      </c>
      <c r="K8" s="698" t="s">
        <v>450</v>
      </c>
      <c r="L8" s="2507"/>
      <c r="W8" s="731">
        <v>46</v>
      </c>
    </row>
    <row customHeight="1" ht="12" hidden="1">
      <c r="D9" s="771"/>
      <c r="E9" s="777"/>
      <c r="F9" s="1114"/>
      <c r="G9" s="777"/>
      <c r="H9" s="777"/>
      <c r="I9" s="777"/>
      <c r="J9" s="777"/>
      <c r="K9" s="777"/>
      <c r="L9" s="777"/>
      <c r="M9" s="731"/>
      <c r="W9" s="731">
        <v>0</v>
      </c>
    </row>
    <row customHeight="1" ht="14.25" hidden="1">
      <c r="A10" s="789"/>
      <c r="B10" s="789"/>
      <c r="D10" s="790"/>
      <c r="E10" s="796">
        <v>0</v>
      </c>
      <c r="F10" s="1105"/>
      <c r="G10" s="792"/>
      <c r="H10" s="792"/>
      <c r="I10" s="792"/>
      <c r="J10" s="792"/>
      <c r="K10" s="792"/>
      <c r="L10" s="2505" t="s">
        <v>451</v>
      </c>
      <c r="M10" s="791"/>
      <c r="N10" s="789"/>
      <c r="O10" s="789"/>
      <c r="P10" s="789"/>
      <c r="Q10" s="789"/>
      <c r="R10" s="789"/>
      <c r="S10" s="789"/>
      <c r="T10" s="789"/>
      <c r="U10" s="789"/>
      <c r="V10" s="789"/>
      <c r="W10" s="731">
        <v>0</v>
      </c>
    </row>
    <row customHeight="1" ht="15" hidden="1">
      <c r="A11" s="2383"/>
      <c r="B11" s="788"/>
      <c r="C11" s="788"/>
      <c r="D11" s="1149"/>
      <c r="E11" s="797"/>
      <c r="F11" s="797"/>
      <c r="G11" s="797"/>
      <c r="H11" s="797"/>
      <c r="I11" s="798"/>
      <c r="J11" s="799"/>
      <c r="K11" s="997"/>
      <c r="L11" s="2525"/>
      <c r="M11" s="795"/>
      <c r="N11" s="795"/>
      <c r="O11" s="795"/>
      <c r="P11" s="800"/>
      <c r="Q11" s="800"/>
      <c r="R11" s="801"/>
      <c r="S11" s="795"/>
      <c r="T11" s="795"/>
      <c r="U11" s="795"/>
      <c r="V11" s="795"/>
      <c r="W11" s="731">
        <v>0</v>
      </c>
    </row>
    <row s="30516" customFormat="1" customHeight="1" ht="15">
      <c r="A12" s="2383"/>
      <c r="B12" s="788"/>
      <c r="C12" s="788"/>
      <c r="D12" s="1150"/>
      <c r="E12" s="1107">
        <v>1</v>
      </c>
      <c r="F12" s="1148">
        <v>23</v>
      </c>
      <c r="G12" s="1147"/>
      <c r="H12" s="1077"/>
      <c r="I12" s="1075"/>
      <c r="J12" s="804" t="s">
        <v>64</v>
      </c>
      <c r="K12" s="1448" t="s">
        <v>28</v>
      </c>
      <c r="L12" s="2525"/>
      <c r="M12" s="795"/>
      <c r="N12" s="795"/>
      <c r="O12" s="795"/>
      <c r="P12" s="800" t="s">
        <v>452</v>
      </c>
      <c r="Q12" s="800" t="s">
        <v>453</v>
      </c>
      <c r="R12" s="801" t="s">
        <v>454</v>
      </c>
      <c r="S12" s="795" t="s">
        <v>455</v>
      </c>
      <c r="T12" s="795"/>
      <c r="U12" s="795"/>
      <c r="V12" s="795"/>
      <c r="W12" s="764">
        <v>14</v>
      </c>
    </row>
    <row customHeight="1" ht="15.75">
      <c r="A13" s="2383"/>
      <c r="B13" s="789"/>
      <c r="D13" s="790"/>
      <c r="E13" s="689"/>
      <c r="F13" s="813"/>
      <c r="G13" s="700" t="s">
        <v>110</v>
      </c>
      <c r="H13" s="688"/>
      <c r="I13" s="688"/>
      <c r="J13" s="688"/>
      <c r="K13" s="687"/>
      <c r="L13" s="2506"/>
      <c r="M13" s="793"/>
      <c r="N13" s="789"/>
      <c r="O13" s="789"/>
      <c r="P13" s="789"/>
      <c r="Q13" s="789"/>
      <c r="R13" s="789"/>
      <c r="S13" s="789"/>
      <c r="T13" s="789"/>
      <c r="U13" s="789"/>
      <c r="V13" s="789"/>
      <c r="W13" s="731">
        <v>15</v>
      </c>
    </row>
    <row customHeight="1" ht="11.549999999999999">
      <c r="A14" s="763"/>
      <c r="B14" s="764"/>
      <c r="C14" s="764"/>
      <c r="D14" s="779"/>
      <c r="E14" s="764"/>
      <c r="F14" s="764"/>
      <c r="G14" s="764"/>
      <c r="H14" s="764"/>
      <c r="I14" s="764"/>
      <c r="J14" s="764"/>
      <c r="K14" s="764"/>
      <c r="L14" s="764"/>
      <c r="M14" s="764"/>
      <c r="N14" s="764"/>
      <c r="O14" s="764"/>
      <c r="P14" s="764"/>
      <c r="Q14" s="764"/>
      <c r="R14" s="764"/>
      <c r="S14" s="764"/>
      <c r="T14" s="764"/>
      <c r="U14" s="764"/>
      <c r="V14" s="764"/>
      <c r="W14" s="731">
        <v>11</v>
      </c>
    </row>
    <row customHeight="1" ht="14.699999999999998">
      <c r="D15" s="750"/>
      <c r="E15" s="620"/>
      <c r="F15" s="620"/>
      <c r="G15" s="94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750"/>
      <c r="I15" s="750"/>
      <c r="J15" s="750"/>
      <c r="K15" s="750"/>
      <c r="L15" s="750"/>
      <c r="W15" s="731">
        <v>14</v>
      </c>
    </row>
    <row customHeight="1" ht="14.699999999999998">
      <c r="W16" s="731">
        <v>14</v>
      </c>
    </row>
    <row customHeight="1" ht="14.699999999999998">
      <c r="W17" s="731">
        <v>14</v>
      </c>
    </row>
    <row customHeight="1" ht="14.699999999999998">
      <c r="G18" s="789"/>
      <c r="W18" s="731">
        <v>14</v>
      </c>
    </row>
    <row customHeight="1" ht="22.5" hidden="1">
      <c r="A19" s="733" t="s">
        <v>85</v>
      </c>
      <c r="B19" s="731">
        <v>0</v>
      </c>
      <c r="C19" s="1042">
        <v>0</v>
      </c>
      <c r="D19" s="735">
        <v>3</v>
      </c>
      <c r="E19" s="731">
        <v>6</v>
      </c>
      <c r="F19" s="1042">
        <v>0</v>
      </c>
      <c r="G19" s="731">
        <v>30</v>
      </c>
      <c r="H19" s="731">
        <v>30</v>
      </c>
      <c r="I19" s="731">
        <v>8</v>
      </c>
      <c r="J19" s="731">
        <v>12</v>
      </c>
      <c r="K19" s="731">
        <v>46</v>
      </c>
      <c r="L19" s="731">
        <v>100</v>
      </c>
      <c r="M19" s="736">
        <v>7</v>
      </c>
      <c r="N19" s="731">
        <v>10</v>
      </c>
      <c r="O19" s="731">
        <v>10</v>
      </c>
      <c r="P19" s="731">
        <v>10</v>
      </c>
      <c r="Q19" s="731">
        <v>10</v>
      </c>
      <c r="R19" s="731">
        <v>10</v>
      </c>
      <c r="S19" s="731">
        <v>10</v>
      </c>
      <c r="T19" s="731">
        <v>10</v>
      </c>
      <c r="U19" s="731">
        <v>10</v>
      </c>
      <c r="V19" s="731">
        <v>10</v>
      </c>
      <c r="W19" s="731">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CECF95-502A-8F9A-3D22-4310D9A165B2}"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30620" width="10.57421875" hidden="1"/>
    <col min="2" max="2" style="30620" width="11.00390625" hidden="1" customWidth="1"/>
    <col min="3" max="3" style="30620" width="10.57421875" hidden="1"/>
    <col min="4" max="4" style="30620" width="11.8515625" hidden="1" customWidth="1"/>
    <col min="5" max="5" style="30620" width="10.00390625" hidden="1" customWidth="1"/>
    <col min="6" max="6" style="30620" width="8.7109375" hidden="1" customWidth="1"/>
    <col min="7" max="7" style="30620" width="7.57421875" hidden="1" customWidth="1"/>
    <col min="8" max="8" style="30620" width="11.421875" hidden="1" customWidth="1"/>
    <col min="9" max="9" style="30620" width="12.00390625" hidden="1" customWidth="1"/>
    <col min="10" max="10" style="30620" width="9.8515625" hidden="1" customWidth="1"/>
    <col min="11" max="11" style="30620" width="11.421875" hidden="1" customWidth="1"/>
    <col min="12" max="12" style="31502" width="19.140625" hidden="1" customWidth="1"/>
    <col min="13" max="14" style="31503" width="12.28125" hidden="1" customWidth="1"/>
    <col min="15" max="15" style="31503" width="23.421875" hidden="1" customWidth="1"/>
    <col min="16" max="16" style="31504" width="3.00390625" customWidth="1"/>
    <col min="17" max="18" style="31505" width="3.00390625" customWidth="1"/>
    <col min="19" max="19" style="31506" width="12.00390625" customWidth="1"/>
    <col min="20" max="20" style="30541" width="35.00390625" customWidth="1"/>
    <col min="21" max="21" style="30541" width="0.140625" customWidth="1"/>
    <col min="22" max="22" style="30541" width="24.7109375" hidden="1" customWidth="1"/>
    <col min="23" max="23" style="30541" width="0.140625" hidden="1" customWidth="1"/>
    <col min="24" max="25" style="30541" width="24.7109375" hidden="1" customWidth="1"/>
    <col min="26" max="26" style="30541" width="11.7109375" hidden="1" customWidth="1"/>
    <col min="27" max="27" style="30541" width="3.7109375" hidden="1" customWidth="1"/>
    <col min="28" max="28" style="30541" width="11.7109375" hidden="1" customWidth="1"/>
    <col min="29" max="29" style="30541" width="8.57421875" hidden="1" customWidth="1"/>
    <col min="30" max="30" style="30541" width="24.7109375" customWidth="1"/>
    <col min="31" max="31" style="30541" width="0.140625" customWidth="1"/>
    <col min="32" max="33" style="30541" width="24.00390625" customWidth="1"/>
    <col min="34" max="34" style="30541" width="11.00390625" customWidth="1"/>
    <col min="35" max="35" style="30541" width="3.7109375" customWidth="1"/>
    <col min="36" max="36" style="30541" width="11.00390625" customWidth="1"/>
    <col min="37" max="37" style="30541" width="8.57421875" hidden="1" customWidth="1"/>
    <col min="38" max="38" style="30541" width="4.00390625" customWidth="1"/>
    <col min="39" max="39" style="30541" width="115.00390625" customWidth="1"/>
    <col min="40" max="44" style="30621" width="10.00390625" customWidth="1"/>
    <col min="45" max="45" style="30541" width="10.57421875" hidden="1"/>
  </cols>
  <sheetData>
    <row customHeight="1" ht="22.5" hidden="1">
      <c r="Y1" s="611"/>
      <c r="Z1" s="611"/>
      <c r="AG1" s="611"/>
      <c r="AH1" s="611"/>
      <c r="AS1" s="1439" t="s">
        <v>14</v>
      </c>
    </row>
    <row customHeight="1" ht="21" hidden="1">
      <c r="A2" s="1647"/>
      <c r="B2" s="1647"/>
      <c r="C2" s="1647"/>
      <c r="D2" s="1647"/>
      <c r="E2" s="2542">
        <v>1</v>
      </c>
      <c r="F2" s="1647"/>
      <c r="G2" s="1647"/>
      <c r="H2" s="1647"/>
      <c r="I2" s="1647"/>
      <c r="J2" s="1647"/>
      <c r="K2" s="1647"/>
      <c r="L2" s="1648"/>
      <c r="M2" s="1649"/>
      <c r="N2" s="1649"/>
      <c r="O2" s="1649"/>
      <c r="P2" s="645"/>
      <c r="Q2" s="644"/>
      <c r="R2" s="639"/>
      <c r="S2" s="1593">
        <f>INDEX(PT_DIFFERENTIATION_NUM_NTAR,MATCH(A2,PT_DIFFERENTIATION_NTAR_ID,0))</f>
      </c>
      <c r="T2" s="582" t="s">
        <v>153</v>
      </c>
      <c r="U2" s="584"/>
      <c r="V2" s="2526"/>
      <c r="W2" s="2527"/>
      <c r="X2" s="2527"/>
      <c r="Y2" s="2527"/>
      <c r="Z2" s="2527"/>
      <c r="AA2" s="2527"/>
      <c r="AB2" s="2527"/>
      <c r="AC2" s="2528"/>
      <c r="AD2" s="2526">
        <f>INDEX(PT_DIFFERENTIATION_NTAR,MATCH(A2,PT_DIFFERENTIATION_NTAR_ID,0))</f>
      </c>
      <c r="AE2" s="2527"/>
      <c r="AF2" s="2527"/>
      <c r="AG2" s="2527"/>
      <c r="AH2" s="2527"/>
      <c r="AI2" s="2527"/>
      <c r="AJ2" s="2527"/>
      <c r="AK2" s="2527"/>
      <c r="AL2" s="2528"/>
      <c r="AM2" s="1542" t="s">
        <v>456</v>
      </c>
      <c r="AO2" s="784"/>
      <c r="AP2" s="784" t="str">
        <f>IF(T2="","",T2)</f>
        <v>Наименование тарифа</v>
      </c>
      <c r="AQ2" s="784"/>
      <c r="AR2" s="784"/>
      <c r="AS2" s="1439">
        <v>0</v>
      </c>
    </row>
    <row customHeight="1" ht="21" hidden="1">
      <c r="A3" s="1647"/>
      <c r="B3" s="1647"/>
      <c r="C3" s="1647"/>
      <c r="D3" s="1647"/>
      <c r="E3" s="2543"/>
      <c r="F3" s="2542">
        <v>1</v>
      </c>
      <c r="G3" s="1647"/>
      <c r="H3" s="1647"/>
      <c r="I3" s="1647"/>
      <c r="J3" s="1647"/>
      <c r="K3" s="1647"/>
      <c r="L3" s="1648"/>
      <c r="M3" s="1649"/>
      <c r="N3" s="1649"/>
      <c r="O3" s="1649"/>
      <c r="P3" s="1588"/>
      <c r="Q3" s="636"/>
      <c r="R3" s="637"/>
      <c r="S3" s="1593">
        <f>INDEX(PT_DIFFERENTIATION_NUM_TER,MATCH(B3,PT_DIFFERENTIATION_TER_ID,0))</f>
      </c>
      <c r="T3" s="592" t="s">
        <v>457</v>
      </c>
      <c r="U3" s="584"/>
      <c r="V3" s="2526"/>
      <c r="W3" s="2527"/>
      <c r="X3" s="2527"/>
      <c r="Y3" s="2527"/>
      <c r="Z3" s="2527"/>
      <c r="AA3" s="2527"/>
      <c r="AB3" s="2527"/>
      <c r="AC3" s="2528"/>
      <c r="AD3" s="2526">
        <f>INDEX(PT_DIFFERENTIATION_TER,MATCH(B3,PT_DIFFERENTIATION_TER_ID,0))</f>
      </c>
      <c r="AE3" s="2527"/>
      <c r="AF3" s="2527"/>
      <c r="AG3" s="2527"/>
      <c r="AH3" s="2527"/>
      <c r="AI3" s="2527"/>
      <c r="AJ3" s="2527"/>
      <c r="AK3" s="2527"/>
      <c r="AL3" s="2528"/>
      <c r="AM3" s="1542" t="s">
        <v>458</v>
      </c>
      <c r="AO3" s="784"/>
      <c r="AP3" s="784" t="str">
        <f>IF(T3="","",T3)</f>
        <v>Территория действия тарифа</v>
      </c>
      <c r="AQ3" s="784"/>
      <c r="AR3" s="784"/>
      <c r="AS3" s="1439">
        <v>0</v>
      </c>
    </row>
    <row customHeight="1" ht="23.25" hidden="1">
      <c r="A4" s="1647"/>
      <c r="B4" s="1647"/>
      <c r="C4" s="1647"/>
      <c r="D4" s="1647"/>
      <c r="E4" s="2543"/>
      <c r="F4" s="2543"/>
      <c r="G4" s="2542">
        <v>1</v>
      </c>
      <c r="H4" s="1647"/>
      <c r="I4" s="1647"/>
      <c r="J4" s="1647"/>
      <c r="K4" s="1647"/>
      <c r="L4" s="1648"/>
      <c r="M4" s="1649"/>
      <c r="N4" s="1649"/>
      <c r="O4" s="1649"/>
      <c r="P4" s="638"/>
      <c r="Q4" s="636"/>
      <c r="R4" s="637"/>
      <c r="S4" s="1593">
        <f>INDEX(PT_DIFFERENTIATION_NUM_CS,MATCH(C4,PT_DIFFERENTIATION_CS_ID,0))</f>
      </c>
      <c r="T4" s="593" t="s">
        <v>459</v>
      </c>
      <c r="U4" s="584"/>
      <c r="V4" s="2526"/>
      <c r="W4" s="2527"/>
      <c r="X4" s="2527"/>
      <c r="Y4" s="2527"/>
      <c r="Z4" s="2527"/>
      <c r="AA4" s="2527"/>
      <c r="AB4" s="2527"/>
      <c r="AC4" s="2528"/>
      <c r="AD4" s="2526">
        <f>INDEX(PT_DIFFERENTIATION_CS,MATCH(C4,PT_DIFFERENTIATION_CS_ID,0))</f>
      </c>
      <c r="AE4" s="2527"/>
      <c r="AF4" s="2527"/>
      <c r="AG4" s="2527"/>
      <c r="AH4" s="2527"/>
      <c r="AI4" s="2527"/>
      <c r="AJ4" s="2527"/>
      <c r="AK4" s="2527"/>
      <c r="AL4" s="2528"/>
      <c r="AM4" s="1542" t="s">
        <v>460</v>
      </c>
      <c r="AO4" s="784"/>
      <c r="AP4" s="784" t="str">
        <f>IF(T4="","",T4)</f>
        <v>Наименование системы теплоснабжения </v>
      </c>
      <c r="AQ4" s="784"/>
      <c r="AR4" s="784"/>
      <c r="AS4" s="1439">
        <v>0</v>
      </c>
    </row>
    <row customHeight="1" ht="21" hidden="1">
      <c r="A5" s="1647"/>
      <c r="B5" s="1647"/>
      <c r="C5" s="1647"/>
      <c r="D5" s="1647"/>
      <c r="E5" s="2543"/>
      <c r="F5" s="2543"/>
      <c r="G5" s="2543"/>
      <c r="H5" s="2542">
        <v>1</v>
      </c>
      <c r="I5" s="1647"/>
      <c r="J5" s="1647"/>
      <c r="K5" s="1647"/>
      <c r="L5" s="1648"/>
      <c r="M5" s="1649"/>
      <c r="N5" s="1649"/>
      <c r="O5" s="1649"/>
      <c r="P5" s="638"/>
      <c r="Q5" s="636"/>
      <c r="R5" s="637"/>
      <c r="S5" s="1593">
        <f>INDEX(PT_DIFFERENTIATION_NUM_IST_TE,MATCH(D5,PT_DIFFERENTIATION_IST_TE_ID,0))</f>
      </c>
      <c r="T5" s="594" t="s">
        <v>461</v>
      </c>
      <c r="U5" s="584"/>
      <c r="V5" s="2526"/>
      <c r="W5" s="2527"/>
      <c r="X5" s="2527"/>
      <c r="Y5" s="2527"/>
      <c r="Z5" s="2527"/>
      <c r="AA5" s="2527"/>
      <c r="AB5" s="2527"/>
      <c r="AC5" s="2528"/>
      <c r="AD5" s="2526">
        <f>INDEX(PT_DIFFERENTIATION_IST_TE,MATCH(D5,PT_DIFFERENTIATION_IST_TE_ID,0))</f>
      </c>
      <c r="AE5" s="2527"/>
      <c r="AF5" s="2527"/>
      <c r="AG5" s="2527"/>
      <c r="AH5" s="2527"/>
      <c r="AI5" s="2527"/>
      <c r="AJ5" s="2527"/>
      <c r="AK5" s="2527"/>
      <c r="AL5" s="2528"/>
      <c r="AM5" s="1542" t="s">
        <v>462</v>
      </c>
      <c r="AO5" s="784"/>
      <c r="AP5" s="784" t="str">
        <f>IF(T5="","",T5)</f>
        <v>Источник тепловой энергии  </v>
      </c>
      <c r="AQ5" s="784"/>
      <c r="AR5" s="784"/>
      <c r="AS5" s="1439">
        <v>0</v>
      </c>
    </row>
    <row customHeight="1" ht="47.25" hidden="1">
      <c r="A6" s="1647"/>
      <c r="B6" s="1647"/>
      <c r="C6" s="1647"/>
      <c r="D6" s="1647"/>
      <c r="E6" s="2543"/>
      <c r="F6" s="2543"/>
      <c r="G6" s="2543"/>
      <c r="H6" s="2543"/>
      <c r="I6" s="2540">
        <f>S5&amp;".1"</f>
      </c>
      <c r="J6" s="1647"/>
      <c r="K6" s="1647"/>
      <c r="L6" s="1648" t="s">
        <v>463</v>
      </c>
      <c r="M6" s="821"/>
      <c r="P6" s="2541">
        <v>1</v>
      </c>
      <c r="Q6" s="1589"/>
      <c r="R6" s="640"/>
      <c r="S6" s="1593">
        <f>$I6</f>
      </c>
      <c r="T6" s="569" t="s">
        <v>464</v>
      </c>
      <c r="U6" s="584"/>
      <c r="V6" s="2529"/>
      <c r="W6" s="2530"/>
      <c r="X6" s="2530"/>
      <c r="Y6" s="2530"/>
      <c r="Z6" s="2530"/>
      <c r="AA6" s="2530"/>
      <c r="AB6" s="2530"/>
      <c r="AC6" s="2531"/>
      <c r="AD6" s="2529"/>
      <c r="AE6" s="2530"/>
      <c r="AF6" s="2530"/>
      <c r="AG6" s="2530"/>
      <c r="AH6" s="2530"/>
      <c r="AI6" s="2530"/>
      <c r="AJ6" s="2530"/>
      <c r="AK6" s="2530"/>
      <c r="AL6" s="2531"/>
      <c r="AM6" s="1542" t="s">
        <v>465</v>
      </c>
      <c r="AO6" s="784"/>
      <c r="AP6" s="784" t="str">
        <f>IF(T6="","",T6)</f>
        <v>Схема подключения теплопотребляющей установки к коллектору источника тепловой энергии</v>
      </c>
      <c r="AQ6" s="784"/>
      <c r="AR6" s="784"/>
      <c r="AS6" s="1439">
        <v>0</v>
      </c>
    </row>
    <row customHeight="1" ht="21" hidden="1">
      <c r="A7" s="1647"/>
      <c r="B7" s="1647"/>
      <c r="C7" s="1647"/>
      <c r="D7" s="1647"/>
      <c r="E7" s="2543"/>
      <c r="F7" s="2543"/>
      <c r="G7" s="2543"/>
      <c r="H7" s="2543"/>
      <c r="I7" s="2570"/>
      <c r="J7" s="2540">
        <f>I6&amp;".1"</f>
      </c>
      <c r="K7" s="1647"/>
      <c r="L7" s="1648" t="s">
        <v>466</v>
      </c>
      <c r="M7" s="821"/>
      <c r="N7" s="1650"/>
      <c r="P7" s="2541"/>
      <c r="Q7" s="2541">
        <v>1</v>
      </c>
      <c r="R7" s="641"/>
      <c r="S7" s="1593">
        <f>$J7</f>
      </c>
      <c r="T7" s="570" t="s">
        <v>467</v>
      </c>
      <c r="U7" s="584"/>
      <c r="V7" s="2529"/>
      <c r="W7" s="2530"/>
      <c r="X7" s="2530"/>
      <c r="Y7" s="2530"/>
      <c r="Z7" s="2530"/>
      <c r="AA7" s="2530"/>
      <c r="AB7" s="2530"/>
      <c r="AC7" s="2531"/>
      <c r="AD7" s="2529"/>
      <c r="AE7" s="2530"/>
      <c r="AF7" s="2530"/>
      <c r="AG7" s="2530"/>
      <c r="AH7" s="2530"/>
      <c r="AI7" s="2530"/>
      <c r="AJ7" s="2530"/>
      <c r="AK7" s="2530"/>
      <c r="AL7" s="2531"/>
      <c r="AM7" s="1542" t="s">
        <v>468</v>
      </c>
      <c r="AO7" s="784"/>
      <c r="AP7" s="784" t="str">
        <f>IF(T7="","",T7)</f>
        <v>Группа потребителей</v>
      </c>
      <c r="AQ7" s="784"/>
      <c r="AR7" s="784"/>
      <c r="AS7" s="1439">
        <v>0</v>
      </c>
    </row>
    <row customHeight="1" ht="21" hidden="1">
      <c r="A8" s="1647"/>
      <c r="B8" s="1647"/>
      <c r="C8" s="1647"/>
      <c r="D8" s="1647"/>
      <c r="E8" s="2543"/>
      <c r="F8" s="2543"/>
      <c r="G8" s="2543"/>
      <c r="H8" s="2543"/>
      <c r="I8" s="2570"/>
      <c r="J8" s="2570"/>
      <c r="K8" s="2540">
        <f>J7&amp;".1"</f>
      </c>
      <c r="L8" s="1648" t="s">
        <v>469</v>
      </c>
      <c r="M8" s="821"/>
      <c r="N8" s="1650"/>
      <c r="O8" s="1650"/>
      <c r="P8" s="2541"/>
      <c r="Q8" s="2541"/>
      <c r="R8" s="641">
        <v>1</v>
      </c>
      <c r="S8" s="1593">
        <f>$K8</f>
      </c>
      <c r="T8" s="1631"/>
      <c r="U8" s="584"/>
      <c r="V8" s="1035"/>
      <c r="W8" s="609"/>
      <c r="X8" s="1035"/>
      <c r="Y8" s="1541"/>
      <c r="Z8" s="2549"/>
      <c r="AA8" s="2391" t="s">
        <v>64</v>
      </c>
      <c r="AB8" s="2549"/>
      <c r="AC8" s="2391" t="s">
        <v>64</v>
      </c>
      <c r="AD8" s="1035"/>
      <c r="AE8" s="609"/>
      <c r="AF8" s="1035"/>
      <c r="AG8" s="1541"/>
      <c r="AH8" s="2549"/>
      <c r="AI8" s="2391" t="s">
        <v>64</v>
      </c>
      <c r="AJ8" s="2549"/>
      <c r="AK8" s="2391" t="s">
        <v>64</v>
      </c>
      <c r="AL8" s="609"/>
      <c r="AM8" s="2537" t="s">
        <v>470</v>
      </c>
      <c r="AN8" s="795">
        <f>STRCHECKDATE(V9:AL9)</f>
      </c>
      <c r="AO8" s="784"/>
      <c r="AP8" s="784" t="str">
        <f>IF(T8="","",T8)</f>
        <v/>
      </c>
      <c r="AQ8" s="784"/>
      <c r="AR8" s="784"/>
      <c r="AS8" s="1439">
        <v>0</v>
      </c>
    </row>
    <row customHeight="1" ht="0.75" hidden="1">
      <c r="A9" s="1647"/>
      <c r="B9" s="1647"/>
      <c r="C9" s="1647"/>
      <c r="D9" s="1647"/>
      <c r="E9" s="2543"/>
      <c r="F9" s="2543"/>
      <c r="G9" s="2543"/>
      <c r="H9" s="2543"/>
      <c r="I9" s="2570"/>
      <c r="J9" s="2570"/>
      <c r="K9" s="2540"/>
      <c r="L9" s="1648"/>
      <c r="M9" s="821"/>
      <c r="N9" s="1650"/>
      <c r="O9" s="1650"/>
      <c r="P9" s="2541"/>
      <c r="Q9" s="2541"/>
      <c r="R9" s="641"/>
      <c r="S9" s="1590"/>
      <c r="T9" s="584"/>
      <c r="U9" s="584"/>
      <c r="V9" s="609"/>
      <c r="W9" s="609"/>
      <c r="X9" s="609"/>
      <c r="Y9" s="612" t="str">
        <f>Z8&amp;"-"&amp;AB8</f>
        <v>-</v>
      </c>
      <c r="Z9" s="2550"/>
      <c r="AA9" s="2391"/>
      <c r="AB9" s="2550"/>
      <c r="AC9" s="2391"/>
      <c r="AD9" s="609"/>
      <c r="AE9" s="609"/>
      <c r="AF9" s="609"/>
      <c r="AG9" s="612" t="str">
        <f>AH8&amp;"-"&amp;AJ8</f>
        <v>-</v>
      </c>
      <c r="AH9" s="2550"/>
      <c r="AI9" s="2391"/>
      <c r="AJ9" s="2550"/>
      <c r="AK9" s="2391"/>
      <c r="AL9" s="609"/>
      <c r="AM9" s="2538"/>
      <c r="AO9" s="784"/>
      <c r="AP9" s="784" t="str">
        <f>IF(T9="","",T9)</f>
        <v/>
      </c>
      <c r="AQ9" s="784"/>
      <c r="AR9" s="784"/>
      <c r="AS9" s="1439">
        <v>0</v>
      </c>
    </row>
    <row customHeight="1" ht="15" hidden="1">
      <c r="A10" s="1647"/>
      <c r="B10" s="1647"/>
      <c r="C10" s="1647"/>
      <c r="D10" s="1647"/>
      <c r="E10" s="2543"/>
      <c r="F10" s="2543"/>
      <c r="G10" s="2543"/>
      <c r="H10" s="2543"/>
      <c r="I10" s="2570"/>
      <c r="J10" s="2540"/>
      <c r="K10" s="1647"/>
      <c r="L10" s="1648"/>
      <c r="M10" s="821"/>
      <c r="N10" s="1650"/>
      <c r="P10" s="2541"/>
      <c r="Q10" s="2541"/>
      <c r="R10" s="640"/>
      <c r="S10" s="1562"/>
      <c r="T10" s="572" t="s">
        <v>471</v>
      </c>
      <c r="U10" s="651"/>
      <c r="V10" s="651"/>
      <c r="W10" s="651"/>
      <c r="X10" s="651"/>
      <c r="Y10" s="651"/>
      <c r="Z10" s="651"/>
      <c r="AA10" s="651"/>
      <c r="AB10" s="651"/>
      <c r="AC10" s="651"/>
      <c r="AD10" s="651"/>
      <c r="AE10" s="651"/>
      <c r="AF10" s="651"/>
      <c r="AG10" s="651"/>
      <c r="AH10" s="651"/>
      <c r="AI10" s="651"/>
      <c r="AJ10" s="651"/>
      <c r="AK10" s="651"/>
      <c r="AL10" s="608"/>
      <c r="AM10" s="2539"/>
      <c r="AO10" s="784"/>
      <c r="AP10" s="784" t="str">
        <f>IF(T10="","",T10)</f>
        <v>Добавить вид теплоносителя (параметры теплоносителя)</v>
      </c>
      <c r="AQ10" s="784"/>
      <c r="AR10" s="784"/>
      <c r="AS10" s="1439">
        <v>0</v>
      </c>
    </row>
    <row customHeight="1" ht="15" hidden="1">
      <c r="A11" s="1647"/>
      <c r="B11" s="1647"/>
      <c r="C11" s="1647"/>
      <c r="D11" s="1647"/>
      <c r="E11" s="2543"/>
      <c r="F11" s="2543"/>
      <c r="G11" s="2543"/>
      <c r="H11" s="2543"/>
      <c r="I11" s="2540"/>
      <c r="J11" s="1647"/>
      <c r="K11" s="1647"/>
      <c r="L11" s="1648"/>
      <c r="M11" s="821"/>
      <c r="P11" s="2541"/>
      <c r="Q11" s="1589"/>
      <c r="R11" s="640"/>
      <c r="S11" s="1562"/>
      <c r="T11" s="571" t="s">
        <v>472</v>
      </c>
      <c r="U11" s="651"/>
      <c r="V11" s="651"/>
      <c r="W11" s="651"/>
      <c r="X11" s="651"/>
      <c r="Y11" s="651"/>
      <c r="Z11" s="651"/>
      <c r="AA11" s="651"/>
      <c r="AB11" s="651"/>
      <c r="AC11" s="650"/>
      <c r="AD11" s="651"/>
      <c r="AE11" s="651"/>
      <c r="AF11" s="651"/>
      <c r="AG11" s="651"/>
      <c r="AH11" s="651"/>
      <c r="AI11" s="651"/>
      <c r="AJ11" s="651"/>
      <c r="AK11" s="650"/>
      <c r="AL11" s="651"/>
      <c r="AM11" s="587"/>
      <c r="AO11" s="784"/>
      <c r="AP11" s="784" t="str">
        <f>IF(T11="","",T11)</f>
        <v>Добавить группу потребителей</v>
      </c>
      <c r="AQ11" s="784"/>
      <c r="AR11" s="784"/>
      <c r="AS11" s="1439">
        <v>0</v>
      </c>
    </row>
    <row customHeight="1" ht="14.25" hidden="1">
      <c r="A12" s="1647"/>
      <c r="B12" s="1647"/>
      <c r="C12" s="1647"/>
      <c r="D12" s="1647"/>
      <c r="E12" s="2543"/>
      <c r="F12" s="2543"/>
      <c r="G12" s="2543"/>
      <c r="H12" s="2542"/>
      <c r="I12" s="1647"/>
      <c r="J12" s="1647"/>
      <c r="K12" s="1647"/>
      <c r="L12" s="1648"/>
      <c r="M12" s="1649"/>
      <c r="N12" s="1649"/>
      <c r="O12" s="821"/>
      <c r="P12" s="644"/>
      <c r="Q12" s="659"/>
      <c r="R12" s="639"/>
      <c r="S12" s="1562"/>
      <c r="T12" s="649" t="s">
        <v>473</v>
      </c>
      <c r="U12" s="651"/>
      <c r="V12" s="651"/>
      <c r="W12" s="651"/>
      <c r="X12" s="651"/>
      <c r="Y12" s="651"/>
      <c r="Z12" s="651"/>
      <c r="AA12" s="651"/>
      <c r="AB12" s="651"/>
      <c r="AC12" s="650"/>
      <c r="AD12" s="651"/>
      <c r="AE12" s="651"/>
      <c r="AF12" s="651"/>
      <c r="AG12" s="651"/>
      <c r="AH12" s="651"/>
      <c r="AI12" s="651"/>
      <c r="AJ12" s="651"/>
      <c r="AK12" s="650"/>
      <c r="AL12" s="651"/>
      <c r="AM12" s="587"/>
      <c r="AO12" s="784"/>
      <c r="AP12" s="784" t="str">
        <f>IF(T12="","",T12)</f>
        <v>Добавить схему подключения</v>
      </c>
      <c r="AQ12" s="784"/>
      <c r="AR12" s="784"/>
      <c r="AS12" s="1439">
        <v>0</v>
      </c>
    </row>
    <row s="30621" customFormat="1" customHeight="1" ht="0.75" hidden="1">
      <c r="A13" s="1598"/>
      <c r="B13" s="1598"/>
      <c r="C13" s="1598"/>
      <c r="D13" s="1598"/>
      <c r="E13" s="2543"/>
      <c r="F13" s="2543"/>
      <c r="G13" s="2542"/>
      <c r="H13" s="1598"/>
      <c r="I13" s="1598"/>
      <c r="J13" s="1598"/>
      <c r="K13" s="1598"/>
      <c r="L13" s="1623"/>
      <c r="M13" s="1599"/>
      <c r="N13" s="1599"/>
      <c r="P13" s="1600"/>
      <c r="Q13" s="1601"/>
      <c r="R13" s="1600"/>
      <c r="S13" s="1602"/>
      <c r="T13" s="1603" t="s">
        <v>213</v>
      </c>
      <c r="U13" s="1604"/>
      <c r="V13" s="1604"/>
      <c r="W13" s="1604"/>
      <c r="X13" s="1604"/>
      <c r="Y13" s="1604"/>
      <c r="Z13" s="1604"/>
      <c r="AA13" s="1604"/>
      <c r="AB13" s="1604"/>
      <c r="AC13" s="1604"/>
      <c r="AD13" s="1604"/>
      <c r="AE13" s="1604"/>
      <c r="AF13" s="1604"/>
      <c r="AG13" s="1604"/>
      <c r="AH13" s="1604"/>
      <c r="AI13" s="1604"/>
      <c r="AJ13" s="1604"/>
      <c r="AK13" s="1604"/>
      <c r="AL13" s="1604"/>
      <c r="AM13" s="1604"/>
      <c r="AO13" s="1073"/>
      <c r="AP13" s="1073" t="str">
        <f>IF(T13="","",T13)</f>
        <v>Добавить источник для дифференциации</v>
      </c>
      <c r="AQ13" s="1073"/>
      <c r="AR13" s="1073"/>
      <c r="AS13" s="802">
        <v>0</v>
      </c>
    </row>
    <row s="30621" customFormat="1" customHeight="1" ht="0.75" hidden="1">
      <c r="A14" s="1598"/>
      <c r="B14" s="1598"/>
      <c r="C14" s="1598"/>
      <c r="D14" s="1598"/>
      <c r="E14" s="2543"/>
      <c r="F14" s="2542"/>
      <c r="G14" s="1598"/>
      <c r="H14" s="1598"/>
      <c r="I14" s="1598"/>
      <c r="J14" s="1598"/>
      <c r="K14" s="1598"/>
      <c r="L14" s="1623"/>
      <c r="M14" s="1605"/>
      <c r="N14" s="1605"/>
      <c r="P14" s="1600"/>
      <c r="Q14" s="1601"/>
      <c r="R14" s="1600"/>
      <c r="S14" s="1606"/>
      <c r="T14" s="1607" t="s">
        <v>214</v>
      </c>
      <c r="U14" s="1608"/>
      <c r="V14" s="1608"/>
      <c r="W14" s="1608"/>
      <c r="X14" s="1608"/>
      <c r="Y14" s="1608"/>
      <c r="Z14" s="1608"/>
      <c r="AA14" s="1608"/>
      <c r="AB14" s="1608"/>
      <c r="AC14" s="1608"/>
      <c r="AD14" s="1608"/>
      <c r="AE14" s="1608"/>
      <c r="AF14" s="1608"/>
      <c r="AG14" s="1608"/>
      <c r="AH14" s="1608"/>
      <c r="AI14" s="1608"/>
      <c r="AJ14" s="1608"/>
      <c r="AK14" s="1608"/>
      <c r="AL14" s="1608"/>
      <c r="AM14" s="1608"/>
      <c r="AO14" s="1073"/>
      <c r="AP14" s="1073" t="str">
        <f>IF(T14="","",T14)</f>
        <v>Добавить централизованную систему для дифференциации</v>
      </c>
      <c r="AQ14" s="1073"/>
      <c r="AR14" s="1073"/>
      <c r="AS14" s="802">
        <v>0</v>
      </c>
    </row>
    <row s="30621" customFormat="1" customHeight="1" ht="0.75" hidden="1">
      <c r="A15" s="1598"/>
      <c r="B15" s="1598"/>
      <c r="C15" s="1598"/>
      <c r="D15" s="1598"/>
      <c r="E15" s="2542"/>
      <c r="F15" s="1598"/>
      <c r="G15" s="1598"/>
      <c r="H15" s="1598"/>
      <c r="I15" s="1598"/>
      <c r="J15" s="1598"/>
      <c r="K15" s="1598"/>
      <c r="L15" s="1623"/>
      <c r="M15" s="1605"/>
      <c r="N15" s="1605"/>
      <c r="P15" s="1600"/>
      <c r="Q15" s="1601"/>
      <c r="R15" s="1600"/>
      <c r="S15" s="1606"/>
      <c r="T15" s="1609" t="s">
        <v>230</v>
      </c>
      <c r="U15" s="1608"/>
      <c r="V15" s="1608"/>
      <c r="W15" s="1608"/>
      <c r="X15" s="1608"/>
      <c r="Y15" s="1608"/>
      <c r="Z15" s="1608"/>
      <c r="AA15" s="1608"/>
      <c r="AB15" s="1608"/>
      <c r="AC15" s="1608"/>
      <c r="AD15" s="1608"/>
      <c r="AE15" s="1608"/>
      <c r="AF15" s="1608"/>
      <c r="AG15" s="1608"/>
      <c r="AH15" s="1608"/>
      <c r="AI15" s="1608"/>
      <c r="AJ15" s="1608"/>
      <c r="AK15" s="1608"/>
      <c r="AL15" s="1608"/>
      <c r="AM15" s="1608"/>
      <c r="AO15" s="1073"/>
      <c r="AP15" s="1073" t="str">
        <f>IF(T15="","",T15)</f>
        <v>Добавить территорию для дифференциации</v>
      </c>
      <c r="AQ15" s="1073"/>
      <c r="AR15" s="1073"/>
      <c r="AS15" s="802">
        <v>0</v>
      </c>
    </row>
    <row customHeight="1" ht="14.25" hidden="1">
      <c r="AC16" s="611"/>
      <c r="AK16" s="611"/>
      <c r="AS16" s="1439">
        <v>0</v>
      </c>
    </row>
    <row customHeight="1" ht="14.25" hidden="1">
      <c r="P17" s="1595"/>
      <c r="AD17" s="1644"/>
      <c r="AE17" s="1644"/>
      <c r="AF17" s="1644"/>
      <c r="AG17" s="1645"/>
      <c r="AH17" s="2551"/>
      <c r="AI17" s="2552" t="s">
        <v>64</v>
      </c>
      <c r="AJ17" s="2551"/>
      <c r="AK17" s="2552" t="s">
        <v>64</v>
      </c>
      <c r="AS17" s="1439">
        <v>0</v>
      </c>
    </row>
    <row customHeight="1" ht="14.25" hidden="1">
      <c r="P18" s="1595"/>
      <c r="AD18" s="1644"/>
      <c r="AE18" s="1644"/>
      <c r="AF18" s="1644"/>
      <c r="AG18" s="612" t="str">
        <f>AH17&amp;"-"&amp;AJ17</f>
        <v>-</v>
      </c>
      <c r="AH18" s="2552"/>
      <c r="AI18" s="2552"/>
      <c r="AJ18" s="2552"/>
      <c r="AK18" s="2552"/>
      <c r="AS18" s="1439">
        <v>0</v>
      </c>
    </row>
    <row customHeight="1" ht="14.25" hidden="1">
      <c r="P19" s="1595"/>
      <c r="AK19" s="611"/>
      <c r="AS19" s="1439">
        <v>0</v>
      </c>
    </row>
    <row s="30620" customFormat="1" customHeight="1" ht="22.5" hidden="1">
      <c r="L20" s="1613"/>
      <c r="M20" s="1646"/>
      <c r="N20" s="1646"/>
      <c r="O20" s="1651" t="s">
        <v>474</v>
      </c>
      <c r="P20" s="1646"/>
      <c r="Q20" s="1655"/>
      <c r="R20" s="1655"/>
      <c r="S20" s="1013"/>
      <c r="Z20" s="1651"/>
      <c r="AB20" s="1651"/>
      <c r="AC20" s="1650"/>
      <c r="AH20" s="1651"/>
      <c r="AJ20" s="1651"/>
      <c r="AK20" s="1650"/>
      <c r="AN20" s="795"/>
      <c r="AO20" s="795"/>
      <c r="AP20" s="795"/>
      <c r="AQ20" s="795"/>
      <c r="AR20" s="795"/>
      <c r="AS20" s="1444">
        <v>0</v>
      </c>
    </row>
    <row s="30620" customFormat="1" customHeight="1" ht="14.25" hidden="1">
      <c r="L21" s="1613"/>
      <c r="M21" s="1646"/>
      <c r="N21" s="1646"/>
      <c r="O21" s="1646"/>
      <c r="P21" s="1646"/>
      <c r="Q21" s="1655"/>
      <c r="R21" s="1655"/>
      <c r="S21" s="1013"/>
      <c r="AC21" s="1650"/>
      <c r="AK21" s="1650"/>
      <c r="AN21" s="795"/>
      <c r="AO21" s="795"/>
      <c r="AP21" s="795"/>
      <c r="AQ21" s="795"/>
      <c r="AR21" s="795"/>
      <c r="AS21" s="1444">
        <v>0</v>
      </c>
    </row>
    <row s="30620" customFormat="1" customHeight="1" ht="14.25" hidden="1">
      <c r="L22" s="1613"/>
      <c r="M22" s="1646"/>
      <c r="N22" s="1646"/>
      <c r="O22" s="1648" t="s">
        <v>475</v>
      </c>
      <c r="P22" s="1646"/>
      <c r="Q22" s="1655"/>
      <c r="R22" s="1655"/>
      <c r="S22" s="1013"/>
      <c r="T22" s="1444" t="s">
        <v>476</v>
      </c>
      <c r="AA22" s="470" t="s">
        <v>477</v>
      </c>
      <c r="AC22" s="470" t="s">
        <v>478</v>
      </c>
      <c r="AD22" s="1444" t="s">
        <v>476</v>
      </c>
      <c r="AI22" s="470" t="s">
        <v>479</v>
      </c>
      <c r="AK22" s="470" t="s">
        <v>478</v>
      </c>
      <c r="AN22" s="795"/>
      <c r="AO22" s="795"/>
      <c r="AP22" s="795"/>
      <c r="AQ22" s="795"/>
      <c r="AR22" s="795"/>
      <c r="AS22" s="1444">
        <v>0</v>
      </c>
    </row>
    <row customHeight="1" ht="14.25" hidden="1">
      <c r="O23" s="1648"/>
      <c r="P23" s="1595"/>
      <c r="AS23" s="1439">
        <v>0</v>
      </c>
    </row>
    <row customHeight="1" ht="14.25" hidden="1">
      <c r="O24" s="1648"/>
      <c r="P24" s="1595"/>
      <c r="AS24" s="1439">
        <v>0</v>
      </c>
    </row>
    <row customHeight="1" ht="14.699999999999998">
      <c r="Q25" s="660"/>
      <c r="R25" s="660"/>
      <c r="S25" s="1559"/>
      <c r="T25" s="647"/>
      <c r="U25" s="647"/>
      <c r="V25" s="793"/>
      <c r="W25" s="793"/>
      <c r="X25" s="793"/>
      <c r="Y25" s="793"/>
      <c r="Z25" s="793"/>
      <c r="AA25" s="793"/>
      <c r="AB25" s="793"/>
      <c r="AC25" s="793"/>
      <c r="AD25" s="793"/>
      <c r="AE25" s="793"/>
      <c r="AF25" s="793"/>
      <c r="AG25" s="793"/>
      <c r="AH25" s="793"/>
      <c r="AI25" s="793"/>
      <c r="AJ25" s="793"/>
      <c r="AK25" s="793"/>
      <c r="AS25" s="1439">
        <v>14</v>
      </c>
    </row>
    <row customHeight="1" ht="14.699999999999998">
      <c r="Q26" s="660"/>
      <c r="R26" s="660"/>
      <c r="S26" s="253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32"/>
      <c r="U26" s="2532"/>
      <c r="V26" s="2532"/>
      <c r="W26" s="2532"/>
      <c r="X26" s="2532"/>
      <c r="Y26" s="2532"/>
      <c r="Z26" s="2532"/>
      <c r="AA26" s="2532"/>
      <c r="AB26" s="2532"/>
      <c r="AC26" s="2532"/>
      <c r="AD26" s="2532"/>
      <c r="AE26" s="2532"/>
      <c r="AF26" s="2532"/>
      <c r="AG26" s="2532"/>
      <c r="AH26" s="2532"/>
      <c r="AI26" s="2532"/>
      <c r="AJ26" s="2532"/>
      <c r="AK26" s="1527"/>
      <c r="AS26" s="1439">
        <v>14</v>
      </c>
    </row>
    <row customHeight="1" ht="14.699999999999998">
      <c r="Q27" s="660"/>
      <c r="R27" s="660"/>
      <c r="S27" s="2533" t="str">
        <f>IF(org=0,"Не определено",org)</f>
        <v>АО "ДГК"</v>
      </c>
      <c r="T27" s="2533"/>
      <c r="U27" s="2533"/>
      <c r="V27" s="2533"/>
      <c r="W27" s="2533"/>
      <c r="X27" s="2533"/>
      <c r="Y27" s="2533"/>
      <c r="Z27" s="2533"/>
      <c r="AA27" s="2533"/>
      <c r="AB27" s="2533"/>
      <c r="AC27" s="2533"/>
      <c r="AD27" s="2533"/>
      <c r="AE27" s="2533"/>
      <c r="AF27" s="2533"/>
      <c r="AG27" s="2533"/>
      <c r="AH27" s="2533"/>
      <c r="AI27" s="2533"/>
      <c r="AJ27" s="2533"/>
      <c r="AK27" s="1527"/>
      <c r="AS27" s="1439">
        <v>14</v>
      </c>
    </row>
    <row customHeight="1" ht="14.25">
      <c r="Q28" s="660"/>
      <c r="R28" s="660"/>
      <c r="S28" s="1559"/>
      <c r="T28" s="647"/>
      <c r="U28" s="647"/>
      <c r="V28" s="606"/>
      <c r="W28" s="606"/>
      <c r="X28" s="606"/>
      <c r="Y28" s="606"/>
      <c r="Z28" s="606"/>
      <c r="AA28" s="606"/>
      <c r="AB28" s="606"/>
      <c r="AC28" s="606"/>
      <c r="AD28" s="606"/>
      <c r="AE28" s="606"/>
      <c r="AF28" s="606"/>
      <c r="AG28" s="606"/>
      <c r="AH28" s="606"/>
      <c r="AI28" s="606"/>
      <c r="AJ28" s="606"/>
      <c r="AK28" s="606"/>
      <c r="AL28" s="793"/>
      <c r="AS28" s="1439">
        <v>0</v>
      </c>
    </row>
    <row s="30764" customFormat="1" customHeight="1" ht="25.5">
      <c r="A29" s="1652"/>
      <c r="B29" s="1652"/>
      <c r="C29" s="1652"/>
      <c r="D29" s="1652"/>
      <c r="E29" s="1652"/>
      <c r="F29" s="1652"/>
      <c r="G29" s="1652"/>
      <c r="H29" s="1652"/>
      <c r="I29" s="1652"/>
      <c r="J29" s="1652"/>
      <c r="K29" s="1652"/>
      <c r="L29" s="1653"/>
      <c r="M29" s="1652"/>
      <c r="N29" s="1652"/>
      <c r="O29" s="1652"/>
      <c r="S29" s="2534" t="s">
        <v>42</v>
      </c>
      <c r="T29" s="2534"/>
      <c r="U29" s="1656"/>
      <c r="V29" s="2535" t="str">
        <f>IF(TITLE_NAME_OR_PR_CHANGE="",IF(TITLE_NAME_OR_PR="","",TITLE_NAME_OR_PR),TITLE_NAME_OR_PR_CHANGE)</f>
        <v>Комитет по ценам и тарифам Правительства Хабаровского края</v>
      </c>
      <c r="W29" s="2535"/>
      <c r="X29" s="2535"/>
      <c r="Y29" s="2535"/>
      <c r="Z29" s="2535"/>
      <c r="AA29" s="2535"/>
      <c r="AB29" s="2535"/>
      <c r="AC29" s="610"/>
      <c r="AD29" s="2535" t="str">
        <f>IF(TITLE_NAME_OR_PR_CHANGE="",IF(TITLE_NAME_OR_PR="","",TITLE_NAME_OR_PR),TITLE_NAME_OR_PR_CHANGE)</f>
        <v>Комитет по ценам и тарифам Правительства Хабаровского края</v>
      </c>
      <c r="AE29" s="2535"/>
      <c r="AF29" s="2535"/>
      <c r="AG29" s="2535"/>
      <c r="AH29" s="2535"/>
      <c r="AI29" s="2535"/>
      <c r="AJ29" s="2535"/>
      <c r="AK29" s="610"/>
      <c r="AL29" s="610"/>
      <c r="AM29" s="564"/>
      <c r="AN29" s="652"/>
      <c r="AO29" s="652"/>
      <c r="AP29" s="652"/>
      <c r="AQ29" s="652"/>
      <c r="AR29" s="652"/>
      <c r="AS29" s="702">
        <v>0</v>
      </c>
    </row>
    <row s="30764" customFormat="1" customHeight="1" ht="18.75">
      <c r="A30" s="1652"/>
      <c r="B30" s="1652"/>
      <c r="C30" s="1652"/>
      <c r="D30" s="1652"/>
      <c r="E30" s="1652"/>
      <c r="F30" s="1652"/>
      <c r="G30" s="1652"/>
      <c r="H30" s="1652"/>
      <c r="I30" s="1652"/>
      <c r="J30" s="1652"/>
      <c r="K30" s="1652"/>
      <c r="L30" s="1653"/>
      <c r="M30" s="1652"/>
      <c r="N30" s="1652"/>
      <c r="O30" s="1652"/>
      <c r="S30" s="2534" t="s">
        <v>480</v>
      </c>
      <c r="T30" s="2534"/>
      <c r="U30" s="1656"/>
      <c r="V30" s="2548" t="str">
        <f>IF(TITLE_DATE_PR_CHANGE="",IF(TITLE_DATE_PR="","",TITLE_DATE_PR),TITLE_DATE_PR_CHANGE)</f>
        <v>45645</v>
      </c>
      <c r="W30" s="2548"/>
      <c r="X30" s="2548"/>
      <c r="Y30" s="2548"/>
      <c r="Z30" s="2548"/>
      <c r="AA30" s="2548"/>
      <c r="AB30" s="2548"/>
      <c r="AC30" s="610"/>
      <c r="AD30" s="2548" t="str">
        <f>IF(TITLE_DATE_PR_CHANGE="",IF(TITLE_DATE_PR="","",TITLE_DATE_PR),TITLE_DATE_PR_CHANGE)</f>
        <v>45645</v>
      </c>
      <c r="AE30" s="2548"/>
      <c r="AF30" s="2548"/>
      <c r="AG30" s="2548"/>
      <c r="AH30" s="2548"/>
      <c r="AI30" s="2548"/>
      <c r="AJ30" s="2548"/>
      <c r="AK30" s="610"/>
      <c r="AL30" s="610"/>
      <c r="AM30" s="564"/>
      <c r="AN30" s="652"/>
      <c r="AO30" s="652"/>
      <c r="AP30" s="652"/>
      <c r="AQ30" s="652"/>
      <c r="AR30" s="652"/>
      <c r="AS30" s="702">
        <v>0</v>
      </c>
    </row>
    <row s="30764" customFormat="1" customHeight="1" ht="18.75">
      <c r="A31" s="1652"/>
      <c r="B31" s="1652"/>
      <c r="C31" s="1652"/>
      <c r="D31" s="1652"/>
      <c r="E31" s="1652"/>
      <c r="F31" s="1652"/>
      <c r="G31" s="1652"/>
      <c r="H31" s="1652"/>
      <c r="I31" s="1652"/>
      <c r="J31" s="1652"/>
      <c r="K31" s="1652"/>
      <c r="L31" s="1653"/>
      <c r="M31" s="1652"/>
      <c r="N31" s="1652"/>
      <c r="O31" s="1652"/>
      <c r="S31" s="2534" t="s">
        <v>481</v>
      </c>
      <c r="T31" s="2534"/>
      <c r="U31" s="1656"/>
      <c r="V31" s="2535" t="str">
        <f>IF(TITLE_NUMBER_PR_CHANGE="",IF(TITLE_NUMBER_PR="","",TITLE_NUMBER_PR),TITLE_NUMBER_PR_CHANGE)</f>
        <v>№ 40/8</v>
      </c>
      <c r="W31" s="2535"/>
      <c r="X31" s="2535"/>
      <c r="Y31" s="2535"/>
      <c r="Z31" s="2535"/>
      <c r="AA31" s="2535"/>
      <c r="AB31" s="2535"/>
      <c r="AC31" s="610"/>
      <c r="AD31" s="2535" t="str">
        <f>IF(TITLE_NUMBER_PR_CHANGE="",IF(TITLE_NUMBER_PR="","",TITLE_NUMBER_PR),TITLE_NUMBER_PR_CHANGE)</f>
        <v>№ 40/8</v>
      </c>
      <c r="AE31" s="2535"/>
      <c r="AF31" s="2535"/>
      <c r="AG31" s="2535"/>
      <c r="AH31" s="2535"/>
      <c r="AI31" s="2535"/>
      <c r="AJ31" s="2535"/>
      <c r="AK31" s="610"/>
      <c r="AL31" s="610"/>
      <c r="AM31" s="564"/>
      <c r="AN31" s="652"/>
      <c r="AO31" s="652"/>
      <c r="AP31" s="652"/>
      <c r="AQ31" s="652"/>
      <c r="AR31" s="652"/>
      <c r="AS31" s="702">
        <v>0</v>
      </c>
    </row>
    <row s="30764" customFormat="1" customHeight="1" ht="18.75">
      <c r="A32" s="1652"/>
      <c r="B32" s="1652"/>
      <c r="C32" s="1652"/>
      <c r="D32" s="1652"/>
      <c r="E32" s="1652"/>
      <c r="F32" s="1652"/>
      <c r="G32" s="1652"/>
      <c r="H32" s="1652"/>
      <c r="I32" s="1652"/>
      <c r="J32" s="1652"/>
      <c r="K32" s="1652"/>
      <c r="L32" s="1653"/>
      <c r="M32" s="1652"/>
      <c r="N32" s="1652"/>
      <c r="O32" s="1652"/>
      <c r="S32" s="2534" t="s">
        <v>44</v>
      </c>
      <c r="T32" s="2534"/>
      <c r="U32" s="1656"/>
      <c r="V32" s="2535" t="str">
        <f>IF(TITLE_IST_PUB_CHANGE="",IF(TITLE_IST_PUB="","",TITLE_IST_PUB),TITLE_IST_PUB_CHANGE)</f>
        <v>Официальный интернет - портал нормативных правовых актов Хабаровского края https://laws.khv.gov.ru/</v>
      </c>
      <c r="W32" s="2535"/>
      <c r="X32" s="2535"/>
      <c r="Y32" s="2535"/>
      <c r="Z32" s="2535"/>
      <c r="AA32" s="2535"/>
      <c r="AB32" s="2535"/>
      <c r="AC32" s="610"/>
      <c r="AD32" s="2535" t="str">
        <f>IF(TITLE_IST_PUB_CHANGE="",IF(TITLE_IST_PUB="","",TITLE_IST_PUB),TITLE_IST_PUB_CHANGE)</f>
        <v>Официальный интернет - портал нормативных правовых актов Хабаровского края https://laws.khv.gov.ru/</v>
      </c>
      <c r="AE32" s="2535"/>
      <c r="AF32" s="2535"/>
      <c r="AG32" s="2535"/>
      <c r="AH32" s="2535"/>
      <c r="AI32" s="2535"/>
      <c r="AJ32" s="2535"/>
      <c r="AK32" s="610"/>
      <c r="AL32" s="610"/>
      <c r="AM32" s="564"/>
      <c r="AN32" s="652"/>
      <c r="AO32" s="652"/>
      <c r="AP32" s="652"/>
      <c r="AQ32" s="652"/>
      <c r="AR32" s="652"/>
      <c r="AS32" s="702">
        <v>0</v>
      </c>
    </row>
    <row customHeight="1" ht="14.25" hidden="1">
      <c r="P33" s="1612"/>
      <c r="Q33" s="660"/>
      <c r="R33" s="660"/>
      <c r="S33" s="1559"/>
      <c r="T33" s="647"/>
      <c r="U33" s="647"/>
      <c r="V33" s="606"/>
      <c r="W33" s="606"/>
      <c r="X33" s="606"/>
      <c r="Y33" s="606"/>
      <c r="Z33" s="606"/>
      <c r="AA33" s="606"/>
      <c r="AB33" s="606"/>
      <c r="AC33" s="606"/>
      <c r="AD33" s="606"/>
      <c r="AE33" s="606"/>
      <c r="AF33" s="606"/>
      <c r="AG33" s="606"/>
      <c r="AH33" s="606"/>
      <c r="AI33" s="606"/>
      <c r="AJ33" s="606"/>
      <c r="AK33" s="606"/>
      <c r="AL33" s="793"/>
      <c r="AS33" s="1439">
        <v>0</v>
      </c>
    </row>
    <row s="30764" customFormat="1" customHeight="1" ht="18.75" hidden="1">
      <c r="A34" s="1652"/>
      <c r="B34" s="1652"/>
      <c r="C34" s="1652"/>
      <c r="D34" s="1652"/>
      <c r="E34" s="1652"/>
      <c r="F34" s="1652"/>
      <c r="G34" s="1652"/>
      <c r="H34" s="1652"/>
      <c r="I34" s="1652"/>
      <c r="J34" s="1652"/>
      <c r="K34" s="1652"/>
      <c r="L34" s="1653"/>
      <c r="M34" s="1652"/>
      <c r="N34" s="1652"/>
      <c r="O34" s="1652"/>
      <c r="S34" s="2534" t="s">
        <v>482</v>
      </c>
      <c r="T34" s="2534"/>
      <c r="U34" s="1656"/>
      <c r="V34" s="2548" t="str">
        <f>IF(TITLE_DATE_PR_CHANGE="",IF(TITLE_DATE_PR="","",TITLE_DATE_PR),TITLE_DATE_PR_CHANGE)</f>
        <v>45645</v>
      </c>
      <c r="W34" s="2548"/>
      <c r="X34" s="2548"/>
      <c r="Y34" s="2548"/>
      <c r="Z34" s="2548"/>
      <c r="AA34" s="2548"/>
      <c r="AB34" s="2548"/>
      <c r="AC34" s="610"/>
      <c r="AD34" s="2548" t="str">
        <f>IF(TITLE_DATE_PR_CHANGE="",IF(TITLE_DATE_PR="","",TITLE_DATE_PR),TITLE_DATE_PR_CHANGE)</f>
        <v>45645</v>
      </c>
      <c r="AE34" s="2548"/>
      <c r="AF34" s="2548"/>
      <c r="AG34" s="2548"/>
      <c r="AH34" s="2548"/>
      <c r="AI34" s="2548"/>
      <c r="AJ34" s="2548"/>
      <c r="AK34" s="610"/>
      <c r="AL34" s="610"/>
      <c r="AM34" s="564"/>
      <c r="AN34" s="652"/>
      <c r="AO34" s="652"/>
      <c r="AP34" s="652"/>
      <c r="AQ34" s="652"/>
      <c r="AR34" s="652"/>
      <c r="AS34" s="702">
        <v>0</v>
      </c>
    </row>
    <row s="30764" customFormat="1" customHeight="1" ht="18.75" hidden="1">
      <c r="A35" s="1652"/>
      <c r="B35" s="1652"/>
      <c r="C35" s="1652"/>
      <c r="D35" s="1652"/>
      <c r="E35" s="1652"/>
      <c r="F35" s="1652"/>
      <c r="G35" s="1652"/>
      <c r="H35" s="1652"/>
      <c r="I35" s="1652"/>
      <c r="J35" s="1652"/>
      <c r="K35" s="1652"/>
      <c r="L35" s="1653"/>
      <c r="M35" s="1652"/>
      <c r="N35" s="1652"/>
      <c r="O35" s="1652"/>
      <c r="S35" s="2534" t="s">
        <v>483</v>
      </c>
      <c r="T35" s="2534"/>
      <c r="U35" s="1656"/>
      <c r="V35" s="2535" t="str">
        <f>IF(TITLE_NUMBER_PR_CHANGE="",IF(TITLE_NUMBER_PR="","",TITLE_NUMBER_PR),TITLE_NUMBER_PR_CHANGE)</f>
        <v>№ 40/8</v>
      </c>
      <c r="W35" s="2535"/>
      <c r="X35" s="2535"/>
      <c r="Y35" s="2535"/>
      <c r="Z35" s="2535"/>
      <c r="AA35" s="2535"/>
      <c r="AB35" s="2535"/>
      <c r="AC35" s="610"/>
      <c r="AD35" s="2535" t="str">
        <f>IF(TITLE_NUMBER_PR_CHANGE="",IF(TITLE_NUMBER_PR="","",TITLE_NUMBER_PR),TITLE_NUMBER_PR_CHANGE)</f>
        <v>№ 40/8</v>
      </c>
      <c r="AE35" s="2535"/>
      <c r="AF35" s="2535"/>
      <c r="AG35" s="2535"/>
      <c r="AH35" s="2535"/>
      <c r="AI35" s="2535"/>
      <c r="AJ35" s="2535"/>
      <c r="AK35" s="610"/>
      <c r="AL35" s="610"/>
      <c r="AM35" s="564"/>
      <c r="AN35" s="652"/>
      <c r="AO35" s="652"/>
      <c r="AP35" s="652"/>
      <c r="AQ35" s="652"/>
      <c r="AR35" s="652"/>
      <c r="AS35" s="702">
        <v>0</v>
      </c>
    </row>
    <row s="30764" customFormat="1" customHeight="1" ht="0">
      <c r="A36" s="1652"/>
      <c r="B36" s="1652"/>
      <c r="C36" s="1652"/>
      <c r="D36" s="1652"/>
      <c r="E36" s="1652"/>
      <c r="F36" s="1652"/>
      <c r="G36" s="1652"/>
      <c r="H36" s="1652"/>
      <c r="I36" s="1652"/>
      <c r="J36" s="1652"/>
      <c r="K36" s="1652"/>
      <c r="L36" s="1653"/>
      <c r="M36" s="1652"/>
      <c r="N36" s="1652"/>
      <c r="O36" s="1652"/>
      <c r="S36" s="607"/>
      <c r="T36" s="607"/>
      <c r="U36" s="1503"/>
      <c r="V36" s="610"/>
      <c r="W36" s="610"/>
      <c r="X36" s="610"/>
      <c r="Y36" s="610"/>
      <c r="Z36" s="610"/>
      <c r="AA36" s="610"/>
      <c r="AB36" s="610"/>
      <c r="AC36" s="562" t="s">
        <v>484</v>
      </c>
      <c r="AD36" s="610"/>
      <c r="AE36" s="610"/>
      <c r="AF36" s="610"/>
      <c r="AG36" s="610"/>
      <c r="AH36" s="610"/>
      <c r="AI36" s="610"/>
      <c r="AJ36" s="610"/>
      <c r="AK36" s="562" t="s">
        <v>484</v>
      </c>
      <c r="AN36" s="652"/>
      <c r="AO36" s="652"/>
      <c r="AP36" s="652"/>
      <c r="AQ36" s="652"/>
      <c r="AR36" s="652"/>
      <c r="AS36" s="702">
        <v>0</v>
      </c>
    </row>
    <row customHeight="1" ht="14.699999999999998">
      <c r="Q37" s="660"/>
      <c r="R37" s="660"/>
      <c r="S37" s="1559"/>
      <c r="T37" s="647"/>
      <c r="U37" s="1528"/>
      <c r="V37" s="2536"/>
      <c r="W37" s="2536"/>
      <c r="X37" s="2536"/>
      <c r="Y37" s="2536"/>
      <c r="Z37" s="2536"/>
      <c r="AA37" s="2536"/>
      <c r="AB37" s="2536"/>
      <c r="AC37" s="2536"/>
      <c r="AD37" s="2536"/>
      <c r="AE37" s="2536"/>
      <c r="AF37" s="2536"/>
      <c r="AG37" s="2536"/>
      <c r="AH37" s="2536"/>
      <c r="AI37" s="2536"/>
      <c r="AJ37" s="2536"/>
      <c r="AK37" s="2536"/>
      <c r="AS37" s="1439">
        <v>14</v>
      </c>
    </row>
    <row customHeight="1" ht="14.699999999999998">
      <c r="Q38" s="660"/>
      <c r="R38" s="660"/>
      <c r="S38" s="2411" t="s">
        <v>360</v>
      </c>
      <c r="T38" s="2411"/>
      <c r="U38" s="2411"/>
      <c r="V38" s="2411"/>
      <c r="W38" s="2411"/>
      <c r="X38" s="2411"/>
      <c r="Y38" s="2411"/>
      <c r="Z38" s="2411"/>
      <c r="AA38" s="2411"/>
      <c r="AB38" s="2411"/>
      <c r="AC38" s="2411"/>
      <c r="AD38" s="2411"/>
      <c r="AE38" s="2411"/>
      <c r="AF38" s="2411"/>
      <c r="AG38" s="2411"/>
      <c r="AH38" s="2411"/>
      <c r="AI38" s="2411"/>
      <c r="AJ38" s="2411"/>
      <c r="AK38" s="2411"/>
      <c r="AL38" s="2411"/>
      <c r="AM38" s="2411" t="s">
        <v>361</v>
      </c>
      <c r="AS38" s="1439">
        <v>14</v>
      </c>
    </row>
    <row customHeight="1" ht="14.699999999999998">
      <c r="Q39" s="660"/>
      <c r="R39" s="660"/>
      <c r="S39" s="2557" t="s">
        <v>91</v>
      </c>
      <c r="T39" s="2493" t="s">
        <v>485</v>
      </c>
      <c r="U39" s="585"/>
      <c r="V39" s="2558" t="s">
        <v>486</v>
      </c>
      <c r="W39" s="2559"/>
      <c r="X39" s="2559"/>
      <c r="Y39" s="2559"/>
      <c r="Z39" s="2559"/>
      <c r="AA39" s="2559"/>
      <c r="AB39" s="2560"/>
      <c r="AC39" s="2561" t="s">
        <v>487</v>
      </c>
      <c r="AD39" s="2558" t="s">
        <v>486</v>
      </c>
      <c r="AE39" s="2559"/>
      <c r="AF39" s="2559"/>
      <c r="AG39" s="2559"/>
      <c r="AH39" s="2559"/>
      <c r="AI39" s="2559"/>
      <c r="AJ39" s="2560"/>
      <c r="AK39" s="2561" t="s">
        <v>488</v>
      </c>
      <c r="AL39" s="2564" t="s">
        <v>489</v>
      </c>
      <c r="AM39" s="2411"/>
      <c r="AS39" s="1439">
        <v>14</v>
      </c>
    </row>
    <row customHeight="1" ht="35.699999999999996">
      <c r="Q40" s="660"/>
      <c r="R40" s="660"/>
      <c r="S40" s="2557"/>
      <c r="T40" s="2493"/>
      <c r="U40" s="1315"/>
      <c r="V40" s="2544" t="s">
        <v>490</v>
      </c>
      <c r="W40" s="2894" t="s">
        <v>491</v>
      </c>
      <c r="X40" s="2546" t="s">
        <v>492</v>
      </c>
      <c r="Y40" s="2547"/>
      <c r="Z40" s="2546" t="s">
        <v>493</v>
      </c>
      <c r="AA40" s="2553"/>
      <c r="AB40" s="2547"/>
      <c r="AC40" s="2562"/>
      <c r="AD40" s="2544" t="s">
        <v>490</v>
      </c>
      <c r="AE40" s="2567" t="s">
        <v>491</v>
      </c>
      <c r="AF40" s="2546" t="s">
        <v>492</v>
      </c>
      <c r="AG40" s="2547"/>
      <c r="AH40" s="2546" t="s">
        <v>493</v>
      </c>
      <c r="AI40" s="2553"/>
      <c r="AJ40" s="2547"/>
      <c r="AK40" s="2562"/>
      <c r="AL40" s="2565"/>
      <c r="AM40" s="2411"/>
      <c r="AS40" s="1439">
        <v>34</v>
      </c>
    </row>
    <row customHeight="1" ht="35.699999999999996">
      <c r="A41" s="1654"/>
      <c r="B41" s="1654" t="s">
        <v>165</v>
      </c>
      <c r="C41" s="1654" t="s">
        <v>166</v>
      </c>
      <c r="D41" s="1654" t="s">
        <v>167</v>
      </c>
      <c r="E41" s="1648" t="s">
        <v>494</v>
      </c>
      <c r="F41" s="1648" t="s">
        <v>495</v>
      </c>
      <c r="G41" s="1648" t="s">
        <v>496</v>
      </c>
      <c r="H41" s="1648" t="s">
        <v>497</v>
      </c>
      <c r="I41" s="1648" t="s">
        <v>498</v>
      </c>
      <c r="J41" s="1648" t="s">
        <v>499</v>
      </c>
      <c r="K41" s="1648" t="s">
        <v>500</v>
      </c>
      <c r="L41" s="1648" t="s">
        <v>475</v>
      </c>
      <c r="Q41" s="660"/>
      <c r="R41" s="660"/>
      <c r="S41" s="2557"/>
      <c r="T41" s="2493"/>
      <c r="U41" s="586"/>
      <c r="V41" s="2545"/>
      <c r="W41" s="2568"/>
      <c r="X41" s="1506" t="s">
        <v>501</v>
      </c>
      <c r="Y41" s="1506" t="s">
        <v>502</v>
      </c>
      <c r="Z41" s="1505" t="s">
        <v>503</v>
      </c>
      <c r="AA41" s="2554" t="s">
        <v>504</v>
      </c>
      <c r="AB41" s="2555"/>
      <c r="AC41" s="2563"/>
      <c r="AD41" s="2545"/>
      <c r="AE41" s="2568"/>
      <c r="AF41" s="1506" t="s">
        <v>501</v>
      </c>
      <c r="AG41" s="1506" t="s">
        <v>502</v>
      </c>
      <c r="AH41" s="1597" t="s">
        <v>503</v>
      </c>
      <c r="AI41" s="2554" t="s">
        <v>504</v>
      </c>
      <c r="AJ41" s="2555"/>
      <c r="AK41" s="2563"/>
      <c r="AL41" s="2566"/>
      <c r="AM41" s="2411"/>
      <c r="AS41" s="1439">
        <v>34</v>
      </c>
    </row>
    <row s="31261" customFormat="1" customHeight="1" ht="11.25" hidden="1">
      <c r="A42" s="1654"/>
      <c r="B42" s="1654"/>
      <c r="C42" s="1654"/>
      <c r="D42" s="1654"/>
      <c r="E42" s="1654"/>
      <c r="F42" s="1654"/>
      <c r="G42" s="1654"/>
      <c r="H42" s="1654"/>
      <c r="I42" s="1654"/>
      <c r="J42" s="1654"/>
      <c r="K42" s="1654"/>
      <c r="L42" s="1648"/>
      <c r="M42" s="1646"/>
      <c r="N42" s="1646"/>
      <c r="O42" s="1646"/>
      <c r="P42" s="1530"/>
      <c r="Q42" s="1531"/>
      <c r="R42" s="1538">
        <v>1</v>
      </c>
      <c r="S42" s="1561" t="s">
        <v>141</v>
      </c>
      <c r="T42" s="1539" t="s">
        <v>105</v>
      </c>
      <c r="U42" s="1529" t="str">
        <f>OFFSET(U42,0,-1)</f>
        <v>2</v>
      </c>
      <c r="V42" s="1540">
        <f>OFFSET(V42,0,-1)+1</f>
        <v>3</v>
      </c>
      <c r="W42" s="1540"/>
      <c r="X42" s="1540">
        <f>OFFSET(X42,0,-1)+1</f>
        <v>1</v>
      </c>
      <c r="Y42" s="1540">
        <f>OFFSET(Y42,0,-1)+1</f>
        <v>2</v>
      </c>
      <c r="Z42" s="1540">
        <f>OFFSET(Z42,0,-1)+1</f>
        <v>3</v>
      </c>
      <c r="AA42" s="2556">
        <f>OFFSET(AA42,0,-1)+1</f>
        <v>4</v>
      </c>
      <c r="AB42" s="2556"/>
      <c r="AC42" s="1540">
        <f>OFFSET(AC42,0,-2)+1</f>
        <v>5</v>
      </c>
      <c r="AD42" s="1596">
        <f>OFFSET(AD42,0,-1)+1</f>
        <v>6</v>
      </c>
      <c r="AE42" s="1596"/>
      <c r="AF42" s="1596">
        <f>OFFSET(AF42,0,-1)+1</f>
        <v>1</v>
      </c>
      <c r="AG42" s="1596">
        <f>OFFSET(AG42,0,-1)+1</f>
        <v>2</v>
      </c>
      <c r="AH42" s="1596">
        <f>OFFSET(AH42,0,-1)+1</f>
        <v>3</v>
      </c>
      <c r="AI42" s="2556">
        <f>OFFSET(AI42,0,-1)+1</f>
        <v>4</v>
      </c>
      <c r="AJ42" s="2556"/>
      <c r="AK42" s="1596">
        <f>OFFSET(AK42,0,-2)+1</f>
        <v>5</v>
      </c>
      <c r="AL42" s="1529">
        <f>OFFSET(AL42,0,-1)</f>
        <v>5</v>
      </c>
      <c r="AM42" s="1540">
        <f>OFFSET(AM42,0,-1)+1</f>
        <v>6</v>
      </c>
      <c r="AN42" s="795"/>
      <c r="AO42" s="795"/>
      <c r="AP42" s="795"/>
      <c r="AQ42" s="795"/>
      <c r="AR42" s="795"/>
      <c r="AS42" s="780">
        <v>0</v>
      </c>
    </row>
    <row customHeight="1" ht="24">
      <c r="A43" s="1647" t="s">
        <v>186</v>
      </c>
      <c r="B43" s="1647"/>
      <c r="C43" s="1647"/>
      <c r="D43" s="1647"/>
      <c r="E43" s="2542">
        <v>1</v>
      </c>
      <c r="F43" s="1647"/>
      <c r="G43" s="1647"/>
      <c r="H43" s="1647"/>
      <c r="I43" s="1647"/>
      <c r="J43" s="1647"/>
      <c r="K43" s="1647"/>
      <c r="L43" s="1648"/>
      <c r="M43" s="1649"/>
      <c r="N43" s="1649"/>
      <c r="O43" s="1649"/>
      <c r="P43" s="645"/>
      <c r="Q43" s="644"/>
      <c r="R43" s="639"/>
      <c r="S43" s="1508">
        <f>INDEX(PT_DIFFERENTIATION_NUM_NTAR,MATCH(A43,PT_DIFFERENTIATION_NTAR_ID,0))</f>
        <v>0</v>
      </c>
      <c r="T43" s="582" t="s">
        <v>153</v>
      </c>
      <c r="U43" s="584"/>
      <c r="V43" s="2526"/>
      <c r="W43" s="2527"/>
      <c r="X43" s="2527"/>
      <c r="Y43" s="2527"/>
      <c r="Z43" s="2527"/>
      <c r="AA43" s="2527"/>
      <c r="AB43" s="2527"/>
      <c r="AC43" s="2528"/>
      <c r="AD43" s="2526" t="str">
        <f>INDEX(PT_DIFFERENTIATION_NTAR,MATCH(A43,PT_DIFFERENTIATION_NTAR_ID,0))</f>
        <v/>
      </c>
      <c r="AE43" s="2527"/>
      <c r="AF43" s="2527"/>
      <c r="AG43" s="2527"/>
      <c r="AH43" s="2527"/>
      <c r="AI43" s="2527"/>
      <c r="AJ43" s="2527"/>
      <c r="AK43" s="2527"/>
      <c r="AL43" s="2528"/>
      <c r="AM43" s="154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784"/>
      <c r="AP43" s="784" t="str">
        <f>IF(T43="","",T43)</f>
        <v>Наименование тарифа</v>
      </c>
      <c r="AQ43" s="784"/>
      <c r="AR43" s="784"/>
      <c r="AS43" s="1439">
        <v>23</v>
      </c>
    </row>
    <row customHeight="1" ht="24">
      <c r="A44" s="1647" t="s">
        <v>186</v>
      </c>
      <c r="B44" s="1647" t="s">
        <v>187</v>
      </c>
      <c r="C44" s="1647"/>
      <c r="D44" s="1647"/>
      <c r="E44" s="2543"/>
      <c r="F44" s="2542">
        <v>1</v>
      </c>
      <c r="G44" s="1647"/>
      <c r="H44" s="1647"/>
      <c r="I44" s="1647"/>
      <c r="J44" s="1647"/>
      <c r="K44" s="1647"/>
      <c r="L44" s="1648"/>
      <c r="M44" s="1649"/>
      <c r="N44" s="1649"/>
      <c r="O44" s="1649"/>
      <c r="P44" s="806"/>
      <c r="Q44" s="636"/>
      <c r="R44" s="637"/>
      <c r="S44" s="1508" t="str">
        <f>INDEX(PT_DIFFERENTIATION_NUM_TER,MATCH(B44,PT_DIFFERENTIATION_TER_ID,0))</f>
        <v>.</v>
      </c>
      <c r="T44" s="592" t="s">
        <v>457</v>
      </c>
      <c r="U44" s="584"/>
      <c r="V44" s="2526"/>
      <c r="W44" s="2527"/>
      <c r="X44" s="2527"/>
      <c r="Y44" s="2527"/>
      <c r="Z44" s="2527"/>
      <c r="AA44" s="2527"/>
      <c r="AB44" s="2527"/>
      <c r="AC44" s="2528"/>
      <c r="AD44" s="2526" t="str">
        <f>INDEX(PT_DIFFERENTIATION_TER,MATCH(B44,PT_DIFFERENTIATION_TER_ID,0))</f>
        <v/>
      </c>
      <c r="AE44" s="2527"/>
      <c r="AF44" s="2527"/>
      <c r="AG44" s="2527"/>
      <c r="AH44" s="2527"/>
      <c r="AI44" s="2527"/>
      <c r="AJ44" s="2527"/>
      <c r="AK44" s="2527"/>
      <c r="AL44" s="2528"/>
      <c r="AM44" s="1542" t="s">
        <v>458</v>
      </c>
      <c r="AO44" s="784"/>
      <c r="AP44" s="784" t="str">
        <f>IF(T44="","",T44)</f>
        <v>Территория действия тарифа</v>
      </c>
      <c r="AQ44" s="784"/>
      <c r="AR44" s="784"/>
      <c r="AS44" s="1439">
        <v>23</v>
      </c>
    </row>
    <row customHeight="1" ht="24">
      <c r="A45" s="1647" t="s">
        <v>186</v>
      </c>
      <c r="B45" s="1647" t="s">
        <v>187</v>
      </c>
      <c r="C45" s="1647" t="s">
        <v>188</v>
      </c>
      <c r="D45" s="1647"/>
      <c r="E45" s="2543"/>
      <c r="F45" s="2543"/>
      <c r="G45" s="2542">
        <v>1</v>
      </c>
      <c r="H45" s="1647"/>
      <c r="I45" s="1647"/>
      <c r="J45" s="1647"/>
      <c r="K45" s="1647"/>
      <c r="L45" s="1648"/>
      <c r="M45" s="1649"/>
      <c r="N45" s="1649"/>
      <c r="O45" s="1649"/>
      <c r="P45" s="638"/>
      <c r="Q45" s="636"/>
      <c r="R45" s="637"/>
      <c r="S45" s="1508" t="str">
        <f>INDEX(PT_DIFFERENTIATION_NUM_CS,MATCH(C45,PT_DIFFERENTIATION_CS_ID,0))</f>
        <v>..</v>
      </c>
      <c r="T45" s="593" t="s">
        <v>459</v>
      </c>
      <c r="U45" s="584"/>
      <c r="V45" s="2526"/>
      <c r="W45" s="2527"/>
      <c r="X45" s="2527"/>
      <c r="Y45" s="2527"/>
      <c r="Z45" s="2527"/>
      <c r="AA45" s="2527"/>
      <c r="AB45" s="2527"/>
      <c r="AC45" s="2528"/>
      <c r="AD45" s="2526" t="str">
        <f>INDEX(PT_DIFFERENTIATION_CS,MATCH(C45,PT_DIFFERENTIATION_CS_ID,0))</f>
        <v/>
      </c>
      <c r="AE45" s="2527"/>
      <c r="AF45" s="2527"/>
      <c r="AG45" s="2527"/>
      <c r="AH45" s="2527"/>
      <c r="AI45" s="2527"/>
      <c r="AJ45" s="2527"/>
      <c r="AK45" s="2527"/>
      <c r="AL45" s="2528"/>
      <c r="AM45" s="1542" t="s">
        <v>460</v>
      </c>
      <c r="AO45" s="784"/>
      <c r="AP45" s="784" t="str">
        <f>IF(T45="","",T45)</f>
        <v>Наименование системы теплоснабжения </v>
      </c>
      <c r="AQ45" s="784"/>
      <c r="AR45" s="784"/>
      <c r="AS45" s="1439">
        <v>23</v>
      </c>
    </row>
    <row customHeight="1" ht="24">
      <c r="A46" s="1647" t="s">
        <v>186</v>
      </c>
      <c r="B46" s="1647" t="s">
        <v>187</v>
      </c>
      <c r="C46" s="1647" t="s">
        <v>188</v>
      </c>
      <c r="D46" s="1647" t="s">
        <v>189</v>
      </c>
      <c r="E46" s="2543"/>
      <c r="F46" s="2543"/>
      <c r="G46" s="2543"/>
      <c r="H46" s="2542">
        <v>1</v>
      </c>
      <c r="I46" s="1647"/>
      <c r="J46" s="1647"/>
      <c r="K46" s="1647"/>
      <c r="L46" s="1648"/>
      <c r="M46" s="1649"/>
      <c r="N46" s="1649"/>
      <c r="O46" s="1649"/>
      <c r="P46" s="638"/>
      <c r="Q46" s="636"/>
      <c r="R46" s="637"/>
      <c r="S46" s="1508" t="str">
        <f>INDEX(PT_DIFFERENTIATION_NUM_IST_TE,MATCH(D46,PT_DIFFERENTIATION_IST_TE_ID,0))</f>
        <v>...</v>
      </c>
      <c r="T46" s="594" t="s">
        <v>461</v>
      </c>
      <c r="U46" s="584"/>
      <c r="V46" s="2526"/>
      <c r="W46" s="2527"/>
      <c r="X46" s="2527"/>
      <c r="Y46" s="2527"/>
      <c r="Z46" s="2527"/>
      <c r="AA46" s="2527"/>
      <c r="AB46" s="2527"/>
      <c r="AC46" s="2528"/>
      <c r="AD46" s="2526" t="str">
        <f>INDEX(PT_DIFFERENTIATION_IST_TE,MATCH(D46,PT_DIFFERENTIATION_IST_TE_ID,0))</f>
        <v/>
      </c>
      <c r="AE46" s="2527"/>
      <c r="AF46" s="2527"/>
      <c r="AG46" s="2527"/>
      <c r="AH46" s="2527"/>
      <c r="AI46" s="2527"/>
      <c r="AJ46" s="2527"/>
      <c r="AK46" s="2527"/>
      <c r="AL46" s="2528"/>
      <c r="AM46" s="1542" t="s">
        <v>462</v>
      </c>
      <c r="AO46" s="784"/>
      <c r="AP46" s="784" t="str">
        <f>IF(T46="","",T46)</f>
        <v>Источник тепловой энергии  </v>
      </c>
      <c r="AQ46" s="784"/>
      <c r="AR46" s="784"/>
      <c r="AS46" s="1439">
        <v>23</v>
      </c>
    </row>
    <row customHeight="1" ht="49.5">
      <c r="A47" s="1647" t="s">
        <v>186</v>
      </c>
      <c r="B47" s="1647" t="s">
        <v>187</v>
      </c>
      <c r="C47" s="1647" t="s">
        <v>188</v>
      </c>
      <c r="D47" s="1647" t="s">
        <v>189</v>
      </c>
      <c r="E47" s="2543"/>
      <c r="F47" s="2543"/>
      <c r="G47" s="2543"/>
      <c r="H47" s="2543"/>
      <c r="I47" s="2540" t="str">
        <f>S46&amp;".1"</f>
        <v>....1</v>
      </c>
      <c r="J47" s="1647"/>
      <c r="K47" s="1647"/>
      <c r="L47" s="1648" t="s">
        <v>463</v>
      </c>
      <c r="P47" s="2541">
        <v>1</v>
      </c>
      <c r="Q47" s="1504"/>
      <c r="R47" s="640"/>
      <c r="S47" s="1508" t="str">
        <f>$I47</f>
        <v>....1</v>
      </c>
      <c r="T47" s="569" t="s">
        <v>464</v>
      </c>
      <c r="U47" s="584"/>
      <c r="V47" s="2529"/>
      <c r="W47" s="2530"/>
      <c r="X47" s="2530"/>
      <c r="Y47" s="2530"/>
      <c r="Z47" s="2530"/>
      <c r="AA47" s="2530"/>
      <c r="AB47" s="2530"/>
      <c r="AC47" s="2531"/>
      <c r="AD47" s="2529"/>
      <c r="AE47" s="2530"/>
      <c r="AF47" s="2530"/>
      <c r="AG47" s="2530"/>
      <c r="AH47" s="2530"/>
      <c r="AI47" s="2530"/>
      <c r="AJ47" s="2530"/>
      <c r="AK47" s="2530"/>
      <c r="AL47" s="2531"/>
      <c r="AM47" s="1542" t="s">
        <v>465</v>
      </c>
      <c r="AO47" s="784"/>
      <c r="AP47" s="784" t="str">
        <f>IF(T47="","",T47)</f>
        <v>Схема подключения теплопотребляющей установки к коллектору источника тепловой энергии</v>
      </c>
      <c r="AQ47" s="784"/>
      <c r="AR47" s="784"/>
      <c r="AS47" s="1439">
        <v>47</v>
      </c>
    </row>
    <row customHeight="1" ht="24">
      <c r="A48" s="1647" t="s">
        <v>186</v>
      </c>
      <c r="B48" s="1647" t="s">
        <v>187</v>
      </c>
      <c r="C48" s="1647" t="s">
        <v>188</v>
      </c>
      <c r="D48" s="1647" t="s">
        <v>189</v>
      </c>
      <c r="E48" s="2543"/>
      <c r="F48" s="2543"/>
      <c r="G48" s="2543"/>
      <c r="H48" s="2543"/>
      <c r="I48" s="2570"/>
      <c r="J48" s="2540" t="str">
        <f>I47&amp;".1"</f>
        <v>....1.1</v>
      </c>
      <c r="K48" s="1647"/>
      <c r="L48" s="1648" t="s">
        <v>466</v>
      </c>
      <c r="P48" s="2541"/>
      <c r="Q48" s="2541">
        <v>1</v>
      </c>
      <c r="R48" s="641"/>
      <c r="S48" s="1508" t="str">
        <f>$J48</f>
        <v>....1.1</v>
      </c>
      <c r="T48" s="570" t="s">
        <v>467</v>
      </c>
      <c r="U48" s="584"/>
      <c r="V48" s="2529"/>
      <c r="W48" s="2530"/>
      <c r="X48" s="2530"/>
      <c r="Y48" s="2530"/>
      <c r="Z48" s="2530"/>
      <c r="AA48" s="2530"/>
      <c r="AB48" s="2530"/>
      <c r="AC48" s="2531"/>
      <c r="AD48" s="2529"/>
      <c r="AE48" s="2530"/>
      <c r="AF48" s="2530"/>
      <c r="AG48" s="2530"/>
      <c r="AH48" s="2530"/>
      <c r="AI48" s="2530"/>
      <c r="AJ48" s="2530"/>
      <c r="AK48" s="2530"/>
      <c r="AL48" s="2531"/>
      <c r="AM48" s="1542" t="s">
        <v>468</v>
      </c>
      <c r="AO48" s="784"/>
      <c r="AP48" s="784" t="str">
        <f>IF(T48="","",T48)</f>
        <v>Группа потребителей</v>
      </c>
      <c r="AQ48" s="784"/>
      <c r="AR48" s="784"/>
      <c r="AS48" s="1439">
        <v>23</v>
      </c>
    </row>
    <row customHeight="1" ht="24">
      <c r="A49" s="1647" t="s">
        <v>186</v>
      </c>
      <c r="B49" s="1647" t="s">
        <v>187</v>
      </c>
      <c r="C49" s="1647" t="s">
        <v>188</v>
      </c>
      <c r="D49" s="1647" t="s">
        <v>189</v>
      </c>
      <c r="E49" s="2543"/>
      <c r="F49" s="2543"/>
      <c r="G49" s="2543"/>
      <c r="H49" s="2543"/>
      <c r="I49" s="2570"/>
      <c r="J49" s="2570"/>
      <c r="K49" s="2540" t="str">
        <f>J48&amp;".1"</f>
        <v>....1.1.1</v>
      </c>
      <c r="L49" s="1648" t="s">
        <v>469</v>
      </c>
      <c r="P49" s="2541"/>
      <c r="Q49" s="2541"/>
      <c r="R49" s="641">
        <v>1</v>
      </c>
      <c r="S49" s="1508" t="str">
        <f>$K49</f>
        <v>....1.1.1</v>
      </c>
      <c r="T49" s="1631"/>
      <c r="U49" s="584"/>
      <c r="V49" s="1035"/>
      <c r="W49" s="609"/>
      <c r="X49" s="1035"/>
      <c r="Y49" s="1541"/>
      <c r="Z49" s="2549"/>
      <c r="AA49" s="2391" t="s">
        <v>64</v>
      </c>
      <c r="AB49" s="2549"/>
      <c r="AC49" s="2391" t="s">
        <v>64</v>
      </c>
      <c r="AD49" s="1035"/>
      <c r="AE49" s="609"/>
      <c r="AF49" s="1035"/>
      <c r="AG49" s="1541"/>
      <c r="AH49" s="2549"/>
      <c r="AI49" s="2391" t="s">
        <v>64</v>
      </c>
      <c r="AJ49" s="2571"/>
      <c r="AK49" s="2391" t="s">
        <v>64</v>
      </c>
      <c r="AL49" s="1632"/>
      <c r="AM49" s="2537" t="s">
        <v>470</v>
      </c>
      <c r="AN49" s="795">
        <f>STRCHECKDATE(V50:AL50)</f>
      </c>
      <c r="AO49" s="784"/>
      <c r="AP49" s="784" t="str">
        <f>IF(T49="","",T49)</f>
        <v/>
      </c>
      <c r="AQ49" s="784"/>
      <c r="AR49" s="784"/>
      <c r="AS49" s="1439">
        <v>23</v>
      </c>
    </row>
    <row customHeight="1" ht="1.05">
      <c r="A50" s="1647" t="s">
        <v>186</v>
      </c>
      <c r="B50" s="1647" t="s">
        <v>187</v>
      </c>
      <c r="C50" s="1647" t="s">
        <v>188</v>
      </c>
      <c r="D50" s="1647" t="s">
        <v>189</v>
      </c>
      <c r="E50" s="2543"/>
      <c r="F50" s="2543"/>
      <c r="G50" s="2543"/>
      <c r="H50" s="2543"/>
      <c r="I50" s="2570"/>
      <c r="J50" s="2570"/>
      <c r="K50" s="2540"/>
      <c r="L50" s="1648"/>
      <c r="P50" s="2541"/>
      <c r="Q50" s="2541"/>
      <c r="R50" s="641"/>
      <c r="S50" s="1507"/>
      <c r="T50" s="584"/>
      <c r="U50" s="584"/>
      <c r="V50" s="609"/>
      <c r="W50" s="609"/>
      <c r="X50" s="609"/>
      <c r="Y50" s="612" t="str">
        <f>Z49&amp;"-"&amp;AB49</f>
        <v>-</v>
      </c>
      <c r="Z50" s="2550"/>
      <c r="AA50" s="2391"/>
      <c r="AB50" s="2550"/>
      <c r="AC50" s="2391"/>
      <c r="AD50" s="609"/>
      <c r="AE50" s="609"/>
      <c r="AF50" s="609"/>
      <c r="AG50" s="612" t="str">
        <f>AH49&amp;"-"&amp;AJ49</f>
        <v>-</v>
      </c>
      <c r="AH50" s="2550"/>
      <c r="AI50" s="2391"/>
      <c r="AJ50" s="2572"/>
      <c r="AK50" s="2391"/>
      <c r="AL50" s="1633"/>
      <c r="AM50" s="2538"/>
      <c r="AO50" s="784"/>
      <c r="AP50" s="784" t="str">
        <f>IF(T50="","",T50)</f>
        <v/>
      </c>
      <c r="AQ50" s="784"/>
      <c r="AR50" s="784"/>
      <c r="AS50" s="1439">
        <v>1</v>
      </c>
    </row>
    <row customHeight="1" ht="11.549999999999999">
      <c r="A51" s="1647" t="s">
        <v>186</v>
      </c>
      <c r="B51" s="1647" t="s">
        <v>187</v>
      </c>
      <c r="C51" s="1647" t="s">
        <v>188</v>
      </c>
      <c r="D51" s="1647" t="s">
        <v>189</v>
      </c>
      <c r="E51" s="2543"/>
      <c r="F51" s="2543"/>
      <c r="G51" s="2543"/>
      <c r="H51" s="2543"/>
      <c r="I51" s="2570"/>
      <c r="J51" s="2540"/>
      <c r="K51" s="1647"/>
      <c r="L51" s="1648"/>
      <c r="P51" s="2541"/>
      <c r="Q51" s="2541"/>
      <c r="R51" s="640"/>
      <c r="S51" s="1562"/>
      <c r="T51" s="572" t="s">
        <v>471</v>
      </c>
      <c r="U51" s="651"/>
      <c r="V51" s="651"/>
      <c r="W51" s="651"/>
      <c r="X51" s="651"/>
      <c r="Y51" s="651"/>
      <c r="Z51" s="651"/>
      <c r="AA51" s="651"/>
      <c r="AB51" s="651"/>
      <c r="AC51" s="651"/>
      <c r="AD51" s="651"/>
      <c r="AE51" s="651"/>
      <c r="AF51" s="651"/>
      <c r="AG51" s="651"/>
      <c r="AH51" s="651"/>
      <c r="AI51" s="651"/>
      <c r="AJ51" s="651"/>
      <c r="AK51" s="651"/>
      <c r="AL51" s="608"/>
      <c r="AM51" s="2539"/>
      <c r="AO51" s="784"/>
      <c r="AP51" s="784" t="str">
        <f>IF(T51="","",T51)</f>
        <v>Добавить вид теплоносителя (параметры теплоносителя)</v>
      </c>
      <c r="AQ51" s="784"/>
      <c r="AR51" s="784"/>
      <c r="AS51" s="1439">
        <v>11</v>
      </c>
    </row>
    <row customHeight="1" ht="11.549999999999999">
      <c r="A52" s="1647" t="s">
        <v>186</v>
      </c>
      <c r="B52" s="1647" t="s">
        <v>187</v>
      </c>
      <c r="C52" s="1647" t="s">
        <v>188</v>
      </c>
      <c r="D52" s="1647" t="s">
        <v>189</v>
      </c>
      <c r="E52" s="2543"/>
      <c r="F52" s="2543"/>
      <c r="G52" s="2543"/>
      <c r="H52" s="2543"/>
      <c r="I52" s="2540"/>
      <c r="J52" s="1647"/>
      <c r="K52" s="1647"/>
      <c r="L52" s="1648"/>
      <c r="P52" s="2541"/>
      <c r="Q52" s="1504"/>
      <c r="R52" s="640"/>
      <c r="S52" s="1562"/>
      <c r="T52" s="571" t="s">
        <v>472</v>
      </c>
      <c r="U52" s="651"/>
      <c r="V52" s="651"/>
      <c r="W52" s="651"/>
      <c r="X52" s="651"/>
      <c r="Y52" s="651"/>
      <c r="Z52" s="651"/>
      <c r="AA52" s="651"/>
      <c r="AB52" s="651"/>
      <c r="AC52" s="650"/>
      <c r="AD52" s="651"/>
      <c r="AE52" s="651"/>
      <c r="AF52" s="651"/>
      <c r="AG52" s="651"/>
      <c r="AH52" s="651"/>
      <c r="AI52" s="651"/>
      <c r="AJ52" s="651"/>
      <c r="AK52" s="650"/>
      <c r="AL52" s="651"/>
      <c r="AM52" s="587"/>
      <c r="AO52" s="784"/>
      <c r="AP52" s="784" t="str">
        <f>IF(T52="","",T52)</f>
        <v>Добавить группу потребителей</v>
      </c>
      <c r="AQ52" s="784"/>
      <c r="AR52" s="784"/>
      <c r="AS52" s="1439">
        <v>11</v>
      </c>
    </row>
    <row customHeight="1" ht="14.699999999999998">
      <c r="A53" s="1647" t="s">
        <v>186</v>
      </c>
      <c r="B53" s="1647" t="s">
        <v>187</v>
      </c>
      <c r="C53" s="1647" t="s">
        <v>188</v>
      </c>
      <c r="D53" s="1647" t="s">
        <v>189</v>
      </c>
      <c r="E53" s="2543"/>
      <c r="F53" s="2543"/>
      <c r="G53" s="2543"/>
      <c r="H53" s="2542"/>
      <c r="I53" s="1647"/>
      <c r="J53" s="1647"/>
      <c r="K53" s="1647"/>
      <c r="L53" s="1648"/>
      <c r="M53" s="1649"/>
      <c r="N53" s="1649"/>
      <c r="O53" s="821"/>
      <c r="P53" s="644"/>
      <c r="Q53" s="659"/>
      <c r="R53" s="639"/>
      <c r="S53" s="1562"/>
      <c r="T53" s="649" t="s">
        <v>473</v>
      </c>
      <c r="U53" s="651"/>
      <c r="V53" s="651"/>
      <c r="W53" s="651"/>
      <c r="X53" s="651"/>
      <c r="Y53" s="651"/>
      <c r="Z53" s="651"/>
      <c r="AA53" s="651"/>
      <c r="AB53" s="651"/>
      <c r="AC53" s="650"/>
      <c r="AD53" s="651"/>
      <c r="AE53" s="651"/>
      <c r="AF53" s="651"/>
      <c r="AG53" s="651"/>
      <c r="AH53" s="651"/>
      <c r="AI53" s="651"/>
      <c r="AJ53" s="651"/>
      <c r="AK53" s="650"/>
      <c r="AL53" s="651"/>
      <c r="AM53" s="587"/>
      <c r="AO53" s="784"/>
      <c r="AP53" s="784" t="str">
        <f>IF(T53="","",T53)</f>
        <v>Добавить схему подключения</v>
      </c>
      <c r="AQ53" s="784"/>
      <c r="AR53" s="784"/>
      <c r="AS53" s="1439">
        <v>14</v>
      </c>
    </row>
    <row s="30621" customFormat="1" customHeight="1" ht="1.05">
      <c r="A54" s="1627" t="s">
        <v>186</v>
      </c>
      <c r="B54" s="1627" t="s">
        <v>187</v>
      </c>
      <c r="C54" s="1627" t="s">
        <v>188</v>
      </c>
      <c r="D54" s="1598"/>
      <c r="E54" s="2543"/>
      <c r="F54" s="2543"/>
      <c r="G54" s="2542"/>
      <c r="H54" s="1598"/>
      <c r="I54" s="1598"/>
      <c r="J54" s="1598"/>
      <c r="K54" s="1598"/>
      <c r="L54" s="1623"/>
      <c r="M54" s="1599"/>
      <c r="N54" s="1599"/>
      <c r="P54" s="1600"/>
      <c r="Q54" s="1601"/>
      <c r="R54" s="1600"/>
      <c r="S54" s="1606"/>
      <c r="T54" s="1609" t="s">
        <v>213</v>
      </c>
      <c r="U54" s="1608"/>
      <c r="V54" s="1608"/>
      <c r="W54" s="1608"/>
      <c r="X54" s="1608"/>
      <c r="Y54" s="1608"/>
      <c r="Z54" s="1608"/>
      <c r="AA54" s="1608"/>
      <c r="AB54" s="1608"/>
      <c r="AC54" s="1608"/>
      <c r="AD54" s="1608"/>
      <c r="AE54" s="1608"/>
      <c r="AF54" s="1608"/>
      <c r="AG54" s="1608"/>
      <c r="AH54" s="1608"/>
      <c r="AI54" s="1608"/>
      <c r="AJ54" s="1608"/>
      <c r="AK54" s="1608"/>
      <c r="AL54" s="1608"/>
      <c r="AM54" s="1608"/>
      <c r="AO54" s="1073"/>
      <c r="AP54" s="1073" t="str">
        <f>IF(T54="","",T54)</f>
        <v>Добавить источник для дифференциации</v>
      </c>
      <c r="AQ54" s="1073"/>
      <c r="AR54" s="1073"/>
      <c r="AS54" s="802">
        <v>1</v>
      </c>
    </row>
    <row s="30621" customFormat="1" customHeight="1" ht="1.05">
      <c r="A55" s="1627" t="s">
        <v>186</v>
      </c>
      <c r="B55" s="1627" t="s">
        <v>187</v>
      </c>
      <c r="C55" s="1598"/>
      <c r="D55" s="1598"/>
      <c r="E55" s="2543"/>
      <c r="F55" s="2542"/>
      <c r="G55" s="1598"/>
      <c r="H55" s="1598"/>
      <c r="I55" s="1598"/>
      <c r="J55" s="1598"/>
      <c r="K55" s="1598"/>
      <c r="L55" s="1623"/>
      <c r="M55" s="1605"/>
      <c r="N55" s="1605"/>
      <c r="P55" s="1600"/>
      <c r="Q55" s="1601"/>
      <c r="R55" s="1600"/>
      <c r="S55" s="1606"/>
      <c r="T55" s="1609" t="s">
        <v>214</v>
      </c>
      <c r="U55" s="1608"/>
      <c r="V55" s="1608"/>
      <c r="W55" s="1608"/>
      <c r="X55" s="1608"/>
      <c r="Y55" s="1608"/>
      <c r="Z55" s="1608"/>
      <c r="AA55" s="1608"/>
      <c r="AB55" s="1608"/>
      <c r="AC55" s="1608"/>
      <c r="AD55" s="1608"/>
      <c r="AE55" s="1608"/>
      <c r="AF55" s="1608"/>
      <c r="AG55" s="1608"/>
      <c r="AH55" s="1608"/>
      <c r="AI55" s="1608"/>
      <c r="AJ55" s="1608"/>
      <c r="AK55" s="1608"/>
      <c r="AL55" s="1608"/>
      <c r="AM55" s="1608"/>
      <c r="AO55" s="1073"/>
      <c r="AP55" s="1073" t="str">
        <f>IF(T55="","",T55)</f>
        <v>Добавить централизованную систему для дифференциации</v>
      </c>
      <c r="AQ55" s="1073"/>
      <c r="AR55" s="1073"/>
      <c r="AS55" s="802">
        <v>1</v>
      </c>
    </row>
    <row s="30621" customFormat="1" customHeight="1" ht="1.05">
      <c r="A56" s="1627" t="s">
        <v>186</v>
      </c>
      <c r="B56" s="1627"/>
      <c r="C56" s="1627"/>
      <c r="D56" s="1627"/>
      <c r="E56" s="2542"/>
      <c r="F56" s="1627"/>
      <c r="G56" s="1627"/>
      <c r="H56" s="1627"/>
      <c r="I56" s="1627"/>
      <c r="J56" s="1627"/>
      <c r="K56" s="1627"/>
      <c r="L56" s="1630"/>
      <c r="M56" s="1605"/>
      <c r="N56" s="1605"/>
      <c r="O56" s="802"/>
      <c r="P56" s="664"/>
      <c r="Q56" s="1628"/>
      <c r="R56" s="664"/>
      <c r="S56" s="1606"/>
      <c r="T56" s="1609" t="s">
        <v>230</v>
      </c>
      <c r="U56" s="1608"/>
      <c r="V56" s="1608"/>
      <c r="W56" s="1608"/>
      <c r="X56" s="1608"/>
      <c r="Y56" s="1608"/>
      <c r="Z56" s="1608"/>
      <c r="AA56" s="1608"/>
      <c r="AB56" s="1608"/>
      <c r="AC56" s="1608"/>
      <c r="AD56" s="1608"/>
      <c r="AE56" s="1608"/>
      <c r="AF56" s="1608"/>
      <c r="AG56" s="1608"/>
      <c r="AH56" s="1608"/>
      <c r="AI56" s="1608"/>
      <c r="AJ56" s="1608"/>
      <c r="AK56" s="1608"/>
      <c r="AL56" s="1608"/>
      <c r="AM56" s="1608"/>
      <c r="AO56" s="784"/>
      <c r="AP56" s="784" t="str">
        <f>IF(T56="","",T56)</f>
        <v>Добавить территорию для дифференциации</v>
      </c>
      <c r="AQ56" s="784"/>
      <c r="AR56" s="784"/>
      <c r="AS56" s="795">
        <v>1</v>
      </c>
    </row>
    <row s="30621" customFormat="1" customHeight="1" ht="1.05">
      <c r="A57" s="1598"/>
      <c r="B57" s="1598"/>
      <c r="C57" s="1598"/>
      <c r="D57" s="1598"/>
      <c r="E57" s="1627"/>
      <c r="F57" s="1598"/>
      <c r="G57" s="1598"/>
      <c r="H57" s="1598"/>
      <c r="I57" s="1598"/>
      <c r="J57" s="1598"/>
      <c r="K57" s="1598"/>
      <c r="L57" s="1623"/>
      <c r="M57" s="1605"/>
      <c r="N57" s="1605"/>
      <c r="P57" s="1600"/>
      <c r="Q57" s="1601"/>
      <c r="R57" s="1600"/>
      <c r="S57" s="1606"/>
      <c r="T57" s="1609" t="s">
        <v>239</v>
      </c>
      <c r="U57" s="1608"/>
      <c r="V57" s="1608"/>
      <c r="W57" s="1608"/>
      <c r="X57" s="1608"/>
      <c r="Y57" s="1608"/>
      <c r="Z57" s="1608"/>
      <c r="AA57" s="1608"/>
      <c r="AB57" s="1608"/>
      <c r="AC57" s="1608"/>
      <c r="AD57" s="1608"/>
      <c r="AE57" s="1608"/>
      <c r="AF57" s="1608"/>
      <c r="AG57" s="1608"/>
      <c r="AH57" s="1608"/>
      <c r="AI57" s="1608"/>
      <c r="AJ57" s="1608"/>
      <c r="AK57" s="1608"/>
      <c r="AL57" s="1608"/>
      <c r="AM57" s="1608"/>
      <c r="AO57" s="1073"/>
      <c r="AP57" s="1073" t="str">
        <f>IF(T57="","",T57)</f>
        <v>Добавить наименование тарифа</v>
      </c>
      <c r="AQ57" s="1073"/>
      <c r="AR57" s="1073"/>
      <c r="AS57" s="802">
        <v>1</v>
      </c>
    </row>
    <row customHeight="1" ht="11.549999999999999">
      <c r="M58" s="1444"/>
      <c r="N58" s="1444"/>
      <c r="O58" s="821"/>
      <c r="P58" s="1439"/>
      <c r="Q58" s="1439"/>
      <c r="R58" s="1439"/>
      <c r="S58" s="1439"/>
      <c r="AN58" s="1439"/>
      <c r="AO58" s="1439"/>
      <c r="AP58" s="1439"/>
      <c r="AQ58" s="1439"/>
      <c r="AR58" s="1439"/>
      <c r="AS58" s="1439">
        <v>11</v>
      </c>
    </row>
    <row customHeight="1" ht="28.5">
      <c r="O59" s="821"/>
      <c r="S59" s="1537"/>
      <c r="T59" s="2569"/>
      <c r="U59" s="2569"/>
      <c r="V59" s="2569"/>
      <c r="W59" s="2569"/>
      <c r="X59" s="2569"/>
      <c r="Y59" s="2569"/>
      <c r="Z59" s="2569"/>
      <c r="AA59" s="2569"/>
      <c r="AB59" s="2569"/>
      <c r="AC59" s="2569"/>
      <c r="AD59" s="2569"/>
      <c r="AE59" s="2569"/>
      <c r="AF59" s="2569"/>
      <c r="AG59" s="2569"/>
      <c r="AH59" s="2569"/>
      <c r="AI59" s="2569"/>
      <c r="AJ59" s="2569"/>
      <c r="AK59" s="2569"/>
      <c r="AL59" s="2569"/>
      <c r="AM59" s="2569"/>
      <c r="AS59" s="1439">
        <v>27</v>
      </c>
    </row>
    <row customHeight="1" ht="67.2">
      <c r="O60" s="821"/>
      <c r="P60" s="1587"/>
      <c r="T60" s="2569"/>
      <c r="U60" s="2569"/>
      <c r="V60" s="2569"/>
      <c r="W60" s="2569"/>
      <c r="X60" s="2569"/>
      <c r="Y60" s="2569"/>
      <c r="Z60" s="2569"/>
      <c r="AA60" s="2569"/>
      <c r="AB60" s="2569"/>
      <c r="AC60" s="2569"/>
      <c r="AD60" s="2569"/>
      <c r="AE60" s="2569"/>
      <c r="AF60" s="2569"/>
      <c r="AG60" s="2569"/>
      <c r="AH60" s="2569"/>
      <c r="AI60" s="2569"/>
      <c r="AJ60" s="2569"/>
      <c r="AK60" s="2569"/>
      <c r="AL60" s="2569"/>
      <c r="AM60" s="2569"/>
      <c r="AS60" s="1439">
        <v>64</v>
      </c>
    </row>
    <row customHeight="1" ht="14.699999999999998">
      <c r="O61" s="821"/>
      <c r="AS61" s="1439">
        <v>14</v>
      </c>
    </row>
    <row customHeight="1" ht="18.75">
      <c r="O62" s="821"/>
      <c r="P62" s="1612"/>
      <c r="S62" s="1537"/>
      <c r="T62" s="2569"/>
      <c r="U62" s="2569"/>
      <c r="V62" s="2569"/>
      <c r="W62" s="2569"/>
      <c r="X62" s="2569"/>
      <c r="Y62" s="2569"/>
      <c r="Z62" s="2569"/>
      <c r="AA62" s="2569"/>
      <c r="AB62" s="2569"/>
      <c r="AC62" s="2569"/>
      <c r="AD62" s="2569"/>
      <c r="AE62" s="2569"/>
      <c r="AF62" s="2569"/>
      <c r="AG62" s="2569"/>
      <c r="AH62" s="2569"/>
      <c r="AI62" s="2569"/>
      <c r="AJ62" s="2569"/>
      <c r="AK62" s="2569"/>
      <c r="AL62" s="2569"/>
      <c r="AM62" s="2569"/>
      <c r="AS62" s="1439">
        <v>18</v>
      </c>
    </row>
    <row customHeight="1" ht="18.75">
      <c r="O63" s="821"/>
      <c r="P63" s="1612"/>
      <c r="T63" s="2569"/>
      <c r="U63" s="2569"/>
      <c r="V63" s="2569"/>
      <c r="W63" s="2569"/>
      <c r="X63" s="2569"/>
      <c r="Y63" s="2569"/>
      <c r="Z63" s="2569"/>
      <c r="AA63" s="2569"/>
      <c r="AB63" s="2569"/>
      <c r="AC63" s="2569"/>
      <c r="AD63" s="2569"/>
      <c r="AE63" s="2569"/>
      <c r="AF63" s="2569"/>
      <c r="AG63" s="2569"/>
      <c r="AH63" s="2569"/>
      <c r="AI63" s="2569"/>
      <c r="AJ63" s="2569"/>
      <c r="AK63" s="2569"/>
      <c r="AL63" s="2569"/>
      <c r="AM63" s="2569"/>
      <c r="AS63" s="1439">
        <v>18</v>
      </c>
    </row>
    <row customHeight="1" ht="29.25">
      <c r="O64" s="821"/>
      <c r="P64" s="1612"/>
      <c r="S64" s="1537"/>
      <c r="T64" s="2569"/>
      <c r="U64" s="2569"/>
      <c r="V64" s="2569"/>
      <c r="W64" s="2569"/>
      <c r="X64" s="2569"/>
      <c r="Y64" s="2569"/>
      <c r="Z64" s="2569"/>
      <c r="AA64" s="2569"/>
      <c r="AB64" s="2569"/>
      <c r="AC64" s="2569"/>
      <c r="AD64" s="2569"/>
      <c r="AE64" s="2569"/>
      <c r="AF64" s="2569"/>
      <c r="AG64" s="2569"/>
      <c r="AH64" s="2569"/>
      <c r="AI64" s="2569"/>
      <c r="AJ64" s="2569"/>
      <c r="AK64" s="2569"/>
      <c r="AL64" s="2569"/>
      <c r="AM64" s="2569"/>
      <c r="AS64" s="1439">
        <v>28</v>
      </c>
    </row>
    <row customHeight="1" ht="22.5" hidden="1">
      <c r="A65" s="1444" t="s">
        <v>85</v>
      </c>
      <c r="B65" s="1444">
        <v>0</v>
      </c>
      <c r="C65" s="1444">
        <v>0</v>
      </c>
      <c r="D65" s="1444">
        <v>0</v>
      </c>
      <c r="E65" s="1444">
        <v>0</v>
      </c>
      <c r="F65" s="1444">
        <v>0</v>
      </c>
      <c r="G65" s="1444">
        <v>0</v>
      </c>
      <c r="H65" s="1444">
        <v>0</v>
      </c>
      <c r="I65" s="1444">
        <v>0</v>
      </c>
      <c r="J65" s="1444">
        <v>0</v>
      </c>
      <c r="K65" s="1444">
        <v>0</v>
      </c>
      <c r="L65" s="1613">
        <v>0</v>
      </c>
      <c r="M65" s="1646">
        <v>0</v>
      </c>
      <c r="N65" s="1646">
        <v>0</v>
      </c>
      <c r="O65" s="1646">
        <v>0</v>
      </c>
      <c r="P65" s="1502">
        <v>3</v>
      </c>
      <c r="Q65" s="628">
        <v>3</v>
      </c>
      <c r="R65" s="628">
        <v>3</v>
      </c>
      <c r="S65" s="865">
        <v>12</v>
      </c>
      <c r="T65" s="1439">
        <v>35</v>
      </c>
      <c r="U65" s="1439">
        <v>0</v>
      </c>
      <c r="V65" s="1439">
        <v>0</v>
      </c>
      <c r="W65" s="1439">
        <v>0</v>
      </c>
      <c r="X65" s="1439">
        <v>0</v>
      </c>
      <c r="Y65" s="1439">
        <v>0</v>
      </c>
      <c r="Z65" s="1439">
        <v>0</v>
      </c>
      <c r="AA65" s="1439">
        <v>0</v>
      </c>
      <c r="AB65" s="1439">
        <v>0</v>
      </c>
      <c r="AC65" s="1439">
        <v>0</v>
      </c>
      <c r="AD65" s="1439">
        <v>24</v>
      </c>
      <c r="AE65" s="1439">
        <v>0</v>
      </c>
      <c r="AF65" s="1439">
        <v>24</v>
      </c>
      <c r="AG65" s="1439">
        <v>24</v>
      </c>
      <c r="AH65" s="1439">
        <v>11</v>
      </c>
      <c r="AI65" s="1439">
        <v>3</v>
      </c>
      <c r="AJ65" s="1439">
        <v>11</v>
      </c>
      <c r="AK65" s="1439">
        <v>0</v>
      </c>
      <c r="AL65" s="1439">
        <v>4</v>
      </c>
      <c r="AM65" s="1439">
        <v>115</v>
      </c>
      <c r="AN65" s="795">
        <v>10</v>
      </c>
      <c r="AO65" s="795">
        <v>10</v>
      </c>
      <c r="AP65" s="795">
        <v>10</v>
      </c>
      <c r="AQ65" s="795">
        <v>10</v>
      </c>
      <c r="AR65" s="795">
        <v>10</v>
      </c>
      <c r="AS65" s="1439">
        <v>23</v>
      </c>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265765-989B-3492-B501-985E8066726D}"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30620" width="10.57421875" hidden="1"/>
    <col min="2" max="2" style="30620" width="11.00390625" hidden="1" customWidth="1"/>
    <col min="3" max="3" style="30620" width="10.57421875" hidden="1"/>
    <col min="4" max="4" style="30620" width="11.8515625" hidden="1" customWidth="1"/>
    <col min="5" max="5" style="30620" width="10.00390625" hidden="1" customWidth="1"/>
    <col min="6" max="6" style="30620" width="8.7109375" hidden="1" customWidth="1"/>
    <col min="7" max="7" style="30620" width="7.57421875" hidden="1" customWidth="1"/>
    <col min="8" max="8" style="30620" width="11.421875" hidden="1" customWidth="1"/>
    <col min="9" max="9" style="30620" width="12.00390625" hidden="1" customWidth="1"/>
    <col min="10" max="10" style="30620" width="9.8515625" hidden="1" customWidth="1"/>
    <col min="11" max="11" style="30620" width="11.421875" hidden="1" customWidth="1"/>
    <col min="12" max="12" style="31502" width="19.140625" hidden="1" customWidth="1"/>
    <col min="13" max="14" style="31503" width="12.28125" hidden="1" customWidth="1"/>
    <col min="15" max="15" style="31503" width="23.421875" hidden="1" customWidth="1"/>
    <col min="16" max="16" style="31504" width="3.00390625" customWidth="1"/>
    <col min="17" max="18" style="31505" width="3.00390625" customWidth="1"/>
    <col min="19" max="19" style="31506" width="12.00390625" customWidth="1"/>
    <col min="20" max="20" style="30541" width="31.00390625" customWidth="1"/>
    <col min="21" max="21" style="30541" width="0.140625" customWidth="1"/>
    <col min="22" max="22" style="30541" width="24.7109375" hidden="1" customWidth="1"/>
    <col min="23" max="23" style="30541" width="0.140625" hidden="1" customWidth="1"/>
    <col min="24" max="25" style="30541" width="24.7109375" hidden="1" customWidth="1"/>
    <col min="26" max="26" style="30541" width="11.7109375" hidden="1" customWidth="1"/>
    <col min="27" max="27" style="30541" width="3.7109375" hidden="1" customWidth="1"/>
    <col min="28" max="28" style="30541" width="11.7109375" hidden="1" customWidth="1"/>
    <col min="29" max="29" style="30541" width="8.57421875" hidden="1" customWidth="1"/>
    <col min="30" max="30" style="30541" width="24.7109375" customWidth="1"/>
    <col min="31" max="31" style="30541" width="0.140625" customWidth="1"/>
    <col min="32" max="33" style="30541" width="24.00390625" customWidth="1"/>
    <col min="34" max="34" style="30541" width="11.00390625" customWidth="1"/>
    <col min="35" max="35" style="30541" width="3.7109375" customWidth="1"/>
    <col min="36" max="36" style="30541" width="11.00390625" customWidth="1"/>
    <col min="37" max="37" style="30541" width="8.57421875" hidden="1" customWidth="1"/>
    <col min="38" max="38" style="30541" width="4.00390625" customWidth="1"/>
    <col min="39" max="39" style="30541" width="115.00390625" customWidth="1"/>
    <col min="40" max="44" style="30621" width="10.00390625" customWidth="1"/>
    <col min="45" max="45" style="30541" width="10.57421875" hidden="1"/>
  </cols>
  <sheetData>
    <row customHeight="1" ht="22.5" hidden="1">
      <c r="Y1" s="611"/>
      <c r="Z1" s="611"/>
      <c r="AG1" s="611"/>
      <c r="AH1" s="611"/>
      <c r="AS1" s="1439" t="s">
        <v>14</v>
      </c>
    </row>
    <row customHeight="1" ht="21" hidden="1">
      <c r="A2" s="1647"/>
      <c r="B2" s="1647"/>
      <c r="C2" s="1647"/>
      <c r="D2" s="1647"/>
      <c r="E2" s="2542">
        <v>1</v>
      </c>
      <c r="F2" s="1647"/>
      <c r="G2" s="1647"/>
      <c r="H2" s="1647"/>
      <c r="I2" s="1647"/>
      <c r="J2" s="1647"/>
      <c r="K2" s="1647"/>
      <c r="L2" s="1648"/>
      <c r="M2" s="1649"/>
      <c r="N2" s="1649"/>
      <c r="O2" s="1649"/>
      <c r="P2" s="645"/>
      <c r="Q2" s="644"/>
      <c r="R2" s="639"/>
      <c r="S2" s="1620">
        <f>INDEX(PT_DIFFERENTIATION_NUM_NTAR,MATCH(A2,PT_DIFFERENTIATION_NTAR_ID,0))</f>
      </c>
      <c r="T2" s="582" t="s">
        <v>153</v>
      </c>
      <c r="U2" s="584"/>
      <c r="V2" s="2526"/>
      <c r="W2" s="2527"/>
      <c r="X2" s="2527"/>
      <c r="Y2" s="2527"/>
      <c r="Z2" s="2527"/>
      <c r="AA2" s="2527"/>
      <c r="AB2" s="2527"/>
      <c r="AC2" s="2528"/>
      <c r="AD2" s="2526">
        <f>INDEX(PT_DIFFERENTIATION_NTAR,MATCH(A2,PT_DIFFERENTIATION_NTAR_ID,0))</f>
      </c>
      <c r="AE2" s="2527"/>
      <c r="AF2" s="2527"/>
      <c r="AG2" s="2527"/>
      <c r="AH2" s="2527"/>
      <c r="AI2" s="2527"/>
      <c r="AJ2" s="2527"/>
      <c r="AK2" s="2527"/>
      <c r="AL2" s="2528"/>
      <c r="AM2" s="1542" t="s">
        <v>456</v>
      </c>
      <c r="AO2" s="784"/>
      <c r="AP2" s="784" t="str">
        <f>IF(T2="","",T2)</f>
        <v>Наименование тарифа</v>
      </c>
      <c r="AQ2" s="784"/>
      <c r="AR2" s="784"/>
      <c r="AS2" s="1439">
        <v>0</v>
      </c>
    </row>
    <row customHeight="1" ht="21" hidden="1">
      <c r="A3" s="1647"/>
      <c r="B3" s="1647"/>
      <c r="C3" s="1647"/>
      <c r="D3" s="1647"/>
      <c r="E3" s="2543"/>
      <c r="F3" s="2542">
        <v>1</v>
      </c>
      <c r="G3" s="1647"/>
      <c r="H3" s="1647"/>
      <c r="I3" s="1647"/>
      <c r="J3" s="1647"/>
      <c r="K3" s="1647"/>
      <c r="L3" s="1648"/>
      <c r="M3" s="1649"/>
      <c r="N3" s="1649"/>
      <c r="O3" s="1649"/>
      <c r="P3" s="1616"/>
      <c r="Q3" s="636"/>
      <c r="R3" s="637"/>
      <c r="S3" s="1620">
        <f>INDEX(PT_DIFFERENTIATION_NUM_TER,MATCH(B3,PT_DIFFERENTIATION_TER_ID,0))</f>
      </c>
      <c r="T3" s="592" t="s">
        <v>457</v>
      </c>
      <c r="U3" s="584"/>
      <c r="V3" s="2526"/>
      <c r="W3" s="2527"/>
      <c r="X3" s="2527"/>
      <c r="Y3" s="2527"/>
      <c r="Z3" s="2527"/>
      <c r="AA3" s="2527"/>
      <c r="AB3" s="2527"/>
      <c r="AC3" s="2528"/>
      <c r="AD3" s="2526">
        <f>INDEX(PT_DIFFERENTIATION_TER,MATCH(B3,PT_DIFFERENTIATION_TER_ID,0))</f>
      </c>
      <c r="AE3" s="2527"/>
      <c r="AF3" s="2527"/>
      <c r="AG3" s="2527"/>
      <c r="AH3" s="2527"/>
      <c r="AI3" s="2527"/>
      <c r="AJ3" s="2527"/>
      <c r="AK3" s="2527"/>
      <c r="AL3" s="2528"/>
      <c r="AM3" s="1542" t="s">
        <v>458</v>
      </c>
      <c r="AO3" s="784"/>
      <c r="AP3" s="784" t="str">
        <f>IF(T3="","",T3)</f>
        <v>Территория действия тарифа</v>
      </c>
      <c r="AQ3" s="784"/>
      <c r="AR3" s="784"/>
      <c r="AS3" s="1439">
        <v>0</v>
      </c>
    </row>
    <row customHeight="1" ht="23.25" hidden="1">
      <c r="A4" s="1647"/>
      <c r="B4" s="1647"/>
      <c r="C4" s="1647"/>
      <c r="D4" s="1647"/>
      <c r="E4" s="2543"/>
      <c r="F4" s="2543"/>
      <c r="G4" s="2542">
        <v>1</v>
      </c>
      <c r="H4" s="1647"/>
      <c r="I4" s="1647"/>
      <c r="J4" s="1647"/>
      <c r="K4" s="1647"/>
      <c r="L4" s="1648"/>
      <c r="M4" s="1649"/>
      <c r="N4" s="1649"/>
      <c r="O4" s="1649"/>
      <c r="P4" s="638"/>
      <c r="Q4" s="636"/>
      <c r="R4" s="637"/>
      <c r="S4" s="1620">
        <f>INDEX(PT_DIFFERENTIATION_NUM_CS,MATCH(C4,PT_DIFFERENTIATION_CS_ID,0))</f>
      </c>
      <c r="T4" s="593" t="s">
        <v>459</v>
      </c>
      <c r="U4" s="584"/>
      <c r="V4" s="2526"/>
      <c r="W4" s="2527"/>
      <c r="X4" s="2527"/>
      <c r="Y4" s="2527"/>
      <c r="Z4" s="2527"/>
      <c r="AA4" s="2527"/>
      <c r="AB4" s="2527"/>
      <c r="AC4" s="2528"/>
      <c r="AD4" s="2526">
        <f>INDEX(PT_DIFFERENTIATION_CS,MATCH(C4,PT_DIFFERENTIATION_CS_ID,0))</f>
      </c>
      <c r="AE4" s="2527"/>
      <c r="AF4" s="2527"/>
      <c r="AG4" s="2527"/>
      <c r="AH4" s="2527"/>
      <c r="AI4" s="2527"/>
      <c r="AJ4" s="2527"/>
      <c r="AK4" s="2527"/>
      <c r="AL4" s="2528"/>
      <c r="AM4" s="1542" t="s">
        <v>460</v>
      </c>
      <c r="AO4" s="784"/>
      <c r="AP4" s="784" t="str">
        <f>IF(T4="","",T4)</f>
        <v>Наименование системы теплоснабжения </v>
      </c>
      <c r="AQ4" s="784"/>
      <c r="AR4" s="784"/>
      <c r="AS4" s="1439">
        <v>0</v>
      </c>
    </row>
    <row customHeight="1" ht="21" hidden="1">
      <c r="A5" s="1647"/>
      <c r="B5" s="1647"/>
      <c r="C5" s="1647"/>
      <c r="D5" s="1647"/>
      <c r="E5" s="2543"/>
      <c r="F5" s="2543"/>
      <c r="G5" s="2543"/>
      <c r="H5" s="2542">
        <v>1</v>
      </c>
      <c r="I5" s="1647"/>
      <c r="J5" s="1647"/>
      <c r="K5" s="1647"/>
      <c r="L5" s="1648"/>
      <c r="M5" s="1649"/>
      <c r="N5" s="1649"/>
      <c r="O5" s="1649"/>
      <c r="P5" s="638"/>
      <c r="Q5" s="636"/>
      <c r="R5" s="637"/>
      <c r="S5" s="1620">
        <f>INDEX(PT_DIFFERENTIATION_NUM_IST_TE,MATCH(D5,PT_DIFFERENTIATION_IST_TE_ID,0))</f>
      </c>
      <c r="T5" s="594" t="s">
        <v>461</v>
      </c>
      <c r="U5" s="584"/>
      <c r="V5" s="2526"/>
      <c r="W5" s="2527"/>
      <c r="X5" s="2527"/>
      <c r="Y5" s="2527"/>
      <c r="Z5" s="2527"/>
      <c r="AA5" s="2527"/>
      <c r="AB5" s="2527"/>
      <c r="AC5" s="2528"/>
      <c r="AD5" s="2526">
        <f>INDEX(PT_DIFFERENTIATION_IST_TE,MATCH(D5,PT_DIFFERENTIATION_IST_TE_ID,0))</f>
      </c>
      <c r="AE5" s="2527"/>
      <c r="AF5" s="2527"/>
      <c r="AG5" s="2527"/>
      <c r="AH5" s="2527"/>
      <c r="AI5" s="2527"/>
      <c r="AJ5" s="2527"/>
      <c r="AK5" s="2527"/>
      <c r="AL5" s="2528"/>
      <c r="AM5" s="1542" t="s">
        <v>462</v>
      </c>
      <c r="AO5" s="784"/>
      <c r="AP5" s="784" t="str">
        <f>IF(T5="","",T5)</f>
        <v>Источник тепловой энергии  </v>
      </c>
      <c r="AQ5" s="784"/>
      <c r="AR5" s="784"/>
      <c r="AS5" s="1439">
        <v>0</v>
      </c>
    </row>
    <row customHeight="1" ht="47.25" hidden="1">
      <c r="A6" s="1647"/>
      <c r="B6" s="1647"/>
      <c r="C6" s="1647"/>
      <c r="D6" s="1647"/>
      <c r="E6" s="2543"/>
      <c r="F6" s="2543"/>
      <c r="G6" s="2543"/>
      <c r="H6" s="2543"/>
      <c r="I6" s="2540">
        <f>S5&amp;".1"</f>
      </c>
      <c r="J6" s="1647"/>
      <c r="K6" s="1647"/>
      <c r="L6" s="1648" t="s">
        <v>463</v>
      </c>
      <c r="M6" s="821"/>
      <c r="P6" s="2541">
        <v>1</v>
      </c>
      <c r="Q6" s="1615"/>
      <c r="R6" s="640"/>
      <c r="S6" s="1620">
        <f>$I6</f>
      </c>
      <c r="T6" s="569" t="s">
        <v>464</v>
      </c>
      <c r="U6" s="584"/>
      <c r="V6" s="2529"/>
      <c r="W6" s="2530"/>
      <c r="X6" s="2530"/>
      <c r="Y6" s="2530"/>
      <c r="Z6" s="2530"/>
      <c r="AA6" s="2530"/>
      <c r="AB6" s="2530"/>
      <c r="AC6" s="2531"/>
      <c r="AD6" s="2529"/>
      <c r="AE6" s="2530"/>
      <c r="AF6" s="2530"/>
      <c r="AG6" s="2530"/>
      <c r="AH6" s="2530"/>
      <c r="AI6" s="2530"/>
      <c r="AJ6" s="2530"/>
      <c r="AK6" s="2530"/>
      <c r="AL6" s="2531"/>
      <c r="AM6" s="1542" t="s">
        <v>465</v>
      </c>
      <c r="AO6" s="784"/>
      <c r="AP6" s="784" t="str">
        <f>IF(T6="","",T6)</f>
        <v>Схема подключения теплопотребляющей установки к коллектору источника тепловой энергии</v>
      </c>
      <c r="AQ6" s="784"/>
      <c r="AR6" s="784"/>
      <c r="AS6" s="1439">
        <v>0</v>
      </c>
    </row>
    <row customHeight="1" ht="21" hidden="1">
      <c r="A7" s="1647"/>
      <c r="B7" s="1647"/>
      <c r="C7" s="1647"/>
      <c r="D7" s="1647"/>
      <c r="E7" s="2543"/>
      <c r="F7" s="2543"/>
      <c r="G7" s="2543"/>
      <c r="H7" s="2543"/>
      <c r="I7" s="2570"/>
      <c r="J7" s="2540">
        <f>I6&amp;".1"</f>
      </c>
      <c r="K7" s="1647"/>
      <c r="L7" s="1648" t="s">
        <v>466</v>
      </c>
      <c r="M7" s="821"/>
      <c r="N7" s="1650"/>
      <c r="P7" s="2541"/>
      <c r="Q7" s="2541">
        <v>1</v>
      </c>
      <c r="R7" s="641"/>
      <c r="S7" s="1620">
        <f>$J7</f>
      </c>
      <c r="T7" s="570" t="s">
        <v>467</v>
      </c>
      <c r="U7" s="584"/>
      <c r="V7" s="2529"/>
      <c r="W7" s="2530"/>
      <c r="X7" s="2530"/>
      <c r="Y7" s="2530"/>
      <c r="Z7" s="2530"/>
      <c r="AA7" s="2530"/>
      <c r="AB7" s="2530"/>
      <c r="AC7" s="2531"/>
      <c r="AD7" s="2529"/>
      <c r="AE7" s="2530"/>
      <c r="AF7" s="2530"/>
      <c r="AG7" s="2530"/>
      <c r="AH7" s="2530"/>
      <c r="AI7" s="2530"/>
      <c r="AJ7" s="2530"/>
      <c r="AK7" s="2530"/>
      <c r="AL7" s="2531"/>
      <c r="AM7" s="1542" t="s">
        <v>468</v>
      </c>
      <c r="AO7" s="784"/>
      <c r="AP7" s="784" t="str">
        <f>IF(T7="","",T7)</f>
        <v>Группа потребителей</v>
      </c>
      <c r="AQ7" s="784"/>
      <c r="AR7" s="784"/>
      <c r="AS7" s="1439">
        <v>0</v>
      </c>
    </row>
    <row customHeight="1" ht="21" hidden="1">
      <c r="A8" s="1647"/>
      <c r="B8" s="1647"/>
      <c r="C8" s="1647"/>
      <c r="D8" s="1647"/>
      <c r="E8" s="2543"/>
      <c r="F8" s="2543"/>
      <c r="G8" s="2543"/>
      <c r="H8" s="2543"/>
      <c r="I8" s="2570"/>
      <c r="J8" s="2570"/>
      <c r="K8" s="2540">
        <f>J7&amp;".1"</f>
      </c>
      <c r="L8" s="1648" t="s">
        <v>469</v>
      </c>
      <c r="M8" s="821"/>
      <c r="N8" s="1650"/>
      <c r="O8" s="1650"/>
      <c r="P8" s="2541"/>
      <c r="Q8" s="2541"/>
      <c r="R8" s="641">
        <v>1</v>
      </c>
      <c r="S8" s="1620">
        <f>$K8</f>
      </c>
      <c r="T8" s="1631"/>
      <c r="U8" s="584"/>
      <c r="V8" s="1035"/>
      <c r="W8" s="609"/>
      <c r="X8" s="1035"/>
      <c r="Y8" s="1541"/>
      <c r="Z8" s="2549"/>
      <c r="AA8" s="2391" t="s">
        <v>64</v>
      </c>
      <c r="AB8" s="2549"/>
      <c r="AC8" s="2391" t="s">
        <v>64</v>
      </c>
      <c r="AD8" s="1035"/>
      <c r="AE8" s="609"/>
      <c r="AF8" s="1035"/>
      <c r="AG8" s="1541"/>
      <c r="AH8" s="2549"/>
      <c r="AI8" s="2391" t="s">
        <v>64</v>
      </c>
      <c r="AJ8" s="2549"/>
      <c r="AK8" s="2391" t="s">
        <v>64</v>
      </c>
      <c r="AL8" s="609"/>
      <c r="AM8" s="2537" t="s">
        <v>470</v>
      </c>
      <c r="AN8" s="795">
        <f>STRCHECKDATE(V9:AL9)</f>
      </c>
      <c r="AO8" s="784"/>
      <c r="AP8" s="784" t="str">
        <f>IF(T8="","",T8)</f>
        <v/>
      </c>
      <c r="AQ8" s="784"/>
      <c r="AR8" s="784"/>
      <c r="AS8" s="1439">
        <v>0</v>
      </c>
    </row>
    <row customHeight="1" ht="0.75" hidden="1">
      <c r="A9" s="1647"/>
      <c r="B9" s="1647"/>
      <c r="C9" s="1647"/>
      <c r="D9" s="1647"/>
      <c r="E9" s="2543"/>
      <c r="F9" s="2543"/>
      <c r="G9" s="2543"/>
      <c r="H9" s="2543"/>
      <c r="I9" s="2570"/>
      <c r="J9" s="2570"/>
      <c r="K9" s="2540"/>
      <c r="L9" s="1648"/>
      <c r="M9" s="821"/>
      <c r="N9" s="1650"/>
      <c r="O9" s="1650"/>
      <c r="P9" s="2541"/>
      <c r="Q9" s="2541"/>
      <c r="R9" s="641"/>
      <c r="S9" s="1626"/>
      <c r="T9" s="584"/>
      <c r="U9" s="584"/>
      <c r="V9" s="609"/>
      <c r="W9" s="609"/>
      <c r="X9" s="609"/>
      <c r="Y9" s="612" t="str">
        <f>Z8&amp;"-"&amp;AB8</f>
        <v>-</v>
      </c>
      <c r="Z9" s="2550"/>
      <c r="AA9" s="2391"/>
      <c r="AB9" s="2550"/>
      <c r="AC9" s="2391"/>
      <c r="AD9" s="609"/>
      <c r="AE9" s="609"/>
      <c r="AF9" s="609"/>
      <c r="AG9" s="612" t="str">
        <f>AH8&amp;"-"&amp;AJ8</f>
        <v>-</v>
      </c>
      <c r="AH9" s="2550"/>
      <c r="AI9" s="2391"/>
      <c r="AJ9" s="2550"/>
      <c r="AK9" s="2391"/>
      <c r="AL9" s="609"/>
      <c r="AM9" s="2538"/>
      <c r="AO9" s="784"/>
      <c r="AP9" s="784" t="str">
        <f>IF(T9="","",T9)</f>
        <v/>
      </c>
      <c r="AQ9" s="784"/>
      <c r="AR9" s="784"/>
      <c r="AS9" s="1439">
        <v>0</v>
      </c>
    </row>
    <row customHeight="1" ht="15" hidden="1">
      <c r="A10" s="1647"/>
      <c r="B10" s="1647"/>
      <c r="C10" s="1647"/>
      <c r="D10" s="1647"/>
      <c r="E10" s="2543"/>
      <c r="F10" s="2543"/>
      <c r="G10" s="2543"/>
      <c r="H10" s="2543"/>
      <c r="I10" s="2570"/>
      <c r="J10" s="2540"/>
      <c r="K10" s="1647"/>
      <c r="L10" s="1648"/>
      <c r="M10" s="821"/>
      <c r="N10" s="1650"/>
      <c r="P10" s="2541"/>
      <c r="Q10" s="2541"/>
      <c r="R10" s="640"/>
      <c r="S10" s="1562"/>
      <c r="T10" s="572" t="s">
        <v>471</v>
      </c>
      <c r="U10" s="651"/>
      <c r="V10" s="651"/>
      <c r="W10" s="651"/>
      <c r="X10" s="651"/>
      <c r="Y10" s="651"/>
      <c r="Z10" s="651"/>
      <c r="AA10" s="651"/>
      <c r="AB10" s="651"/>
      <c r="AC10" s="651"/>
      <c r="AD10" s="651"/>
      <c r="AE10" s="651"/>
      <c r="AF10" s="651"/>
      <c r="AG10" s="651"/>
      <c r="AH10" s="651"/>
      <c r="AI10" s="651"/>
      <c r="AJ10" s="651"/>
      <c r="AK10" s="651"/>
      <c r="AL10" s="608"/>
      <c r="AM10" s="2539"/>
      <c r="AO10" s="784"/>
      <c r="AP10" s="784" t="str">
        <f>IF(T10="","",T10)</f>
        <v>Добавить вид теплоносителя (параметры теплоносителя)</v>
      </c>
      <c r="AQ10" s="784"/>
      <c r="AR10" s="784"/>
      <c r="AS10" s="1439">
        <v>0</v>
      </c>
    </row>
    <row customHeight="1" ht="15" hidden="1">
      <c r="A11" s="1647"/>
      <c r="B11" s="1647"/>
      <c r="C11" s="1647"/>
      <c r="D11" s="1647"/>
      <c r="E11" s="2543"/>
      <c r="F11" s="2543"/>
      <c r="G11" s="2543"/>
      <c r="H11" s="2543"/>
      <c r="I11" s="2540"/>
      <c r="J11" s="1647"/>
      <c r="K11" s="1647"/>
      <c r="L11" s="1648"/>
      <c r="M11" s="821"/>
      <c r="P11" s="2541"/>
      <c r="Q11" s="1615"/>
      <c r="R11" s="640"/>
      <c r="S11" s="1562"/>
      <c r="T11" s="571" t="s">
        <v>472</v>
      </c>
      <c r="U11" s="651"/>
      <c r="V11" s="651"/>
      <c r="W11" s="651"/>
      <c r="X11" s="651"/>
      <c r="Y11" s="651"/>
      <c r="Z11" s="651"/>
      <c r="AA11" s="651"/>
      <c r="AB11" s="651"/>
      <c r="AC11" s="650"/>
      <c r="AD11" s="651"/>
      <c r="AE11" s="651"/>
      <c r="AF11" s="651"/>
      <c r="AG11" s="651"/>
      <c r="AH11" s="651"/>
      <c r="AI11" s="651"/>
      <c r="AJ11" s="651"/>
      <c r="AK11" s="650"/>
      <c r="AL11" s="651"/>
      <c r="AM11" s="587"/>
      <c r="AO11" s="784"/>
      <c r="AP11" s="784" t="str">
        <f>IF(T11="","",T11)</f>
        <v>Добавить группу потребителей</v>
      </c>
      <c r="AQ11" s="784"/>
      <c r="AR11" s="784"/>
      <c r="AS11" s="1439">
        <v>0</v>
      </c>
    </row>
    <row customHeight="1" ht="14.25" hidden="1">
      <c r="A12" s="1647"/>
      <c r="B12" s="1647"/>
      <c r="C12" s="1647"/>
      <c r="D12" s="1647"/>
      <c r="E12" s="2543"/>
      <c r="F12" s="2543"/>
      <c r="G12" s="2543"/>
      <c r="H12" s="2542"/>
      <c r="I12" s="1647"/>
      <c r="J12" s="1647"/>
      <c r="K12" s="1647"/>
      <c r="L12" s="1648"/>
      <c r="M12" s="1649"/>
      <c r="N12" s="1649"/>
      <c r="O12" s="821"/>
      <c r="P12" s="644"/>
      <c r="Q12" s="659"/>
      <c r="R12" s="639"/>
      <c r="S12" s="1562"/>
      <c r="T12" s="649" t="s">
        <v>473</v>
      </c>
      <c r="U12" s="651"/>
      <c r="V12" s="651"/>
      <c r="W12" s="651"/>
      <c r="X12" s="651"/>
      <c r="Y12" s="651"/>
      <c r="Z12" s="651"/>
      <c r="AA12" s="651"/>
      <c r="AB12" s="651"/>
      <c r="AC12" s="650"/>
      <c r="AD12" s="651"/>
      <c r="AE12" s="651"/>
      <c r="AF12" s="651"/>
      <c r="AG12" s="651"/>
      <c r="AH12" s="651"/>
      <c r="AI12" s="651"/>
      <c r="AJ12" s="651"/>
      <c r="AK12" s="650"/>
      <c r="AL12" s="651"/>
      <c r="AM12" s="587"/>
      <c r="AO12" s="784"/>
      <c r="AP12" s="784" t="str">
        <f>IF(T12="","",T12)</f>
        <v>Добавить схему подключения</v>
      </c>
      <c r="AQ12" s="784"/>
      <c r="AR12" s="784"/>
      <c r="AS12" s="1439">
        <v>0</v>
      </c>
    </row>
    <row s="30621" customFormat="1" customHeight="1" ht="0.75" hidden="1">
      <c r="A13" s="1598"/>
      <c r="B13" s="1598"/>
      <c r="C13" s="1598"/>
      <c r="D13" s="1598"/>
      <c r="E13" s="2543"/>
      <c r="F13" s="2543"/>
      <c r="G13" s="2542"/>
      <c r="H13" s="1598"/>
      <c r="I13" s="1598"/>
      <c r="J13" s="1598"/>
      <c r="K13" s="1598"/>
      <c r="L13" s="1623"/>
      <c r="M13" s="1599"/>
      <c r="N13" s="1599"/>
      <c r="P13" s="1600"/>
      <c r="Q13" s="1601"/>
      <c r="R13" s="1600"/>
      <c r="S13" s="1602"/>
      <c r="T13" s="1603" t="s">
        <v>213</v>
      </c>
      <c r="U13" s="1604"/>
      <c r="V13" s="1604"/>
      <c r="W13" s="1604"/>
      <c r="X13" s="1604"/>
      <c r="Y13" s="1604"/>
      <c r="Z13" s="1604"/>
      <c r="AA13" s="1604"/>
      <c r="AB13" s="1604"/>
      <c r="AC13" s="1604"/>
      <c r="AD13" s="1604"/>
      <c r="AE13" s="1604"/>
      <c r="AF13" s="1604"/>
      <c r="AG13" s="1604"/>
      <c r="AH13" s="1604"/>
      <c r="AI13" s="1604"/>
      <c r="AJ13" s="1604"/>
      <c r="AK13" s="1604"/>
      <c r="AL13" s="1604"/>
      <c r="AM13" s="1604"/>
      <c r="AO13" s="1073"/>
      <c r="AP13" s="1073" t="str">
        <f>IF(T13="","",T13)</f>
        <v>Добавить источник для дифференциации</v>
      </c>
      <c r="AQ13" s="1073"/>
      <c r="AR13" s="1073"/>
      <c r="AS13" s="802">
        <v>0</v>
      </c>
    </row>
    <row s="30621" customFormat="1" customHeight="1" ht="0.75" hidden="1">
      <c r="A14" s="1598"/>
      <c r="B14" s="1598"/>
      <c r="C14" s="1598"/>
      <c r="D14" s="1598"/>
      <c r="E14" s="2543"/>
      <c r="F14" s="2542"/>
      <c r="G14" s="1598"/>
      <c r="H14" s="1598"/>
      <c r="I14" s="1598"/>
      <c r="J14" s="1598"/>
      <c r="K14" s="1598"/>
      <c r="L14" s="1623"/>
      <c r="M14" s="1605"/>
      <c r="N14" s="1605"/>
      <c r="P14" s="1600"/>
      <c r="Q14" s="1601"/>
      <c r="R14" s="1600"/>
      <c r="S14" s="1606"/>
      <c r="T14" s="1607" t="s">
        <v>214</v>
      </c>
      <c r="U14" s="1608"/>
      <c r="V14" s="1608"/>
      <c r="W14" s="1608"/>
      <c r="X14" s="1608"/>
      <c r="Y14" s="1608"/>
      <c r="Z14" s="1608"/>
      <c r="AA14" s="1608"/>
      <c r="AB14" s="1608"/>
      <c r="AC14" s="1608"/>
      <c r="AD14" s="1608"/>
      <c r="AE14" s="1608"/>
      <c r="AF14" s="1608"/>
      <c r="AG14" s="1608"/>
      <c r="AH14" s="1608"/>
      <c r="AI14" s="1608"/>
      <c r="AJ14" s="1608"/>
      <c r="AK14" s="1608"/>
      <c r="AL14" s="1608"/>
      <c r="AM14" s="1608"/>
      <c r="AO14" s="1073"/>
      <c r="AP14" s="1073" t="str">
        <f>IF(T14="","",T14)</f>
        <v>Добавить централизованную систему для дифференциации</v>
      </c>
      <c r="AQ14" s="1073"/>
      <c r="AR14" s="1073"/>
      <c r="AS14" s="802">
        <v>0</v>
      </c>
    </row>
    <row s="30621" customFormat="1" customHeight="1" ht="0.75" hidden="1">
      <c r="A15" s="1598"/>
      <c r="B15" s="1598"/>
      <c r="C15" s="1598"/>
      <c r="D15" s="1598"/>
      <c r="E15" s="2542"/>
      <c r="F15" s="1598"/>
      <c r="G15" s="1598"/>
      <c r="H15" s="1598"/>
      <c r="I15" s="1598"/>
      <c r="J15" s="1598"/>
      <c r="K15" s="1598"/>
      <c r="L15" s="1623"/>
      <c r="M15" s="1605"/>
      <c r="N15" s="1605"/>
      <c r="P15" s="1600"/>
      <c r="Q15" s="1601"/>
      <c r="R15" s="1600"/>
      <c r="S15" s="1606"/>
      <c r="T15" s="1609" t="s">
        <v>230</v>
      </c>
      <c r="U15" s="1608"/>
      <c r="V15" s="1608"/>
      <c r="W15" s="1608"/>
      <c r="X15" s="1608"/>
      <c r="Y15" s="1608"/>
      <c r="Z15" s="1608"/>
      <c r="AA15" s="1608"/>
      <c r="AB15" s="1608"/>
      <c r="AC15" s="1608"/>
      <c r="AD15" s="1608"/>
      <c r="AE15" s="1608"/>
      <c r="AF15" s="1608"/>
      <c r="AG15" s="1608"/>
      <c r="AH15" s="1608"/>
      <c r="AI15" s="1608"/>
      <c r="AJ15" s="1608"/>
      <c r="AK15" s="1608"/>
      <c r="AL15" s="1608"/>
      <c r="AM15" s="1608"/>
      <c r="AO15" s="1073"/>
      <c r="AP15" s="1073" t="str">
        <f>IF(T15="","",T15)</f>
        <v>Добавить территорию для дифференциации</v>
      </c>
      <c r="AQ15" s="1073"/>
      <c r="AR15" s="1073"/>
      <c r="AS15" s="802">
        <v>0</v>
      </c>
    </row>
    <row customHeight="1" ht="14.25" hidden="1">
      <c r="AC16" s="611"/>
      <c r="AK16" s="611"/>
      <c r="AS16" s="1439">
        <v>0</v>
      </c>
    </row>
    <row customHeight="1" ht="14.25" hidden="1">
      <c r="AD17" s="1644"/>
      <c r="AE17" s="1644"/>
      <c r="AF17" s="1644"/>
      <c r="AG17" s="1645"/>
      <c r="AH17" s="2551"/>
      <c r="AI17" s="2552" t="s">
        <v>64</v>
      </c>
      <c r="AJ17" s="2551"/>
      <c r="AK17" s="2552" t="s">
        <v>64</v>
      </c>
      <c r="AS17" s="1439">
        <v>0</v>
      </c>
    </row>
    <row customHeight="1" ht="14.25" hidden="1">
      <c r="AD18" s="1644"/>
      <c r="AE18" s="1644"/>
      <c r="AF18" s="1644"/>
      <c r="AG18" s="612" t="str">
        <f>AH17&amp;"-"&amp;AJ17</f>
        <v>-</v>
      </c>
      <c r="AH18" s="2552"/>
      <c r="AI18" s="2552"/>
      <c r="AJ18" s="2552"/>
      <c r="AK18" s="2552"/>
      <c r="AS18" s="1439">
        <v>0</v>
      </c>
    </row>
    <row customHeight="1" ht="14.25" hidden="1">
      <c r="AK19" s="611"/>
      <c r="AS19" s="1439">
        <v>0</v>
      </c>
    </row>
    <row s="30620" customFormat="1" customHeight="1" ht="22.5" hidden="1">
      <c r="L20" s="1613"/>
      <c r="M20" s="1646"/>
      <c r="N20" s="1646"/>
      <c r="O20" s="1651" t="s">
        <v>474</v>
      </c>
      <c r="P20" s="1646"/>
      <c r="Q20" s="1655"/>
      <c r="R20" s="1655"/>
      <c r="S20" s="1013"/>
      <c r="Z20" s="1651"/>
      <c r="AB20" s="1651"/>
      <c r="AC20" s="1650"/>
      <c r="AH20" s="1651"/>
      <c r="AJ20" s="1651"/>
      <c r="AK20" s="1650"/>
      <c r="AN20" s="795"/>
      <c r="AO20" s="795"/>
      <c r="AP20" s="795"/>
      <c r="AQ20" s="795"/>
      <c r="AR20" s="795"/>
      <c r="AS20" s="1444">
        <v>0</v>
      </c>
    </row>
    <row s="30620" customFormat="1" customHeight="1" ht="14.25" hidden="1">
      <c r="L21" s="1613"/>
      <c r="M21" s="1646"/>
      <c r="N21" s="1646"/>
      <c r="O21" s="1646"/>
      <c r="P21" s="1646"/>
      <c r="Q21" s="1655"/>
      <c r="R21" s="1655"/>
      <c r="S21" s="1013"/>
      <c r="AC21" s="1650"/>
      <c r="AK21" s="1650"/>
      <c r="AN21" s="795"/>
      <c r="AO21" s="795"/>
      <c r="AP21" s="795"/>
      <c r="AQ21" s="795"/>
      <c r="AR21" s="795"/>
      <c r="AS21" s="1444">
        <v>0</v>
      </c>
    </row>
    <row s="30620" customFormat="1" customHeight="1" ht="14.25" hidden="1">
      <c r="L22" s="1613"/>
      <c r="M22" s="1646"/>
      <c r="N22" s="1646"/>
      <c r="O22" s="1648" t="s">
        <v>475</v>
      </c>
      <c r="P22" s="1646"/>
      <c r="Q22" s="1655"/>
      <c r="R22" s="1655"/>
      <c r="S22" s="1013"/>
      <c r="T22" s="1444" t="s">
        <v>476</v>
      </c>
      <c r="AA22" s="470" t="s">
        <v>477</v>
      </c>
      <c r="AC22" s="470" t="s">
        <v>478</v>
      </c>
      <c r="AD22" s="1444" t="s">
        <v>476</v>
      </c>
      <c r="AI22" s="470" t="s">
        <v>479</v>
      </c>
      <c r="AK22" s="470" t="s">
        <v>478</v>
      </c>
      <c r="AN22" s="795"/>
      <c r="AO22" s="795"/>
      <c r="AP22" s="795"/>
      <c r="AQ22" s="795"/>
      <c r="AR22" s="795"/>
      <c r="AS22" s="1444">
        <v>0</v>
      </c>
    </row>
    <row customHeight="1" ht="14.25" hidden="1">
      <c r="O23" s="1648"/>
      <c r="AS23" s="1439">
        <v>0</v>
      </c>
    </row>
    <row customHeight="1" ht="14.25" hidden="1">
      <c r="O24" s="1648"/>
      <c r="AS24" s="1439">
        <v>0</v>
      </c>
    </row>
    <row customHeight="1" ht="14.699999999999998">
      <c r="Q25" s="660"/>
      <c r="R25" s="660"/>
      <c r="S25" s="1559"/>
      <c r="T25" s="647"/>
      <c r="U25" s="647"/>
      <c r="V25" s="793"/>
      <c r="W25" s="793"/>
      <c r="X25" s="793"/>
      <c r="Y25" s="793"/>
      <c r="Z25" s="793"/>
      <c r="AA25" s="793"/>
      <c r="AB25" s="793"/>
      <c r="AC25" s="793"/>
      <c r="AD25" s="793"/>
      <c r="AE25" s="793"/>
      <c r="AF25" s="793"/>
      <c r="AG25" s="793"/>
      <c r="AH25" s="793"/>
      <c r="AI25" s="793"/>
      <c r="AJ25" s="793"/>
      <c r="AK25" s="793"/>
      <c r="AS25" s="1439">
        <v>14</v>
      </c>
    </row>
    <row customHeight="1" ht="14.699999999999998">
      <c r="Q26" s="660"/>
      <c r="R26" s="660"/>
      <c r="S26" s="253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32"/>
      <c r="U26" s="2532"/>
      <c r="V26" s="2532"/>
      <c r="W26" s="2532"/>
      <c r="X26" s="2532"/>
      <c r="Y26" s="2532"/>
      <c r="Z26" s="2532"/>
      <c r="AA26" s="2532"/>
      <c r="AB26" s="2532"/>
      <c r="AC26" s="2532"/>
      <c r="AD26" s="2532"/>
      <c r="AE26" s="2532"/>
      <c r="AF26" s="2532"/>
      <c r="AG26" s="2532"/>
      <c r="AH26" s="2532"/>
      <c r="AI26" s="2532"/>
      <c r="AJ26" s="2532"/>
      <c r="AK26" s="1527"/>
      <c r="AS26" s="1439">
        <v>14</v>
      </c>
    </row>
    <row customHeight="1" ht="14.699999999999998">
      <c r="Q27" s="660"/>
      <c r="R27" s="660"/>
      <c r="S27" s="2533" t="str">
        <f>IF(org=0,"Не определено",org)</f>
        <v>АО "ДГК"</v>
      </c>
      <c r="T27" s="2533"/>
      <c r="U27" s="2533"/>
      <c r="V27" s="2533"/>
      <c r="W27" s="2533"/>
      <c r="X27" s="2533"/>
      <c r="Y27" s="2533"/>
      <c r="Z27" s="2533"/>
      <c r="AA27" s="2533"/>
      <c r="AB27" s="2533"/>
      <c r="AC27" s="2533"/>
      <c r="AD27" s="2533"/>
      <c r="AE27" s="2533"/>
      <c r="AF27" s="2533"/>
      <c r="AG27" s="2533"/>
      <c r="AH27" s="2533"/>
      <c r="AI27" s="2533"/>
      <c r="AJ27" s="2533"/>
      <c r="AK27" s="1527"/>
      <c r="AS27" s="1439">
        <v>14</v>
      </c>
    </row>
    <row customHeight="1" ht="14.25">
      <c r="Q28" s="660"/>
      <c r="R28" s="660"/>
      <c r="S28" s="1559"/>
      <c r="T28" s="647"/>
      <c r="U28" s="647"/>
      <c r="V28" s="606"/>
      <c r="W28" s="606"/>
      <c r="X28" s="606"/>
      <c r="Y28" s="606"/>
      <c r="Z28" s="606"/>
      <c r="AA28" s="606"/>
      <c r="AB28" s="606"/>
      <c r="AC28" s="606"/>
      <c r="AD28" s="606"/>
      <c r="AE28" s="606"/>
      <c r="AF28" s="606"/>
      <c r="AG28" s="606"/>
      <c r="AH28" s="606"/>
      <c r="AI28" s="606"/>
      <c r="AJ28" s="606"/>
      <c r="AK28" s="606"/>
      <c r="AL28" s="793"/>
      <c r="AS28" s="1439">
        <v>0</v>
      </c>
    </row>
    <row s="30764" customFormat="1" customHeight="1" ht="25.5">
      <c r="A29" s="1652"/>
      <c r="B29" s="1652"/>
      <c r="C29" s="1652"/>
      <c r="D29" s="1652"/>
      <c r="E29" s="1652"/>
      <c r="F29" s="1652"/>
      <c r="G29" s="1652"/>
      <c r="H29" s="1652"/>
      <c r="I29" s="1652"/>
      <c r="J29" s="1652"/>
      <c r="K29" s="1652"/>
      <c r="L29" s="1653"/>
      <c r="M29" s="1652"/>
      <c r="N29" s="1652"/>
      <c r="O29" s="1652"/>
      <c r="S29" s="2534" t="s">
        <v>42</v>
      </c>
      <c r="T29" s="2534"/>
      <c r="U29" s="1656"/>
      <c r="V29" s="2535" t="str">
        <f>IF(TITLE_NAME_OR_PR_CHANGE="",IF(TITLE_NAME_OR_PR="","",TITLE_NAME_OR_PR),TITLE_NAME_OR_PR_CHANGE)</f>
        <v>Комитет по ценам и тарифам Правительства Хабаровского края</v>
      </c>
      <c r="W29" s="2535"/>
      <c r="X29" s="2535"/>
      <c r="Y29" s="2535"/>
      <c r="Z29" s="2535"/>
      <c r="AA29" s="2535"/>
      <c r="AB29" s="2535"/>
      <c r="AC29" s="610"/>
      <c r="AD29" s="2535" t="str">
        <f>IF(TITLE_NAME_OR_PR_CHANGE="",IF(TITLE_NAME_OR_PR="","",TITLE_NAME_OR_PR),TITLE_NAME_OR_PR_CHANGE)</f>
        <v>Комитет по ценам и тарифам Правительства Хабаровского края</v>
      </c>
      <c r="AE29" s="2535"/>
      <c r="AF29" s="2535"/>
      <c r="AG29" s="2535"/>
      <c r="AH29" s="2535"/>
      <c r="AI29" s="2535"/>
      <c r="AJ29" s="2535"/>
      <c r="AK29" s="610"/>
      <c r="AL29" s="610"/>
      <c r="AM29" s="564"/>
      <c r="AN29" s="652"/>
      <c r="AO29" s="652"/>
      <c r="AP29" s="652"/>
      <c r="AQ29" s="652"/>
      <c r="AR29" s="652"/>
      <c r="AS29" s="702">
        <v>0</v>
      </c>
    </row>
    <row s="30764" customFormat="1" customHeight="1" ht="18.75">
      <c r="A30" s="1652"/>
      <c r="B30" s="1652"/>
      <c r="C30" s="1652"/>
      <c r="D30" s="1652"/>
      <c r="E30" s="1652"/>
      <c r="F30" s="1652"/>
      <c r="G30" s="1652"/>
      <c r="H30" s="1652"/>
      <c r="I30" s="1652"/>
      <c r="J30" s="1652"/>
      <c r="K30" s="1652"/>
      <c r="L30" s="1653"/>
      <c r="M30" s="1652"/>
      <c r="N30" s="1652"/>
      <c r="O30" s="1652"/>
      <c r="S30" s="2534" t="s">
        <v>480</v>
      </c>
      <c r="T30" s="2534"/>
      <c r="U30" s="1656"/>
      <c r="V30" s="2548" t="str">
        <f>IF(TITLE_DATE_PR_CHANGE="",IF(TITLE_DATE_PR="","",TITLE_DATE_PR),TITLE_DATE_PR_CHANGE)</f>
        <v>45645</v>
      </c>
      <c r="W30" s="2548"/>
      <c r="X30" s="2548"/>
      <c r="Y30" s="2548"/>
      <c r="Z30" s="2548"/>
      <c r="AA30" s="2548"/>
      <c r="AB30" s="2548"/>
      <c r="AC30" s="610"/>
      <c r="AD30" s="2548" t="str">
        <f>IF(TITLE_DATE_PR_CHANGE="",IF(TITLE_DATE_PR="","",TITLE_DATE_PR),TITLE_DATE_PR_CHANGE)</f>
        <v>45645</v>
      </c>
      <c r="AE30" s="2548"/>
      <c r="AF30" s="2548"/>
      <c r="AG30" s="2548"/>
      <c r="AH30" s="2548"/>
      <c r="AI30" s="2548"/>
      <c r="AJ30" s="2548"/>
      <c r="AK30" s="610"/>
      <c r="AL30" s="610"/>
      <c r="AM30" s="564"/>
      <c r="AN30" s="652"/>
      <c r="AO30" s="652"/>
      <c r="AP30" s="652"/>
      <c r="AQ30" s="652"/>
      <c r="AR30" s="652"/>
      <c r="AS30" s="702">
        <v>0</v>
      </c>
    </row>
    <row s="30764" customFormat="1" customHeight="1" ht="18.75">
      <c r="A31" s="1652"/>
      <c r="B31" s="1652"/>
      <c r="C31" s="1652"/>
      <c r="D31" s="1652"/>
      <c r="E31" s="1652"/>
      <c r="F31" s="1652"/>
      <c r="G31" s="1652"/>
      <c r="H31" s="1652"/>
      <c r="I31" s="1652"/>
      <c r="J31" s="1652"/>
      <c r="K31" s="1652"/>
      <c r="L31" s="1653"/>
      <c r="M31" s="1652"/>
      <c r="N31" s="1652"/>
      <c r="O31" s="1652"/>
      <c r="S31" s="2534" t="s">
        <v>481</v>
      </c>
      <c r="T31" s="2534"/>
      <c r="U31" s="1656"/>
      <c r="V31" s="2535" t="str">
        <f>IF(TITLE_NUMBER_PR_CHANGE="",IF(TITLE_NUMBER_PR="","",TITLE_NUMBER_PR),TITLE_NUMBER_PR_CHANGE)</f>
        <v>№ 40/8</v>
      </c>
      <c r="W31" s="2535"/>
      <c r="X31" s="2535"/>
      <c r="Y31" s="2535"/>
      <c r="Z31" s="2535"/>
      <c r="AA31" s="2535"/>
      <c r="AB31" s="2535"/>
      <c r="AC31" s="610"/>
      <c r="AD31" s="2535" t="str">
        <f>IF(TITLE_NUMBER_PR_CHANGE="",IF(TITLE_NUMBER_PR="","",TITLE_NUMBER_PR),TITLE_NUMBER_PR_CHANGE)</f>
        <v>№ 40/8</v>
      </c>
      <c r="AE31" s="2535"/>
      <c r="AF31" s="2535"/>
      <c r="AG31" s="2535"/>
      <c r="AH31" s="2535"/>
      <c r="AI31" s="2535"/>
      <c r="AJ31" s="2535"/>
      <c r="AK31" s="610"/>
      <c r="AL31" s="610"/>
      <c r="AM31" s="564"/>
      <c r="AN31" s="652"/>
      <c r="AO31" s="652"/>
      <c r="AP31" s="652"/>
      <c r="AQ31" s="652"/>
      <c r="AR31" s="652"/>
      <c r="AS31" s="702">
        <v>0</v>
      </c>
    </row>
    <row s="30764" customFormat="1" customHeight="1" ht="18.75">
      <c r="A32" s="1652"/>
      <c r="B32" s="1652"/>
      <c r="C32" s="1652"/>
      <c r="D32" s="1652"/>
      <c r="E32" s="1652"/>
      <c r="F32" s="1652"/>
      <c r="G32" s="1652"/>
      <c r="H32" s="1652"/>
      <c r="I32" s="1652"/>
      <c r="J32" s="1652"/>
      <c r="K32" s="1652"/>
      <c r="L32" s="1653"/>
      <c r="M32" s="1652"/>
      <c r="N32" s="1652"/>
      <c r="O32" s="1652"/>
      <c r="S32" s="2534" t="s">
        <v>44</v>
      </c>
      <c r="T32" s="2534"/>
      <c r="U32" s="1656"/>
      <c r="V32" s="2535" t="str">
        <f>IF(TITLE_IST_PUB_CHANGE="",IF(TITLE_IST_PUB="","",TITLE_IST_PUB),TITLE_IST_PUB_CHANGE)</f>
        <v>Официальный интернет - портал нормативных правовых актов Хабаровского края https://laws.khv.gov.ru/</v>
      </c>
      <c r="W32" s="2535"/>
      <c r="X32" s="2535"/>
      <c r="Y32" s="2535"/>
      <c r="Z32" s="2535"/>
      <c r="AA32" s="2535"/>
      <c r="AB32" s="2535"/>
      <c r="AC32" s="610"/>
      <c r="AD32" s="2535" t="str">
        <f>IF(TITLE_IST_PUB_CHANGE="",IF(TITLE_IST_PUB="","",TITLE_IST_PUB),TITLE_IST_PUB_CHANGE)</f>
        <v>Официальный интернет - портал нормативных правовых актов Хабаровского края https://laws.khv.gov.ru/</v>
      </c>
      <c r="AE32" s="2535"/>
      <c r="AF32" s="2535"/>
      <c r="AG32" s="2535"/>
      <c r="AH32" s="2535"/>
      <c r="AI32" s="2535"/>
      <c r="AJ32" s="2535"/>
      <c r="AK32" s="610"/>
      <c r="AL32" s="610"/>
      <c r="AM32" s="564"/>
      <c r="AN32" s="652"/>
      <c r="AO32" s="652"/>
      <c r="AP32" s="652"/>
      <c r="AQ32" s="652"/>
      <c r="AR32" s="652"/>
      <c r="AS32" s="702">
        <v>0</v>
      </c>
    </row>
    <row customHeight="1" ht="14.25" hidden="1">
      <c r="Q33" s="660"/>
      <c r="R33" s="660"/>
      <c r="S33" s="1559"/>
      <c r="T33" s="647"/>
      <c r="U33" s="647"/>
      <c r="V33" s="606"/>
      <c r="W33" s="606"/>
      <c r="X33" s="606"/>
      <c r="Y33" s="606"/>
      <c r="Z33" s="606"/>
      <c r="AA33" s="606"/>
      <c r="AB33" s="606"/>
      <c r="AC33" s="606"/>
      <c r="AD33" s="606"/>
      <c r="AE33" s="606"/>
      <c r="AF33" s="606"/>
      <c r="AG33" s="606"/>
      <c r="AH33" s="606"/>
      <c r="AI33" s="606"/>
      <c r="AJ33" s="606"/>
      <c r="AK33" s="606"/>
      <c r="AL33" s="793"/>
      <c r="AS33" s="1439">
        <v>0</v>
      </c>
    </row>
    <row s="30764" customFormat="1" customHeight="1" ht="18.75" hidden="1">
      <c r="A34" s="1652"/>
      <c r="B34" s="1652"/>
      <c r="C34" s="1652"/>
      <c r="D34" s="1652"/>
      <c r="E34" s="1652"/>
      <c r="F34" s="1652"/>
      <c r="G34" s="1652"/>
      <c r="H34" s="1652"/>
      <c r="I34" s="1652"/>
      <c r="J34" s="1652"/>
      <c r="K34" s="1652"/>
      <c r="L34" s="1653"/>
      <c r="M34" s="1652"/>
      <c r="N34" s="1652"/>
      <c r="O34" s="1652"/>
      <c r="S34" s="2534" t="s">
        <v>482</v>
      </c>
      <c r="T34" s="2534"/>
      <c r="U34" s="1656"/>
      <c r="V34" s="2548" t="str">
        <f>IF(TITLE_DATE_PR_CHANGE="",IF(TITLE_DATE_PR="","",TITLE_DATE_PR),TITLE_DATE_PR_CHANGE)</f>
        <v>45645</v>
      </c>
      <c r="W34" s="2548"/>
      <c r="X34" s="2548"/>
      <c r="Y34" s="2548"/>
      <c r="Z34" s="2548"/>
      <c r="AA34" s="2548"/>
      <c r="AB34" s="2548"/>
      <c r="AC34" s="610"/>
      <c r="AD34" s="2548" t="str">
        <f>IF(TITLE_DATE_PR_CHANGE="",IF(TITLE_DATE_PR="","",TITLE_DATE_PR),TITLE_DATE_PR_CHANGE)</f>
        <v>45645</v>
      </c>
      <c r="AE34" s="2548"/>
      <c r="AF34" s="2548"/>
      <c r="AG34" s="2548"/>
      <c r="AH34" s="2548"/>
      <c r="AI34" s="2548"/>
      <c r="AJ34" s="2548"/>
      <c r="AK34" s="610"/>
      <c r="AL34" s="610"/>
      <c r="AM34" s="564"/>
      <c r="AN34" s="652"/>
      <c r="AO34" s="652"/>
      <c r="AP34" s="652"/>
      <c r="AQ34" s="652"/>
      <c r="AR34" s="652"/>
      <c r="AS34" s="702">
        <v>0</v>
      </c>
    </row>
    <row s="30764" customFormat="1" customHeight="1" ht="18.75" hidden="1">
      <c r="A35" s="1652"/>
      <c r="B35" s="1652"/>
      <c r="C35" s="1652"/>
      <c r="D35" s="1652"/>
      <c r="E35" s="1652"/>
      <c r="F35" s="1652"/>
      <c r="G35" s="1652"/>
      <c r="H35" s="1652"/>
      <c r="I35" s="1652"/>
      <c r="J35" s="1652"/>
      <c r="K35" s="1652"/>
      <c r="L35" s="1653"/>
      <c r="M35" s="1652"/>
      <c r="N35" s="1652"/>
      <c r="O35" s="1652"/>
      <c r="S35" s="2534" t="s">
        <v>483</v>
      </c>
      <c r="T35" s="2534"/>
      <c r="U35" s="1656"/>
      <c r="V35" s="2535" t="str">
        <f>IF(TITLE_NUMBER_PR_CHANGE="",IF(TITLE_NUMBER_PR="","",TITLE_NUMBER_PR),TITLE_NUMBER_PR_CHANGE)</f>
        <v>№ 40/8</v>
      </c>
      <c r="W35" s="2535"/>
      <c r="X35" s="2535"/>
      <c r="Y35" s="2535"/>
      <c r="Z35" s="2535"/>
      <c r="AA35" s="2535"/>
      <c r="AB35" s="2535"/>
      <c r="AC35" s="610"/>
      <c r="AD35" s="2535" t="str">
        <f>IF(TITLE_NUMBER_PR_CHANGE="",IF(TITLE_NUMBER_PR="","",TITLE_NUMBER_PR),TITLE_NUMBER_PR_CHANGE)</f>
        <v>№ 40/8</v>
      </c>
      <c r="AE35" s="2535"/>
      <c r="AF35" s="2535"/>
      <c r="AG35" s="2535"/>
      <c r="AH35" s="2535"/>
      <c r="AI35" s="2535"/>
      <c r="AJ35" s="2535"/>
      <c r="AK35" s="610"/>
      <c r="AL35" s="610"/>
      <c r="AM35" s="564"/>
      <c r="AN35" s="652"/>
      <c r="AO35" s="652"/>
      <c r="AP35" s="652"/>
      <c r="AQ35" s="652"/>
      <c r="AR35" s="652"/>
      <c r="AS35" s="702">
        <v>0</v>
      </c>
    </row>
    <row s="30764" customFormat="1" customHeight="1" ht="0">
      <c r="A36" s="1652"/>
      <c r="B36" s="1652"/>
      <c r="C36" s="1652"/>
      <c r="D36" s="1652"/>
      <c r="E36" s="1652"/>
      <c r="F36" s="1652"/>
      <c r="G36" s="1652"/>
      <c r="H36" s="1652"/>
      <c r="I36" s="1652"/>
      <c r="J36" s="1652"/>
      <c r="K36" s="1652"/>
      <c r="L36" s="1653"/>
      <c r="M36" s="1652"/>
      <c r="N36" s="1652"/>
      <c r="O36" s="1652"/>
      <c r="S36" s="607"/>
      <c r="T36" s="607"/>
      <c r="U36" s="1624"/>
      <c r="V36" s="610"/>
      <c r="W36" s="610"/>
      <c r="X36" s="610"/>
      <c r="Y36" s="610"/>
      <c r="Z36" s="610"/>
      <c r="AA36" s="610"/>
      <c r="AB36" s="610"/>
      <c r="AC36" s="562" t="s">
        <v>484</v>
      </c>
      <c r="AD36" s="610"/>
      <c r="AE36" s="610"/>
      <c r="AF36" s="610"/>
      <c r="AG36" s="610"/>
      <c r="AH36" s="610"/>
      <c r="AI36" s="610"/>
      <c r="AJ36" s="610"/>
      <c r="AK36" s="562" t="s">
        <v>484</v>
      </c>
      <c r="AN36" s="652"/>
      <c r="AO36" s="652"/>
      <c r="AP36" s="652"/>
      <c r="AQ36" s="652"/>
      <c r="AR36" s="652"/>
      <c r="AS36" s="702">
        <v>0</v>
      </c>
    </row>
    <row customHeight="1" ht="14.699999999999998">
      <c r="Q37" s="660"/>
      <c r="R37" s="660"/>
      <c r="S37" s="1559"/>
      <c r="T37" s="647"/>
      <c r="U37" s="1528"/>
      <c r="V37" s="2536"/>
      <c r="W37" s="2536"/>
      <c r="X37" s="2536"/>
      <c r="Y37" s="2536"/>
      <c r="Z37" s="2536"/>
      <c r="AA37" s="2536"/>
      <c r="AB37" s="2536"/>
      <c r="AC37" s="2536"/>
      <c r="AD37" s="2536"/>
      <c r="AE37" s="2536"/>
      <c r="AF37" s="2536"/>
      <c r="AG37" s="2536"/>
      <c r="AH37" s="2536"/>
      <c r="AI37" s="2536"/>
      <c r="AJ37" s="2536"/>
      <c r="AK37" s="2536"/>
      <c r="AS37" s="1439">
        <v>14</v>
      </c>
    </row>
    <row customHeight="1" ht="14.699999999999998">
      <c r="Q38" s="660"/>
      <c r="R38" s="660"/>
      <c r="S38" s="2411" t="s">
        <v>360</v>
      </c>
      <c r="T38" s="2411"/>
      <c r="U38" s="2411"/>
      <c r="V38" s="2411"/>
      <c r="W38" s="2411"/>
      <c r="X38" s="2411"/>
      <c r="Y38" s="2411"/>
      <c r="Z38" s="2411"/>
      <c r="AA38" s="2411"/>
      <c r="AB38" s="2411"/>
      <c r="AC38" s="2411"/>
      <c r="AD38" s="2411"/>
      <c r="AE38" s="2411"/>
      <c r="AF38" s="2411"/>
      <c r="AG38" s="2411"/>
      <c r="AH38" s="2411"/>
      <c r="AI38" s="2411"/>
      <c r="AJ38" s="2411"/>
      <c r="AK38" s="2411"/>
      <c r="AL38" s="2411"/>
      <c r="AM38" s="2411" t="s">
        <v>361</v>
      </c>
      <c r="AS38" s="1439">
        <v>14</v>
      </c>
    </row>
    <row customHeight="1" ht="14.699999999999998">
      <c r="Q39" s="660"/>
      <c r="R39" s="660"/>
      <c r="S39" s="2557" t="s">
        <v>91</v>
      </c>
      <c r="T39" s="2493" t="s">
        <v>485</v>
      </c>
      <c r="U39" s="585"/>
      <c r="V39" s="2558" t="s">
        <v>486</v>
      </c>
      <c r="W39" s="2559"/>
      <c r="X39" s="2559"/>
      <c r="Y39" s="2559"/>
      <c r="Z39" s="2559"/>
      <c r="AA39" s="2559"/>
      <c r="AB39" s="2560"/>
      <c r="AC39" s="2561" t="s">
        <v>487</v>
      </c>
      <c r="AD39" s="2558" t="s">
        <v>486</v>
      </c>
      <c r="AE39" s="2559"/>
      <c r="AF39" s="2559"/>
      <c r="AG39" s="2559"/>
      <c r="AH39" s="2559"/>
      <c r="AI39" s="2559"/>
      <c r="AJ39" s="2560"/>
      <c r="AK39" s="2561" t="s">
        <v>488</v>
      </c>
      <c r="AL39" s="2564" t="s">
        <v>489</v>
      </c>
      <c r="AM39" s="2411"/>
      <c r="AS39" s="1439">
        <v>14</v>
      </c>
    </row>
    <row customHeight="1" ht="35.699999999999996">
      <c r="Q40" s="660"/>
      <c r="R40" s="660"/>
      <c r="S40" s="2557"/>
      <c r="T40" s="2493"/>
      <c r="U40" s="1315"/>
      <c r="V40" s="2544" t="s">
        <v>490</v>
      </c>
      <c r="W40" s="2567" t="s">
        <v>491</v>
      </c>
      <c r="X40" s="2546" t="s">
        <v>492</v>
      </c>
      <c r="Y40" s="2547"/>
      <c r="Z40" s="2546" t="s">
        <v>505</v>
      </c>
      <c r="AA40" s="2553"/>
      <c r="AB40" s="2547"/>
      <c r="AC40" s="2562"/>
      <c r="AD40" s="2544" t="s">
        <v>490</v>
      </c>
      <c r="AE40" s="2567" t="s">
        <v>491</v>
      </c>
      <c r="AF40" s="2546" t="s">
        <v>492</v>
      </c>
      <c r="AG40" s="2547"/>
      <c r="AH40" s="2546" t="s">
        <v>493</v>
      </c>
      <c r="AI40" s="2553"/>
      <c r="AJ40" s="2547"/>
      <c r="AK40" s="2562"/>
      <c r="AL40" s="2565"/>
      <c r="AM40" s="2411"/>
      <c r="AS40" s="1439">
        <v>34</v>
      </c>
    </row>
    <row customHeight="1" ht="35.699999999999996">
      <c r="A41" s="1654"/>
      <c r="B41" s="1654" t="s">
        <v>165</v>
      </c>
      <c r="C41" s="1654" t="s">
        <v>166</v>
      </c>
      <c r="D41" s="1654" t="s">
        <v>167</v>
      </c>
      <c r="E41" s="1648" t="s">
        <v>494</v>
      </c>
      <c r="F41" s="1648" t="s">
        <v>495</v>
      </c>
      <c r="G41" s="1648" t="s">
        <v>496</v>
      </c>
      <c r="H41" s="1648" t="s">
        <v>497</v>
      </c>
      <c r="I41" s="1648" t="s">
        <v>498</v>
      </c>
      <c r="J41" s="1648" t="s">
        <v>499</v>
      </c>
      <c r="K41" s="1648" t="s">
        <v>500</v>
      </c>
      <c r="L41" s="1648" t="s">
        <v>475</v>
      </c>
      <c r="Q41" s="660"/>
      <c r="R41" s="660"/>
      <c r="S41" s="2557"/>
      <c r="T41" s="2493"/>
      <c r="U41" s="586"/>
      <c r="V41" s="2545"/>
      <c r="W41" s="2568"/>
      <c r="X41" s="1506" t="s">
        <v>501</v>
      </c>
      <c r="Y41" s="1506" t="s">
        <v>502</v>
      </c>
      <c r="Z41" s="1622" t="s">
        <v>503</v>
      </c>
      <c r="AA41" s="2554" t="s">
        <v>504</v>
      </c>
      <c r="AB41" s="2555"/>
      <c r="AC41" s="2563"/>
      <c r="AD41" s="2545"/>
      <c r="AE41" s="2568"/>
      <c r="AF41" s="1506" t="s">
        <v>501</v>
      </c>
      <c r="AG41" s="1506" t="s">
        <v>502</v>
      </c>
      <c r="AH41" s="1622" t="s">
        <v>503</v>
      </c>
      <c r="AI41" s="2554" t="s">
        <v>504</v>
      </c>
      <c r="AJ41" s="2555"/>
      <c r="AK41" s="2563"/>
      <c r="AL41" s="2566"/>
      <c r="AM41" s="2411"/>
      <c r="AS41" s="1439">
        <v>34</v>
      </c>
    </row>
    <row s="31261" customFormat="1" customHeight="1" ht="11.25" hidden="1">
      <c r="A42" s="1654"/>
      <c r="B42" s="1654"/>
      <c r="C42" s="1654"/>
      <c r="D42" s="1654"/>
      <c r="E42" s="1654"/>
      <c r="F42" s="1654"/>
      <c r="G42" s="1654"/>
      <c r="H42" s="1654"/>
      <c r="I42" s="1654"/>
      <c r="J42" s="1654"/>
      <c r="K42" s="1654"/>
      <c r="L42" s="1648"/>
      <c r="M42" s="1646"/>
      <c r="N42" s="1646"/>
      <c r="O42" s="1646"/>
      <c r="P42" s="1530"/>
      <c r="Q42" s="1531"/>
      <c r="R42" s="1538">
        <v>1</v>
      </c>
      <c r="S42" s="1561" t="s">
        <v>141</v>
      </c>
      <c r="T42" s="1539" t="s">
        <v>105</v>
      </c>
      <c r="U42" s="1529" t="str">
        <f>OFFSET(U42,0,-1)</f>
        <v>2</v>
      </c>
      <c r="V42" s="1619">
        <f>OFFSET(V42,0,-1)+1</f>
        <v>3</v>
      </c>
      <c r="W42" s="1619"/>
      <c r="X42" s="1619">
        <f>OFFSET(X42,0,-1)+1</f>
        <v>1</v>
      </c>
      <c r="Y42" s="1619">
        <f>OFFSET(Y42,0,-1)+1</f>
        <v>2</v>
      </c>
      <c r="Z42" s="1619">
        <f>OFFSET(Z42,0,-1)+1</f>
        <v>3</v>
      </c>
      <c r="AA42" s="2556">
        <f>OFFSET(AA42,0,-1)+1</f>
        <v>4</v>
      </c>
      <c r="AB42" s="2556"/>
      <c r="AC42" s="1619">
        <f>OFFSET(AC42,0,-2)+1</f>
        <v>5</v>
      </c>
      <c r="AD42" s="1619">
        <f>OFFSET(AD42,0,-1)+1</f>
        <v>6</v>
      </c>
      <c r="AE42" s="1619"/>
      <c r="AF42" s="1619">
        <f>OFFSET(AF42,0,-1)+1</f>
        <v>1</v>
      </c>
      <c r="AG42" s="1619">
        <f>OFFSET(AG42,0,-1)+1</f>
        <v>2</v>
      </c>
      <c r="AH42" s="1619">
        <f>OFFSET(AH42,0,-1)+1</f>
        <v>3</v>
      </c>
      <c r="AI42" s="2556">
        <f>OFFSET(AI42,0,-1)+1</f>
        <v>4</v>
      </c>
      <c r="AJ42" s="2556"/>
      <c r="AK42" s="1619">
        <f>OFFSET(AK42,0,-2)+1</f>
        <v>5</v>
      </c>
      <c r="AL42" s="1529">
        <f>OFFSET(AL42,0,-1)</f>
        <v>5</v>
      </c>
      <c r="AM42" s="1619">
        <f>OFFSET(AM42,0,-1)+1</f>
        <v>6</v>
      </c>
      <c r="AN42" s="795"/>
      <c r="AO42" s="795"/>
      <c r="AP42" s="795"/>
      <c r="AQ42" s="795"/>
      <c r="AR42" s="795"/>
      <c r="AS42" s="780">
        <v>0</v>
      </c>
    </row>
    <row customHeight="1" ht="22.049999999999997">
      <c r="A43" s="1647" t="s">
        <v>192</v>
      </c>
      <c r="B43" s="1647"/>
      <c r="C43" s="1647"/>
      <c r="D43" s="1647"/>
      <c r="E43" s="2542">
        <v>1</v>
      </c>
      <c r="F43" s="1647"/>
      <c r="G43" s="1647"/>
      <c r="H43" s="1647"/>
      <c r="I43" s="1647"/>
      <c r="J43" s="1647"/>
      <c r="K43" s="1647"/>
      <c r="L43" s="1648"/>
      <c r="M43" s="1649"/>
      <c r="N43" s="1649"/>
      <c r="O43" s="1649"/>
      <c r="P43" s="645"/>
      <c r="Q43" s="644"/>
      <c r="R43" s="639"/>
      <c r="S43" s="1620">
        <f>INDEX(PT_DIFFERENTIATION_NUM_NTAR,MATCH(A43,PT_DIFFERENTIATION_NTAR_ID,0))</f>
        <v>0</v>
      </c>
      <c r="T43" s="582" t="s">
        <v>153</v>
      </c>
      <c r="U43" s="584"/>
      <c r="V43" s="2526"/>
      <c r="W43" s="2527"/>
      <c r="X43" s="2527"/>
      <c r="Y43" s="2527"/>
      <c r="Z43" s="2527"/>
      <c r="AA43" s="2527"/>
      <c r="AB43" s="2527"/>
      <c r="AC43" s="2528"/>
      <c r="AD43" s="2526" t="str">
        <f>INDEX(PT_DIFFERENTIATION_NTAR,MATCH(A43,PT_DIFFERENTIATION_NTAR_ID,0))</f>
        <v/>
      </c>
      <c r="AE43" s="2527"/>
      <c r="AF43" s="2527"/>
      <c r="AG43" s="2527"/>
      <c r="AH43" s="2527"/>
      <c r="AI43" s="2527"/>
      <c r="AJ43" s="2527"/>
      <c r="AK43" s="2527"/>
      <c r="AL43" s="2528"/>
      <c r="AM43" s="154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784"/>
      <c r="AP43" s="784" t="str">
        <f>IF(T43="","",T43)</f>
        <v>Наименование тарифа</v>
      </c>
      <c r="AQ43" s="784"/>
      <c r="AR43" s="784"/>
      <c r="AS43" s="1439">
        <v>21</v>
      </c>
    </row>
    <row customHeight="1" ht="22.049999999999997">
      <c r="A44" s="1647" t="s">
        <v>192</v>
      </c>
      <c r="B44" s="1647" t="s">
        <v>193</v>
      </c>
      <c r="C44" s="1647"/>
      <c r="D44" s="1647"/>
      <c r="E44" s="2543"/>
      <c r="F44" s="2542">
        <v>1</v>
      </c>
      <c r="G44" s="1647"/>
      <c r="H44" s="1647"/>
      <c r="I44" s="1647"/>
      <c r="J44" s="1647"/>
      <c r="K44" s="1647"/>
      <c r="L44" s="1648"/>
      <c r="M44" s="1649"/>
      <c r="N44" s="1649"/>
      <c r="O44" s="1649"/>
      <c r="P44" s="1616"/>
      <c r="Q44" s="636"/>
      <c r="R44" s="637"/>
      <c r="S44" s="1620" t="str">
        <f>INDEX(PT_DIFFERENTIATION_NUM_TER,MATCH(B44,PT_DIFFERENTIATION_TER_ID,0))</f>
        <v>.</v>
      </c>
      <c r="T44" s="592" t="s">
        <v>457</v>
      </c>
      <c r="U44" s="584"/>
      <c r="V44" s="2526"/>
      <c r="W44" s="2527"/>
      <c r="X44" s="2527"/>
      <c r="Y44" s="2527"/>
      <c r="Z44" s="2527"/>
      <c r="AA44" s="2527"/>
      <c r="AB44" s="2527"/>
      <c r="AC44" s="2528"/>
      <c r="AD44" s="2526" t="str">
        <f>INDEX(PT_DIFFERENTIATION_TER,MATCH(B44,PT_DIFFERENTIATION_TER_ID,0))</f>
        <v/>
      </c>
      <c r="AE44" s="2527"/>
      <c r="AF44" s="2527"/>
      <c r="AG44" s="2527"/>
      <c r="AH44" s="2527"/>
      <c r="AI44" s="2527"/>
      <c r="AJ44" s="2527"/>
      <c r="AK44" s="2527"/>
      <c r="AL44" s="2528"/>
      <c r="AM44" s="1542" t="s">
        <v>458</v>
      </c>
      <c r="AO44" s="784"/>
      <c r="AP44" s="784" t="str">
        <f>IF(T44="","",T44)</f>
        <v>Территория действия тарифа</v>
      </c>
      <c r="AQ44" s="784"/>
      <c r="AR44" s="784"/>
      <c r="AS44" s="1439">
        <v>21</v>
      </c>
    </row>
    <row customHeight="1" ht="24">
      <c r="A45" s="1647" t="s">
        <v>192</v>
      </c>
      <c r="B45" s="1647" t="s">
        <v>193</v>
      </c>
      <c r="C45" s="1647" t="s">
        <v>194</v>
      </c>
      <c r="D45" s="1647"/>
      <c r="E45" s="2543"/>
      <c r="F45" s="2543"/>
      <c r="G45" s="2542">
        <v>1</v>
      </c>
      <c r="H45" s="1647"/>
      <c r="I45" s="1647"/>
      <c r="J45" s="1647"/>
      <c r="K45" s="1647"/>
      <c r="L45" s="1648"/>
      <c r="M45" s="1649"/>
      <c r="N45" s="1649"/>
      <c r="O45" s="1649"/>
      <c r="P45" s="638"/>
      <c r="Q45" s="636"/>
      <c r="R45" s="637"/>
      <c r="S45" s="1620" t="str">
        <f>INDEX(PT_DIFFERENTIATION_NUM_CS,MATCH(C45,PT_DIFFERENTIATION_CS_ID,0))</f>
        <v>..</v>
      </c>
      <c r="T45" s="593" t="s">
        <v>459</v>
      </c>
      <c r="U45" s="584"/>
      <c r="V45" s="2526"/>
      <c r="W45" s="2527"/>
      <c r="X45" s="2527"/>
      <c r="Y45" s="2527"/>
      <c r="Z45" s="2527"/>
      <c r="AA45" s="2527"/>
      <c r="AB45" s="2527"/>
      <c r="AC45" s="2528"/>
      <c r="AD45" s="2526" t="str">
        <f>INDEX(PT_DIFFERENTIATION_CS,MATCH(C45,PT_DIFFERENTIATION_CS_ID,0))</f>
        <v/>
      </c>
      <c r="AE45" s="2527"/>
      <c r="AF45" s="2527"/>
      <c r="AG45" s="2527"/>
      <c r="AH45" s="2527"/>
      <c r="AI45" s="2527"/>
      <c r="AJ45" s="2527"/>
      <c r="AK45" s="2527"/>
      <c r="AL45" s="2528"/>
      <c r="AM45" s="1542" t="s">
        <v>460</v>
      </c>
      <c r="AO45" s="784"/>
      <c r="AP45" s="784" t="str">
        <f>IF(T45="","",T45)</f>
        <v>Наименование системы теплоснабжения </v>
      </c>
      <c r="AQ45" s="784"/>
      <c r="AR45" s="784"/>
      <c r="AS45" s="1439">
        <v>23</v>
      </c>
    </row>
    <row customHeight="1" ht="22.049999999999997">
      <c r="A46" s="1647" t="s">
        <v>192</v>
      </c>
      <c r="B46" s="1647" t="s">
        <v>193</v>
      </c>
      <c r="C46" s="1647" t="s">
        <v>194</v>
      </c>
      <c r="D46" s="1647" t="s">
        <v>195</v>
      </c>
      <c r="E46" s="2543"/>
      <c r="F46" s="2543"/>
      <c r="G46" s="2543"/>
      <c r="H46" s="2542">
        <v>1</v>
      </c>
      <c r="I46" s="1647"/>
      <c r="J46" s="1647"/>
      <c r="K46" s="1647"/>
      <c r="L46" s="1648"/>
      <c r="M46" s="1649"/>
      <c r="N46" s="1649"/>
      <c r="O46" s="1649"/>
      <c r="P46" s="638"/>
      <c r="Q46" s="636"/>
      <c r="R46" s="637"/>
      <c r="S46" s="1620" t="str">
        <f>INDEX(PT_DIFFERENTIATION_NUM_IST_TE,MATCH(D46,PT_DIFFERENTIATION_IST_TE_ID,0))</f>
        <v>...</v>
      </c>
      <c r="T46" s="594" t="s">
        <v>461</v>
      </c>
      <c r="U46" s="584"/>
      <c r="V46" s="2526"/>
      <c r="W46" s="2527"/>
      <c r="X46" s="2527"/>
      <c r="Y46" s="2527"/>
      <c r="Z46" s="2527"/>
      <c r="AA46" s="2527"/>
      <c r="AB46" s="2527"/>
      <c r="AC46" s="2528"/>
      <c r="AD46" s="2526" t="str">
        <f>INDEX(PT_DIFFERENTIATION_IST_TE,MATCH(D46,PT_DIFFERENTIATION_IST_TE_ID,0))</f>
        <v/>
      </c>
      <c r="AE46" s="2527"/>
      <c r="AF46" s="2527"/>
      <c r="AG46" s="2527"/>
      <c r="AH46" s="2527"/>
      <c r="AI46" s="2527"/>
      <c r="AJ46" s="2527"/>
      <c r="AK46" s="2527"/>
      <c r="AL46" s="2528"/>
      <c r="AM46" s="1542" t="s">
        <v>462</v>
      </c>
      <c r="AO46" s="784"/>
      <c r="AP46" s="784" t="str">
        <f>IF(T46="","",T46)</f>
        <v>Источник тепловой энергии  </v>
      </c>
      <c r="AQ46" s="784"/>
      <c r="AR46" s="784"/>
      <c r="AS46" s="1439">
        <v>21</v>
      </c>
    </row>
    <row customHeight="1" ht="49.5">
      <c r="A47" s="1647" t="s">
        <v>192</v>
      </c>
      <c r="B47" s="1647" t="s">
        <v>193</v>
      </c>
      <c r="C47" s="1647" t="s">
        <v>194</v>
      </c>
      <c r="D47" s="1647" t="s">
        <v>195</v>
      </c>
      <c r="E47" s="2543"/>
      <c r="F47" s="2543"/>
      <c r="G47" s="2543"/>
      <c r="H47" s="2543"/>
      <c r="I47" s="2540" t="str">
        <f>S46&amp;".1"</f>
        <v>....1</v>
      </c>
      <c r="J47" s="1647"/>
      <c r="K47" s="1647"/>
      <c r="L47" s="1648" t="s">
        <v>463</v>
      </c>
      <c r="P47" s="2541">
        <v>1</v>
      </c>
      <c r="Q47" s="1615"/>
      <c r="R47" s="640"/>
      <c r="S47" s="1620" t="str">
        <f>$I47</f>
        <v>....1</v>
      </c>
      <c r="T47" s="569" t="s">
        <v>464</v>
      </c>
      <c r="U47" s="584"/>
      <c r="V47" s="2529"/>
      <c r="W47" s="2530"/>
      <c r="X47" s="2530"/>
      <c r="Y47" s="2530"/>
      <c r="Z47" s="2530"/>
      <c r="AA47" s="2530"/>
      <c r="AB47" s="2530"/>
      <c r="AC47" s="2531"/>
      <c r="AD47" s="2529"/>
      <c r="AE47" s="2530"/>
      <c r="AF47" s="2530"/>
      <c r="AG47" s="2530"/>
      <c r="AH47" s="2530"/>
      <c r="AI47" s="2530"/>
      <c r="AJ47" s="2530"/>
      <c r="AK47" s="2530"/>
      <c r="AL47" s="2531"/>
      <c r="AM47" s="1542" t="s">
        <v>465</v>
      </c>
      <c r="AO47" s="784"/>
      <c r="AP47" s="784" t="str">
        <f>IF(T47="","",T47)</f>
        <v>Схема подключения теплопотребляющей установки к коллектору источника тепловой энергии</v>
      </c>
      <c r="AQ47" s="784"/>
      <c r="AR47" s="784"/>
      <c r="AS47" s="1439">
        <v>47</v>
      </c>
    </row>
    <row customHeight="1" ht="22.049999999999997">
      <c r="A48" s="1647" t="s">
        <v>192</v>
      </c>
      <c r="B48" s="1647" t="s">
        <v>193</v>
      </c>
      <c r="C48" s="1647" t="s">
        <v>194</v>
      </c>
      <c r="D48" s="1647" t="s">
        <v>195</v>
      </c>
      <c r="E48" s="2543"/>
      <c r="F48" s="2543"/>
      <c r="G48" s="2543"/>
      <c r="H48" s="2543"/>
      <c r="I48" s="2570"/>
      <c r="J48" s="2540" t="str">
        <f>I47&amp;".1"</f>
        <v>....1.1</v>
      </c>
      <c r="K48" s="1647"/>
      <c r="L48" s="1648" t="s">
        <v>466</v>
      </c>
      <c r="P48" s="2541"/>
      <c r="Q48" s="2541">
        <v>1</v>
      </c>
      <c r="R48" s="641"/>
      <c r="S48" s="1620" t="str">
        <f>$J48</f>
        <v>....1.1</v>
      </c>
      <c r="T48" s="570" t="s">
        <v>467</v>
      </c>
      <c r="U48" s="584"/>
      <c r="V48" s="2529"/>
      <c r="W48" s="2530"/>
      <c r="X48" s="2530"/>
      <c r="Y48" s="2530"/>
      <c r="Z48" s="2530"/>
      <c r="AA48" s="2530"/>
      <c r="AB48" s="2530"/>
      <c r="AC48" s="2531"/>
      <c r="AD48" s="2529"/>
      <c r="AE48" s="2530"/>
      <c r="AF48" s="2530"/>
      <c r="AG48" s="2530"/>
      <c r="AH48" s="2530"/>
      <c r="AI48" s="2530"/>
      <c r="AJ48" s="2530"/>
      <c r="AK48" s="2530"/>
      <c r="AL48" s="2531"/>
      <c r="AM48" s="1542" t="s">
        <v>468</v>
      </c>
      <c r="AO48" s="784"/>
      <c r="AP48" s="784" t="str">
        <f>IF(T48="","",T48)</f>
        <v>Группа потребителей</v>
      </c>
      <c r="AQ48" s="784"/>
      <c r="AR48" s="784"/>
      <c r="AS48" s="1439">
        <v>21</v>
      </c>
    </row>
    <row customHeight="1" ht="22.049999999999997">
      <c r="A49" s="1647" t="s">
        <v>192</v>
      </c>
      <c r="B49" s="1647" t="s">
        <v>193</v>
      </c>
      <c r="C49" s="1647" t="s">
        <v>194</v>
      </c>
      <c r="D49" s="1647" t="s">
        <v>195</v>
      </c>
      <c r="E49" s="2543"/>
      <c r="F49" s="2543"/>
      <c r="G49" s="2543"/>
      <c r="H49" s="2543"/>
      <c r="I49" s="2570"/>
      <c r="J49" s="2570"/>
      <c r="K49" s="2540" t="str">
        <f>J48&amp;".1"</f>
        <v>....1.1.1</v>
      </c>
      <c r="L49" s="1648" t="s">
        <v>469</v>
      </c>
      <c r="P49" s="2541"/>
      <c r="Q49" s="2541"/>
      <c r="R49" s="641">
        <v>1</v>
      </c>
      <c r="S49" s="1620" t="str">
        <f>$K49</f>
        <v>....1.1.1</v>
      </c>
      <c r="T49" s="1631"/>
      <c r="U49" s="584"/>
      <c r="V49" s="1035"/>
      <c r="W49" s="609"/>
      <c r="X49" s="1035"/>
      <c r="Y49" s="1541"/>
      <c r="Z49" s="2549"/>
      <c r="AA49" s="2391" t="s">
        <v>64</v>
      </c>
      <c r="AB49" s="2549"/>
      <c r="AC49" s="2391" t="s">
        <v>64</v>
      </c>
      <c r="AD49" s="1035"/>
      <c r="AE49" s="609"/>
      <c r="AF49" s="1035"/>
      <c r="AG49" s="1541"/>
      <c r="AH49" s="2549"/>
      <c r="AI49" s="2391" t="s">
        <v>64</v>
      </c>
      <c r="AJ49" s="2571"/>
      <c r="AK49" s="2391" t="s">
        <v>64</v>
      </c>
      <c r="AL49" s="1632"/>
      <c r="AM49" s="2537" t="s">
        <v>470</v>
      </c>
      <c r="AN49" s="795">
        <f>STRCHECKDATE(V50:AL50)</f>
      </c>
      <c r="AO49" s="784"/>
      <c r="AP49" s="784" t="str">
        <f>IF(T49="","",T49)</f>
        <v/>
      </c>
      <c r="AQ49" s="784"/>
      <c r="AR49" s="784"/>
      <c r="AS49" s="1439">
        <v>21</v>
      </c>
    </row>
    <row customHeight="1" ht="1.05">
      <c r="A50" s="1647" t="s">
        <v>192</v>
      </c>
      <c r="B50" s="1647" t="s">
        <v>193</v>
      </c>
      <c r="C50" s="1647" t="s">
        <v>194</v>
      </c>
      <c r="D50" s="1647" t="s">
        <v>195</v>
      </c>
      <c r="E50" s="2543"/>
      <c r="F50" s="2543"/>
      <c r="G50" s="2543"/>
      <c r="H50" s="2543"/>
      <c r="I50" s="2570"/>
      <c r="J50" s="2570"/>
      <c r="K50" s="2540"/>
      <c r="L50" s="1648"/>
      <c r="P50" s="2541"/>
      <c r="Q50" s="2541"/>
      <c r="R50" s="641"/>
      <c r="S50" s="1626"/>
      <c r="T50" s="584"/>
      <c r="U50" s="584"/>
      <c r="V50" s="609"/>
      <c r="W50" s="609"/>
      <c r="X50" s="609"/>
      <c r="Y50" s="612" t="str">
        <f>Z49&amp;"-"&amp;AB49</f>
        <v>-</v>
      </c>
      <c r="Z50" s="2550"/>
      <c r="AA50" s="2391"/>
      <c r="AB50" s="2550"/>
      <c r="AC50" s="2391"/>
      <c r="AD50" s="609"/>
      <c r="AE50" s="609"/>
      <c r="AF50" s="609"/>
      <c r="AG50" s="612" t="str">
        <f>AH49&amp;"-"&amp;AJ49</f>
        <v>-</v>
      </c>
      <c r="AH50" s="2550"/>
      <c r="AI50" s="2391"/>
      <c r="AJ50" s="2572"/>
      <c r="AK50" s="2391"/>
      <c r="AL50" s="1633"/>
      <c r="AM50" s="2538"/>
      <c r="AO50" s="784"/>
      <c r="AP50" s="784" t="str">
        <f>IF(T50="","",T50)</f>
        <v/>
      </c>
      <c r="AQ50" s="784"/>
      <c r="AR50" s="784"/>
      <c r="AS50" s="1439">
        <v>1</v>
      </c>
    </row>
    <row customHeight="1" ht="11.549999999999999">
      <c r="A51" s="1647" t="s">
        <v>192</v>
      </c>
      <c r="B51" s="1647" t="s">
        <v>193</v>
      </c>
      <c r="C51" s="1647" t="s">
        <v>194</v>
      </c>
      <c r="D51" s="1647" t="s">
        <v>195</v>
      </c>
      <c r="E51" s="2543"/>
      <c r="F51" s="2543"/>
      <c r="G51" s="2543"/>
      <c r="H51" s="2543"/>
      <c r="I51" s="2570"/>
      <c r="J51" s="2540"/>
      <c r="K51" s="1647"/>
      <c r="L51" s="1648"/>
      <c r="P51" s="2541"/>
      <c r="Q51" s="2541"/>
      <c r="R51" s="640"/>
      <c r="S51" s="1562"/>
      <c r="T51" s="572" t="s">
        <v>471</v>
      </c>
      <c r="U51" s="651"/>
      <c r="V51" s="651"/>
      <c r="W51" s="651"/>
      <c r="X51" s="651"/>
      <c r="Y51" s="651"/>
      <c r="Z51" s="651"/>
      <c r="AA51" s="651"/>
      <c r="AB51" s="651"/>
      <c r="AC51" s="651"/>
      <c r="AD51" s="651"/>
      <c r="AE51" s="651"/>
      <c r="AF51" s="651"/>
      <c r="AG51" s="651"/>
      <c r="AH51" s="651"/>
      <c r="AI51" s="651"/>
      <c r="AJ51" s="651"/>
      <c r="AK51" s="651"/>
      <c r="AL51" s="608"/>
      <c r="AM51" s="2539"/>
      <c r="AO51" s="784"/>
      <c r="AP51" s="784" t="str">
        <f>IF(T51="","",T51)</f>
        <v>Добавить вид теплоносителя (параметры теплоносителя)</v>
      </c>
      <c r="AQ51" s="784"/>
      <c r="AR51" s="784"/>
      <c r="AS51" s="1439">
        <v>11</v>
      </c>
    </row>
    <row customHeight="1" ht="11.549999999999999">
      <c r="A52" s="1647" t="s">
        <v>192</v>
      </c>
      <c r="B52" s="1647" t="s">
        <v>193</v>
      </c>
      <c r="C52" s="1647" t="s">
        <v>194</v>
      </c>
      <c r="D52" s="1647" t="s">
        <v>195</v>
      </c>
      <c r="E52" s="2543"/>
      <c r="F52" s="2543"/>
      <c r="G52" s="2543"/>
      <c r="H52" s="2543"/>
      <c r="I52" s="2540"/>
      <c r="J52" s="1647"/>
      <c r="K52" s="1647"/>
      <c r="L52" s="1648"/>
      <c r="P52" s="2541"/>
      <c r="Q52" s="1615"/>
      <c r="R52" s="640"/>
      <c r="S52" s="1562"/>
      <c r="T52" s="571" t="s">
        <v>472</v>
      </c>
      <c r="U52" s="651"/>
      <c r="V52" s="651"/>
      <c r="W52" s="651"/>
      <c r="X52" s="651"/>
      <c r="Y52" s="651"/>
      <c r="Z52" s="651"/>
      <c r="AA52" s="651"/>
      <c r="AB52" s="651"/>
      <c r="AC52" s="650"/>
      <c r="AD52" s="651"/>
      <c r="AE52" s="651"/>
      <c r="AF52" s="651"/>
      <c r="AG52" s="651"/>
      <c r="AH52" s="651"/>
      <c r="AI52" s="651"/>
      <c r="AJ52" s="651"/>
      <c r="AK52" s="650"/>
      <c r="AL52" s="651"/>
      <c r="AM52" s="587"/>
      <c r="AO52" s="784"/>
      <c r="AP52" s="784" t="str">
        <f>IF(T52="","",T52)</f>
        <v>Добавить группу потребителей</v>
      </c>
      <c r="AQ52" s="784"/>
      <c r="AR52" s="784"/>
      <c r="AS52" s="1439">
        <v>11</v>
      </c>
    </row>
    <row customHeight="1" ht="14.699999999999998">
      <c r="A53" s="1647" t="s">
        <v>192</v>
      </c>
      <c r="B53" s="1647" t="s">
        <v>193</v>
      </c>
      <c r="C53" s="1647" t="s">
        <v>194</v>
      </c>
      <c r="D53" s="1647" t="s">
        <v>195</v>
      </c>
      <c r="E53" s="2543"/>
      <c r="F53" s="2543"/>
      <c r="G53" s="2543"/>
      <c r="H53" s="2542"/>
      <c r="I53" s="1647"/>
      <c r="J53" s="1647"/>
      <c r="K53" s="1647"/>
      <c r="L53" s="1648"/>
      <c r="M53" s="1649"/>
      <c r="N53" s="1649"/>
      <c r="O53" s="821"/>
      <c r="P53" s="644"/>
      <c r="Q53" s="659"/>
      <c r="R53" s="639"/>
      <c r="S53" s="1562"/>
      <c r="T53" s="649" t="s">
        <v>473</v>
      </c>
      <c r="U53" s="651"/>
      <c r="V53" s="651"/>
      <c r="W53" s="651"/>
      <c r="X53" s="651"/>
      <c r="Y53" s="651"/>
      <c r="Z53" s="651"/>
      <c r="AA53" s="651"/>
      <c r="AB53" s="651"/>
      <c r="AC53" s="650"/>
      <c r="AD53" s="651"/>
      <c r="AE53" s="651"/>
      <c r="AF53" s="651"/>
      <c r="AG53" s="651"/>
      <c r="AH53" s="651"/>
      <c r="AI53" s="651"/>
      <c r="AJ53" s="651"/>
      <c r="AK53" s="650"/>
      <c r="AL53" s="651"/>
      <c r="AM53" s="587"/>
      <c r="AO53" s="784"/>
      <c r="AP53" s="784" t="str">
        <f>IF(T53="","",T53)</f>
        <v>Добавить схему подключения</v>
      </c>
      <c r="AQ53" s="784"/>
      <c r="AR53" s="784"/>
      <c r="AS53" s="1439">
        <v>14</v>
      </c>
    </row>
    <row s="30621" customFormat="1" customHeight="1" ht="1.05">
      <c r="A54" s="1627" t="s">
        <v>192</v>
      </c>
      <c r="B54" s="1627" t="s">
        <v>193</v>
      </c>
      <c r="C54" s="1627" t="s">
        <v>194</v>
      </c>
      <c r="D54" s="1598"/>
      <c r="E54" s="2543"/>
      <c r="F54" s="2543"/>
      <c r="G54" s="2542"/>
      <c r="H54" s="1598"/>
      <c r="I54" s="1598"/>
      <c r="J54" s="1598"/>
      <c r="K54" s="1598"/>
      <c r="L54" s="1623"/>
      <c r="M54" s="1599"/>
      <c r="N54" s="1599"/>
      <c r="P54" s="1600"/>
      <c r="Q54" s="1601"/>
      <c r="R54" s="1600"/>
      <c r="S54" s="1606"/>
      <c r="T54" s="1609" t="s">
        <v>213</v>
      </c>
      <c r="U54" s="1608"/>
      <c r="V54" s="1608"/>
      <c r="W54" s="1608"/>
      <c r="X54" s="1608"/>
      <c r="Y54" s="1608"/>
      <c r="Z54" s="1608"/>
      <c r="AA54" s="1608"/>
      <c r="AB54" s="1608"/>
      <c r="AC54" s="1608"/>
      <c r="AD54" s="1608"/>
      <c r="AE54" s="1608"/>
      <c r="AF54" s="1608"/>
      <c r="AG54" s="1608"/>
      <c r="AH54" s="1608"/>
      <c r="AI54" s="1608"/>
      <c r="AJ54" s="1608"/>
      <c r="AK54" s="1608"/>
      <c r="AL54" s="1608"/>
      <c r="AM54" s="1608"/>
      <c r="AO54" s="1073"/>
      <c r="AP54" s="1073" t="str">
        <f>IF(T54="","",T54)</f>
        <v>Добавить источник для дифференциации</v>
      </c>
      <c r="AQ54" s="1073"/>
      <c r="AR54" s="1073"/>
      <c r="AS54" s="802">
        <v>1</v>
      </c>
    </row>
    <row s="30621" customFormat="1" customHeight="1" ht="1.05">
      <c r="A55" s="1627" t="s">
        <v>192</v>
      </c>
      <c r="B55" s="1627" t="s">
        <v>193</v>
      </c>
      <c r="C55" s="1598"/>
      <c r="D55" s="1598"/>
      <c r="E55" s="2543"/>
      <c r="F55" s="2542"/>
      <c r="G55" s="1598"/>
      <c r="H55" s="1598"/>
      <c r="I55" s="1598"/>
      <c r="J55" s="1598"/>
      <c r="K55" s="1598"/>
      <c r="L55" s="1623"/>
      <c r="M55" s="1605"/>
      <c r="N55" s="1605"/>
      <c r="P55" s="1600"/>
      <c r="Q55" s="1601"/>
      <c r="R55" s="1600"/>
      <c r="S55" s="1606"/>
      <c r="T55" s="1609" t="s">
        <v>214</v>
      </c>
      <c r="U55" s="1608"/>
      <c r="V55" s="1608"/>
      <c r="W55" s="1608"/>
      <c r="X55" s="1608"/>
      <c r="Y55" s="1608"/>
      <c r="Z55" s="1608"/>
      <c r="AA55" s="1608"/>
      <c r="AB55" s="1608"/>
      <c r="AC55" s="1608"/>
      <c r="AD55" s="1608"/>
      <c r="AE55" s="1608"/>
      <c r="AF55" s="1608"/>
      <c r="AG55" s="1608"/>
      <c r="AH55" s="1608"/>
      <c r="AI55" s="1608"/>
      <c r="AJ55" s="1608"/>
      <c r="AK55" s="1608"/>
      <c r="AL55" s="1608"/>
      <c r="AM55" s="1608"/>
      <c r="AO55" s="1073"/>
      <c r="AP55" s="1073" t="str">
        <f>IF(T55="","",T55)</f>
        <v>Добавить централизованную систему для дифференциации</v>
      </c>
      <c r="AQ55" s="1073"/>
      <c r="AR55" s="1073"/>
      <c r="AS55" s="802">
        <v>1</v>
      </c>
    </row>
    <row s="30621" customFormat="1" customHeight="1" ht="1.05">
      <c r="A56" s="1627" t="s">
        <v>192</v>
      </c>
      <c r="B56" s="1627"/>
      <c r="C56" s="1627"/>
      <c r="D56" s="1627"/>
      <c r="E56" s="2542"/>
      <c r="F56" s="1627"/>
      <c r="G56" s="1627"/>
      <c r="H56" s="1627"/>
      <c r="I56" s="1627"/>
      <c r="J56" s="1627"/>
      <c r="K56" s="1627"/>
      <c r="L56" s="1630"/>
      <c r="M56" s="1605"/>
      <c r="N56" s="1605"/>
      <c r="O56" s="802"/>
      <c r="P56" s="664"/>
      <c r="Q56" s="1628"/>
      <c r="R56" s="664"/>
      <c r="S56" s="1606"/>
      <c r="T56" s="1609" t="s">
        <v>230</v>
      </c>
      <c r="U56" s="1608"/>
      <c r="V56" s="1608"/>
      <c r="W56" s="1608"/>
      <c r="X56" s="1608"/>
      <c r="Y56" s="1608"/>
      <c r="Z56" s="1608"/>
      <c r="AA56" s="1608"/>
      <c r="AB56" s="1608"/>
      <c r="AC56" s="1608"/>
      <c r="AD56" s="1608"/>
      <c r="AE56" s="1608"/>
      <c r="AF56" s="1608"/>
      <c r="AG56" s="1608"/>
      <c r="AH56" s="1608"/>
      <c r="AI56" s="1608"/>
      <c r="AJ56" s="1608"/>
      <c r="AK56" s="1608"/>
      <c r="AL56" s="1608"/>
      <c r="AM56" s="1608"/>
      <c r="AO56" s="784"/>
      <c r="AP56" s="784" t="str">
        <f>IF(T56="","",T56)</f>
        <v>Добавить территорию для дифференциации</v>
      </c>
      <c r="AQ56" s="784"/>
      <c r="AR56" s="784"/>
      <c r="AS56" s="795">
        <v>1</v>
      </c>
    </row>
    <row s="30621" customFormat="1" customHeight="1" ht="1.05">
      <c r="A57" s="1598"/>
      <c r="B57" s="1598"/>
      <c r="C57" s="1598"/>
      <c r="D57" s="1598"/>
      <c r="E57" s="1627"/>
      <c r="F57" s="1598"/>
      <c r="G57" s="1598"/>
      <c r="H57" s="1598"/>
      <c r="I57" s="1598"/>
      <c r="J57" s="1598"/>
      <c r="K57" s="1598"/>
      <c r="L57" s="1623"/>
      <c r="M57" s="1605"/>
      <c r="N57" s="1605"/>
      <c r="P57" s="1600"/>
      <c r="Q57" s="1601"/>
      <c r="R57" s="1600"/>
      <c r="S57" s="1606"/>
      <c r="T57" s="1609" t="s">
        <v>239</v>
      </c>
      <c r="U57" s="1608"/>
      <c r="V57" s="1608"/>
      <c r="W57" s="1608"/>
      <c r="X57" s="1608"/>
      <c r="Y57" s="1608"/>
      <c r="Z57" s="1608"/>
      <c r="AA57" s="1608"/>
      <c r="AB57" s="1608"/>
      <c r="AC57" s="1608"/>
      <c r="AD57" s="1608"/>
      <c r="AE57" s="1608"/>
      <c r="AF57" s="1608"/>
      <c r="AG57" s="1608"/>
      <c r="AH57" s="1608"/>
      <c r="AI57" s="1608"/>
      <c r="AJ57" s="1608"/>
      <c r="AK57" s="1608"/>
      <c r="AL57" s="1608"/>
      <c r="AM57" s="1608"/>
      <c r="AO57" s="1073"/>
      <c r="AP57" s="1073" t="str">
        <f>IF(T57="","",T57)</f>
        <v>Добавить наименование тарифа</v>
      </c>
      <c r="AQ57" s="1073"/>
      <c r="AR57" s="1073"/>
      <c r="AS57" s="802">
        <v>1</v>
      </c>
    </row>
    <row customHeight="1" ht="11.549999999999999">
      <c r="M58" s="1444"/>
      <c r="N58" s="1444"/>
      <c r="O58" s="821"/>
      <c r="P58" s="1439"/>
      <c r="Q58" s="1439"/>
      <c r="R58" s="1439"/>
      <c r="S58" s="1439"/>
      <c r="AN58" s="1439"/>
      <c r="AO58" s="1439"/>
      <c r="AP58" s="1439"/>
      <c r="AQ58" s="1439"/>
      <c r="AR58" s="1439"/>
      <c r="AS58" s="1439">
        <v>11</v>
      </c>
    </row>
    <row customHeight="1" ht="28.5">
      <c r="O59" s="821"/>
      <c r="S59" s="1537"/>
      <c r="T59" s="2569"/>
      <c r="U59" s="2569"/>
      <c r="V59" s="2569"/>
      <c r="W59" s="2569"/>
      <c r="X59" s="2569"/>
      <c r="Y59" s="2569"/>
      <c r="Z59" s="2569"/>
      <c r="AA59" s="2569"/>
      <c r="AB59" s="2569"/>
      <c r="AC59" s="2569"/>
      <c r="AD59" s="2569"/>
      <c r="AE59" s="2569"/>
      <c r="AF59" s="2569"/>
      <c r="AG59" s="2569"/>
      <c r="AH59" s="2569"/>
      <c r="AI59" s="2569"/>
      <c r="AJ59" s="2569"/>
      <c r="AK59" s="2569"/>
      <c r="AL59" s="2569"/>
      <c r="AM59" s="2569"/>
      <c r="AS59" s="1439">
        <v>27</v>
      </c>
    </row>
    <row customHeight="1" ht="65.25">
      <c r="O60" s="821"/>
      <c r="T60" s="2569"/>
      <c r="U60" s="2569"/>
      <c r="V60" s="2569"/>
      <c r="W60" s="2569"/>
      <c r="X60" s="2569"/>
      <c r="Y60" s="2569"/>
      <c r="Z60" s="2569"/>
      <c r="AA60" s="2569"/>
      <c r="AB60" s="2569"/>
      <c r="AC60" s="2569"/>
      <c r="AD60" s="2569"/>
      <c r="AE60" s="2569"/>
      <c r="AF60" s="2569"/>
      <c r="AG60" s="2569"/>
      <c r="AH60" s="2569"/>
      <c r="AI60" s="2569"/>
      <c r="AJ60" s="2569"/>
      <c r="AK60" s="2569"/>
      <c r="AL60" s="2569"/>
      <c r="AM60" s="2569"/>
      <c r="AS60" s="1439">
        <v>62</v>
      </c>
    </row>
    <row customHeight="1" ht="14.699999999999998">
      <c r="O61" s="821"/>
      <c r="AS61" s="1439">
        <v>14</v>
      </c>
    </row>
    <row customHeight="1" ht="18.75">
      <c r="O62" s="821"/>
      <c r="S62" s="1537"/>
      <c r="T62" s="2569"/>
      <c r="U62" s="2569"/>
      <c r="V62" s="2569"/>
      <c r="W62" s="2569"/>
      <c r="X62" s="2569"/>
      <c r="Y62" s="2569"/>
      <c r="Z62" s="2569"/>
      <c r="AA62" s="2569"/>
      <c r="AB62" s="2569"/>
      <c r="AC62" s="2569"/>
      <c r="AD62" s="2569"/>
      <c r="AE62" s="2569"/>
      <c r="AF62" s="2569"/>
      <c r="AG62" s="2569"/>
      <c r="AH62" s="2569"/>
      <c r="AI62" s="2569"/>
      <c r="AJ62" s="2569"/>
      <c r="AK62" s="2569"/>
      <c r="AL62" s="2569"/>
      <c r="AM62" s="2569"/>
      <c r="AS62" s="1439">
        <v>18</v>
      </c>
    </row>
    <row customHeight="1" ht="18.75">
      <c r="O63" s="821"/>
      <c r="T63" s="2569"/>
      <c r="U63" s="2569"/>
      <c r="V63" s="2569"/>
      <c r="W63" s="2569"/>
      <c r="X63" s="2569"/>
      <c r="Y63" s="2569"/>
      <c r="Z63" s="2569"/>
      <c r="AA63" s="2569"/>
      <c r="AB63" s="2569"/>
      <c r="AC63" s="2569"/>
      <c r="AD63" s="2569"/>
      <c r="AE63" s="2569"/>
      <c r="AF63" s="2569"/>
      <c r="AG63" s="2569"/>
      <c r="AH63" s="2569"/>
      <c r="AI63" s="2569"/>
      <c r="AJ63" s="2569"/>
      <c r="AK63" s="2569"/>
      <c r="AL63" s="2569"/>
      <c r="AM63" s="2569"/>
      <c r="AS63" s="1439">
        <v>18</v>
      </c>
    </row>
    <row customHeight="1" ht="29.25">
      <c r="O64" s="821"/>
      <c r="S64" s="1537"/>
      <c r="T64" s="2569"/>
      <c r="U64" s="2569"/>
      <c r="V64" s="2569"/>
      <c r="W64" s="2569"/>
      <c r="X64" s="2569"/>
      <c r="Y64" s="2569"/>
      <c r="Z64" s="2569"/>
      <c r="AA64" s="2569"/>
      <c r="AB64" s="2569"/>
      <c r="AC64" s="2569"/>
      <c r="AD64" s="2569"/>
      <c r="AE64" s="2569"/>
      <c r="AF64" s="2569"/>
      <c r="AG64" s="2569"/>
      <c r="AH64" s="2569"/>
      <c r="AI64" s="2569"/>
      <c r="AJ64" s="2569"/>
      <c r="AK64" s="2569"/>
      <c r="AL64" s="2569"/>
      <c r="AM64" s="2569"/>
      <c r="AS64" s="1439">
        <v>28</v>
      </c>
    </row>
    <row customHeight="1" ht="22.5" hidden="1">
      <c r="A65" s="1444" t="s">
        <v>85</v>
      </c>
      <c r="B65" s="1444">
        <v>0</v>
      </c>
      <c r="C65" s="1444">
        <v>0</v>
      </c>
      <c r="D65" s="1444">
        <v>0</v>
      </c>
      <c r="E65" s="1444">
        <v>0</v>
      </c>
      <c r="F65" s="1444">
        <v>0</v>
      </c>
      <c r="G65" s="1444">
        <v>0</v>
      </c>
      <c r="H65" s="1444">
        <v>0</v>
      </c>
      <c r="I65" s="1444">
        <v>0</v>
      </c>
      <c r="J65" s="1444">
        <v>0</v>
      </c>
      <c r="K65" s="1444">
        <v>0</v>
      </c>
      <c r="L65" s="1613">
        <v>0</v>
      </c>
      <c r="M65" s="1646">
        <v>0</v>
      </c>
      <c r="N65" s="1646">
        <v>0</v>
      </c>
      <c r="O65" s="1646">
        <v>0</v>
      </c>
      <c r="P65" s="1612">
        <v>3</v>
      </c>
      <c r="Q65" s="628">
        <v>3</v>
      </c>
      <c r="R65" s="628">
        <v>3</v>
      </c>
      <c r="S65" s="865">
        <v>12</v>
      </c>
      <c r="T65" s="1439">
        <v>31</v>
      </c>
      <c r="U65" s="1439">
        <v>0</v>
      </c>
      <c r="V65" s="1439">
        <v>0</v>
      </c>
      <c r="W65" s="1439">
        <v>0</v>
      </c>
      <c r="X65" s="1439">
        <v>0</v>
      </c>
      <c r="Y65" s="1439">
        <v>0</v>
      </c>
      <c r="Z65" s="1439">
        <v>0</v>
      </c>
      <c r="AA65" s="1439">
        <v>0</v>
      </c>
      <c r="AB65" s="1439">
        <v>0</v>
      </c>
      <c r="AC65" s="1439">
        <v>0</v>
      </c>
      <c r="AD65" s="1439">
        <v>24</v>
      </c>
      <c r="AE65" s="1439">
        <v>0</v>
      </c>
      <c r="AF65" s="1439">
        <v>24</v>
      </c>
      <c r="AG65" s="1439">
        <v>24</v>
      </c>
      <c r="AH65" s="1439">
        <v>11</v>
      </c>
      <c r="AI65" s="1439">
        <v>3</v>
      </c>
      <c r="AJ65" s="1439">
        <v>11</v>
      </c>
      <c r="AK65" s="1439">
        <v>0</v>
      </c>
      <c r="AL65" s="1439">
        <v>4</v>
      </c>
      <c r="AM65" s="1439">
        <v>115</v>
      </c>
      <c r="AN65" s="795">
        <v>10</v>
      </c>
      <c r="AO65" s="795">
        <v>10</v>
      </c>
      <c r="AP65" s="795">
        <v>10</v>
      </c>
      <c r="AQ65" s="795">
        <v>10</v>
      </c>
      <c r="AR65" s="795">
        <v>10</v>
      </c>
      <c r="AS65" s="1439">
        <v>23</v>
      </c>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CD8F22-8C56-579F-5439-BEC3C4D6F7CB}"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30541" width="10.57421875" hidden="1"/>
    <col min="2" max="2" style="30541" width="11.00390625" hidden="1" customWidth="1"/>
    <col min="3" max="3" style="30541" width="10.57421875" hidden="1"/>
    <col min="4" max="4" style="30541" width="11.8515625" hidden="1" customWidth="1"/>
    <col min="5" max="5" style="30541" width="10.00390625" hidden="1" customWidth="1"/>
    <col min="6" max="6" style="30541" width="8.7109375" hidden="1" customWidth="1"/>
    <col min="7" max="7" style="30541" width="7.57421875" hidden="1" customWidth="1"/>
    <col min="8" max="8" style="30541" width="11.421875" hidden="1" customWidth="1"/>
    <col min="9" max="9" style="30541" width="12.00390625" hidden="1" customWidth="1"/>
    <col min="10" max="10" style="30541" width="9.8515625" hidden="1" customWidth="1"/>
    <col min="11" max="11" style="30541" width="11.421875" hidden="1" customWidth="1"/>
    <col min="12" max="12" style="30618" width="19.140625" hidden="1" customWidth="1"/>
    <col min="13" max="14" style="31504" width="12.28125" hidden="1" customWidth="1"/>
    <col min="15" max="15" style="31504" width="23.421875" hidden="1" customWidth="1"/>
    <col min="16" max="16" style="31504" width="3.00390625" customWidth="1"/>
    <col min="17" max="18" style="31505" width="3.00390625" customWidth="1"/>
    <col min="19" max="19" style="31506" width="12.00390625" customWidth="1"/>
    <col min="20" max="20" style="30541" width="31.00390625" customWidth="1"/>
    <col min="21" max="21" style="30541" width="0.140625" customWidth="1"/>
    <col min="22" max="22" style="30541" width="24.7109375" hidden="1" customWidth="1"/>
    <col min="23" max="23" style="30541" width="0.140625" hidden="1" customWidth="1"/>
    <col min="24" max="25" style="30541" width="24.7109375" hidden="1" customWidth="1"/>
    <col min="26" max="26" style="30541" width="11.7109375" hidden="1" customWidth="1"/>
    <col min="27" max="27" style="30541" width="3.7109375" hidden="1" customWidth="1"/>
    <col min="28" max="28" style="30541" width="11.7109375" hidden="1" customWidth="1"/>
    <col min="29" max="29" style="30541" width="8.57421875" hidden="1" customWidth="1"/>
    <col min="30" max="30" style="30541" width="24.7109375" customWidth="1"/>
    <col min="31" max="31" style="30541" width="0.140625" customWidth="1"/>
    <col min="32" max="33" style="30541" width="24.00390625" customWidth="1"/>
    <col min="34" max="34" style="30541" width="11.00390625" customWidth="1"/>
    <col min="35" max="35" style="30541" width="3.7109375" customWidth="1"/>
    <col min="36" max="36" style="30541" width="11.00390625" customWidth="1"/>
    <col min="37" max="37" style="30541" width="8.57421875" hidden="1" customWidth="1"/>
    <col min="38" max="38" style="30541" width="4.00390625" customWidth="1"/>
    <col min="39" max="39" style="30541" width="115.00390625" customWidth="1"/>
    <col min="40" max="44" style="30621" width="10.00390625" customWidth="1"/>
    <col min="45" max="45" style="30541" width="10.57421875" hidden="1"/>
  </cols>
  <sheetData>
    <row customHeight="1" ht="22.5" hidden="1">
      <c r="AS1" s="1915" t="s">
        <v>14</v>
      </c>
    </row>
    <row customHeight="1" ht="21" hidden="1">
      <c r="A2" s="1551"/>
      <c r="B2" s="1551"/>
      <c r="C2" s="1551"/>
      <c r="D2" s="1551"/>
      <c r="E2" s="2573">
        <v>1</v>
      </c>
      <c r="F2" s="1551"/>
      <c r="G2" s="1551"/>
      <c r="H2" s="1551"/>
      <c r="I2" s="1551"/>
      <c r="J2" s="1551"/>
      <c r="K2" s="1551"/>
      <c r="L2" s="1594"/>
      <c r="M2" s="1894"/>
      <c r="N2" s="1894"/>
      <c r="O2" s="1894"/>
      <c r="P2" s="1874"/>
      <c r="Q2" s="644"/>
      <c r="R2" s="639"/>
      <c r="S2" s="2242">
        <f>INDEX(PT_DIFFERENTIATION_NUM_NTAR,MATCH(A2,PT_DIFFERENTIATION_NTAR_ID,0))</f>
      </c>
      <c r="T2" s="1809" t="s">
        <v>153</v>
      </c>
      <c r="U2" s="584"/>
      <c r="V2" s="2526"/>
      <c r="W2" s="2527"/>
      <c r="X2" s="2527"/>
      <c r="Y2" s="2527"/>
      <c r="Z2" s="2527"/>
      <c r="AA2" s="2527"/>
      <c r="AB2" s="2527"/>
      <c r="AC2" s="2528"/>
      <c r="AD2" s="2526">
        <f>INDEX(PT_DIFFERENTIATION_NTAR,MATCH(A2,PT_DIFFERENTIATION_NTAR_ID,0))</f>
      </c>
      <c r="AE2" s="2527"/>
      <c r="AF2" s="2527"/>
      <c r="AG2" s="2527"/>
      <c r="AH2" s="2527"/>
      <c r="AI2" s="2527"/>
      <c r="AJ2" s="2527"/>
      <c r="AK2" s="2527"/>
      <c r="AL2" s="2528"/>
      <c r="AM2" s="1542" t="s">
        <v>456</v>
      </c>
      <c r="AO2" s="1908"/>
      <c r="AP2" s="1908" t="str">
        <f>IF(T2="","",T2)</f>
        <v>Наименование тарифа</v>
      </c>
      <c r="AQ2" s="1908"/>
      <c r="AR2" s="1908"/>
      <c r="AS2" s="1915">
        <v>0</v>
      </c>
    </row>
    <row customHeight="1" ht="21" hidden="1">
      <c r="A3" s="1551"/>
      <c r="B3" s="1551"/>
      <c r="C3" s="1551"/>
      <c r="D3" s="1551"/>
      <c r="E3" s="2574"/>
      <c r="F3" s="2573">
        <v>1</v>
      </c>
      <c r="G3" s="1551"/>
      <c r="H3" s="1551"/>
      <c r="I3" s="1551"/>
      <c r="J3" s="1551"/>
      <c r="K3" s="1551"/>
      <c r="L3" s="1594"/>
      <c r="M3" s="1894"/>
      <c r="N3" s="1894"/>
      <c r="O3" s="1894"/>
      <c r="P3" s="2224"/>
      <c r="Q3" s="636"/>
      <c r="R3" s="637"/>
      <c r="S3" s="2242">
        <f>INDEX(PT_DIFFERENTIATION_NUM_TER,MATCH(B3,PT_DIFFERENTIATION_TER_ID,0))</f>
      </c>
      <c r="T3" s="1806" t="s">
        <v>457</v>
      </c>
      <c r="U3" s="584"/>
      <c r="V3" s="2526"/>
      <c r="W3" s="2527"/>
      <c r="X3" s="2527"/>
      <c r="Y3" s="2527"/>
      <c r="Z3" s="2527"/>
      <c r="AA3" s="2527"/>
      <c r="AB3" s="2527"/>
      <c r="AC3" s="2528"/>
      <c r="AD3" s="2526">
        <f>INDEX(PT_DIFFERENTIATION_TER,MATCH(B3,PT_DIFFERENTIATION_TER_ID,0))</f>
      </c>
      <c r="AE3" s="2527"/>
      <c r="AF3" s="2527"/>
      <c r="AG3" s="2527"/>
      <c r="AH3" s="2527"/>
      <c r="AI3" s="2527"/>
      <c r="AJ3" s="2527"/>
      <c r="AK3" s="2527"/>
      <c r="AL3" s="2528"/>
      <c r="AM3" s="1542" t="s">
        <v>458</v>
      </c>
      <c r="AO3" s="1908"/>
      <c r="AP3" s="1908" t="str">
        <f>IF(T3="","",T3)</f>
        <v>Территория действия тарифа</v>
      </c>
      <c r="AQ3" s="1908"/>
      <c r="AR3" s="1908"/>
      <c r="AS3" s="1915">
        <v>0</v>
      </c>
    </row>
    <row customHeight="1" ht="23.25" hidden="1">
      <c r="A4" s="1551"/>
      <c r="B4" s="1551"/>
      <c r="C4" s="1551"/>
      <c r="D4" s="1551"/>
      <c r="E4" s="2574"/>
      <c r="F4" s="2574"/>
      <c r="G4" s="2573">
        <v>1</v>
      </c>
      <c r="H4" s="1551"/>
      <c r="I4" s="1551"/>
      <c r="J4" s="1551"/>
      <c r="K4" s="1551"/>
      <c r="L4" s="1594"/>
      <c r="M4" s="1894"/>
      <c r="N4" s="1894"/>
      <c r="O4" s="1894"/>
      <c r="P4" s="638"/>
      <c r="Q4" s="636"/>
      <c r="R4" s="637"/>
      <c r="S4" s="2242">
        <f>INDEX(PT_DIFFERENTIATION_NUM_CS,MATCH(C4,PT_DIFFERENTIATION_CS_ID,0))</f>
      </c>
      <c r="T4" s="593" t="s">
        <v>459</v>
      </c>
      <c r="U4" s="584"/>
      <c r="V4" s="2526"/>
      <c r="W4" s="2527"/>
      <c r="X4" s="2527"/>
      <c r="Y4" s="2527"/>
      <c r="Z4" s="2527"/>
      <c r="AA4" s="2527"/>
      <c r="AB4" s="2527"/>
      <c r="AC4" s="2528"/>
      <c r="AD4" s="2526">
        <f>INDEX(PT_DIFFERENTIATION_CS,MATCH(C4,PT_DIFFERENTIATION_CS_ID,0))</f>
      </c>
      <c r="AE4" s="2527"/>
      <c r="AF4" s="2527"/>
      <c r="AG4" s="2527"/>
      <c r="AH4" s="2527"/>
      <c r="AI4" s="2527"/>
      <c r="AJ4" s="2527"/>
      <c r="AK4" s="2527"/>
      <c r="AL4" s="2528"/>
      <c r="AM4" s="1542" t="s">
        <v>460</v>
      </c>
      <c r="AO4" s="1908"/>
      <c r="AP4" s="1908" t="str">
        <f>IF(T4="","",T4)</f>
        <v>Наименование системы теплоснабжения </v>
      </c>
      <c r="AQ4" s="1908"/>
      <c r="AR4" s="1908"/>
      <c r="AS4" s="1915">
        <v>0</v>
      </c>
    </row>
    <row customHeight="1" ht="21" hidden="1">
      <c r="A5" s="1551"/>
      <c r="B5" s="1551"/>
      <c r="C5" s="1551"/>
      <c r="D5" s="1551"/>
      <c r="E5" s="2574"/>
      <c r="F5" s="2574"/>
      <c r="G5" s="2574"/>
      <c r="H5" s="2573">
        <v>1</v>
      </c>
      <c r="I5" s="1551"/>
      <c r="J5" s="1551"/>
      <c r="K5" s="1551"/>
      <c r="L5" s="1594"/>
      <c r="M5" s="1894"/>
      <c r="N5" s="1894"/>
      <c r="O5" s="1894"/>
      <c r="P5" s="638"/>
      <c r="Q5" s="636"/>
      <c r="R5" s="637"/>
      <c r="S5" s="2242">
        <f>INDEX(PT_DIFFERENTIATION_NUM_IST_TE,MATCH(D5,PT_DIFFERENTIATION_IST_TE_ID,0))</f>
      </c>
      <c r="T5" s="594" t="s">
        <v>461</v>
      </c>
      <c r="U5" s="584"/>
      <c r="V5" s="2526"/>
      <c r="W5" s="2527"/>
      <c r="X5" s="2527"/>
      <c r="Y5" s="2527"/>
      <c r="Z5" s="2527"/>
      <c r="AA5" s="2527"/>
      <c r="AB5" s="2527"/>
      <c r="AC5" s="2528"/>
      <c r="AD5" s="2526">
        <f>INDEX(PT_DIFFERENTIATION_IST_TE,MATCH(D5,PT_DIFFERENTIATION_IST_TE_ID,0))</f>
      </c>
      <c r="AE5" s="2527"/>
      <c r="AF5" s="2527"/>
      <c r="AG5" s="2527"/>
      <c r="AH5" s="2527"/>
      <c r="AI5" s="2527"/>
      <c r="AJ5" s="2527"/>
      <c r="AK5" s="2527"/>
      <c r="AL5" s="2528"/>
      <c r="AM5" s="1542" t="s">
        <v>462</v>
      </c>
      <c r="AO5" s="1908"/>
      <c r="AP5" s="1908" t="str">
        <f>IF(T5="","",T5)</f>
        <v>Источник тепловой энергии  </v>
      </c>
      <c r="AQ5" s="1908"/>
      <c r="AR5" s="1908"/>
      <c r="AS5" s="1915">
        <v>0</v>
      </c>
    </row>
    <row customHeight="1" ht="47.25" hidden="1">
      <c r="A6" s="1551"/>
      <c r="B6" s="1551"/>
      <c r="C6" s="1551"/>
      <c r="D6" s="1551"/>
      <c r="E6" s="2574"/>
      <c r="F6" s="2574"/>
      <c r="G6" s="2574"/>
      <c r="H6" s="2574"/>
      <c r="I6" s="2411">
        <f>S5&amp;".1"</f>
      </c>
      <c r="J6" s="1551"/>
      <c r="K6" s="1551"/>
      <c r="L6" s="1594" t="s">
        <v>463</v>
      </c>
      <c r="M6" s="1919"/>
      <c r="P6" s="2541">
        <v>1</v>
      </c>
      <c r="Q6" s="2238"/>
      <c r="R6" s="640"/>
      <c r="S6" s="2242">
        <f>$I6</f>
      </c>
      <c r="T6" s="569" t="s">
        <v>464</v>
      </c>
      <c r="U6" s="584"/>
      <c r="V6" s="2529"/>
      <c r="W6" s="2530"/>
      <c r="X6" s="2530"/>
      <c r="Y6" s="2530"/>
      <c r="Z6" s="2530"/>
      <c r="AA6" s="2530"/>
      <c r="AB6" s="2530"/>
      <c r="AC6" s="2531"/>
      <c r="AD6" s="2529"/>
      <c r="AE6" s="2530"/>
      <c r="AF6" s="2530"/>
      <c r="AG6" s="2530"/>
      <c r="AH6" s="2530"/>
      <c r="AI6" s="2530"/>
      <c r="AJ6" s="2530"/>
      <c r="AK6" s="2530"/>
      <c r="AL6" s="2531"/>
      <c r="AM6" s="1542" t="s">
        <v>465</v>
      </c>
      <c r="AO6" s="1908"/>
      <c r="AP6" s="1908" t="str">
        <f>IF(T6="","",T6)</f>
        <v>Схема подключения теплопотребляющей установки к коллектору источника тепловой энергии</v>
      </c>
      <c r="AQ6" s="1908"/>
      <c r="AR6" s="1908"/>
      <c r="AS6" s="1915">
        <v>0</v>
      </c>
    </row>
    <row customHeight="1" ht="21" hidden="1">
      <c r="A7" s="1551"/>
      <c r="B7" s="1551"/>
      <c r="C7" s="1551"/>
      <c r="D7" s="1551"/>
      <c r="E7" s="2574"/>
      <c r="F7" s="2574"/>
      <c r="G7" s="2574"/>
      <c r="H7" s="2574"/>
      <c r="I7" s="2385"/>
      <c r="J7" s="2411">
        <f>I6&amp;".1"</f>
      </c>
      <c r="K7" s="1551"/>
      <c r="L7" s="1594" t="s">
        <v>466</v>
      </c>
      <c r="M7" s="1919"/>
      <c r="N7" s="1915"/>
      <c r="P7" s="2541"/>
      <c r="Q7" s="2541">
        <v>1</v>
      </c>
      <c r="R7" s="641"/>
      <c r="S7" s="2242">
        <f>$J7</f>
      </c>
      <c r="T7" s="570" t="s">
        <v>467</v>
      </c>
      <c r="U7" s="584"/>
      <c r="V7" s="2529"/>
      <c r="W7" s="2530"/>
      <c r="X7" s="2530"/>
      <c r="Y7" s="2530"/>
      <c r="Z7" s="2530"/>
      <c r="AA7" s="2530"/>
      <c r="AB7" s="2530"/>
      <c r="AC7" s="2531"/>
      <c r="AD7" s="2529"/>
      <c r="AE7" s="2530"/>
      <c r="AF7" s="2530"/>
      <c r="AG7" s="2530"/>
      <c r="AH7" s="2530"/>
      <c r="AI7" s="2530"/>
      <c r="AJ7" s="2530"/>
      <c r="AK7" s="2530"/>
      <c r="AL7" s="2531"/>
      <c r="AM7" s="1542" t="s">
        <v>468</v>
      </c>
      <c r="AO7" s="1908"/>
      <c r="AP7" s="1908" t="str">
        <f>IF(T7="","",T7)</f>
        <v>Группа потребителей</v>
      </c>
      <c r="AQ7" s="1908"/>
      <c r="AR7" s="1908"/>
      <c r="AS7" s="1915">
        <v>0</v>
      </c>
    </row>
    <row customHeight="1" ht="21" hidden="1">
      <c r="A8" s="1551"/>
      <c r="B8" s="1551"/>
      <c r="C8" s="1551"/>
      <c r="D8" s="1551"/>
      <c r="E8" s="2574"/>
      <c r="F8" s="2574"/>
      <c r="G8" s="2574"/>
      <c r="H8" s="2574"/>
      <c r="I8" s="2385"/>
      <c r="J8" s="2385"/>
      <c r="K8" s="2411">
        <f>J7&amp;".1"</f>
      </c>
      <c r="L8" s="1594" t="s">
        <v>469</v>
      </c>
      <c r="M8" s="1919"/>
      <c r="N8" s="1915"/>
      <c r="O8" s="1915"/>
      <c r="P8" s="2541"/>
      <c r="Q8" s="2541"/>
      <c r="R8" s="641">
        <v>1</v>
      </c>
      <c r="S8" s="2242">
        <f>$K8</f>
      </c>
      <c r="T8" s="1631"/>
      <c r="U8" s="584"/>
      <c r="V8" s="1035"/>
      <c r="W8" s="609"/>
      <c r="X8" s="1035"/>
      <c r="Y8" s="1541"/>
      <c r="Z8" s="2549"/>
      <c r="AA8" s="2391" t="s">
        <v>64</v>
      </c>
      <c r="AB8" s="2549"/>
      <c r="AC8" s="2391" t="s">
        <v>64</v>
      </c>
      <c r="AD8" s="1035"/>
      <c r="AE8" s="609"/>
      <c r="AF8" s="1035"/>
      <c r="AG8" s="1541"/>
      <c r="AH8" s="2549"/>
      <c r="AI8" s="2391" t="s">
        <v>64</v>
      </c>
      <c r="AJ8" s="2549"/>
      <c r="AK8" s="2391" t="s">
        <v>64</v>
      </c>
      <c r="AL8" s="609"/>
      <c r="AM8" s="2537" t="s">
        <v>470</v>
      </c>
      <c r="AN8" s="1920">
        <f>STRCHECKDATE(V9:AL9)</f>
      </c>
      <c r="AO8" s="1908"/>
      <c r="AP8" s="1908" t="str">
        <f>IF(T8="","",T8)</f>
        <v/>
      </c>
      <c r="AQ8" s="1908"/>
      <c r="AR8" s="1908"/>
      <c r="AS8" s="1915">
        <v>0</v>
      </c>
    </row>
    <row customHeight="1" ht="0.75" hidden="1">
      <c r="A9" s="1551"/>
      <c r="B9" s="1551"/>
      <c r="C9" s="1551"/>
      <c r="D9" s="1551"/>
      <c r="E9" s="2574"/>
      <c r="F9" s="2574"/>
      <c r="G9" s="2574"/>
      <c r="H9" s="2574"/>
      <c r="I9" s="2385"/>
      <c r="J9" s="2385"/>
      <c r="K9" s="2411"/>
      <c r="L9" s="1594"/>
      <c r="M9" s="1919"/>
      <c r="N9" s="1915"/>
      <c r="O9" s="1915"/>
      <c r="P9" s="2541"/>
      <c r="Q9" s="2541"/>
      <c r="R9" s="641"/>
      <c r="S9" s="2251"/>
      <c r="T9" s="584"/>
      <c r="U9" s="584"/>
      <c r="V9" s="609"/>
      <c r="W9" s="609"/>
      <c r="X9" s="609"/>
      <c r="Y9" s="612" t="str">
        <f>Z8&amp;"-"&amp;AB8</f>
        <v>-</v>
      </c>
      <c r="Z9" s="2550"/>
      <c r="AA9" s="2391"/>
      <c r="AB9" s="2550"/>
      <c r="AC9" s="2391"/>
      <c r="AD9" s="609"/>
      <c r="AE9" s="609"/>
      <c r="AF9" s="609"/>
      <c r="AG9" s="612" t="str">
        <f>AH8&amp;"-"&amp;AJ8</f>
        <v>-</v>
      </c>
      <c r="AH9" s="2550"/>
      <c r="AI9" s="2391"/>
      <c r="AJ9" s="2550"/>
      <c r="AK9" s="2391"/>
      <c r="AL9" s="609"/>
      <c r="AM9" s="2538"/>
      <c r="AO9" s="1908"/>
      <c r="AP9" s="1908" t="str">
        <f>IF(T9="","",T9)</f>
        <v/>
      </c>
      <c r="AQ9" s="1908"/>
      <c r="AR9" s="1908"/>
      <c r="AS9" s="1915">
        <v>0</v>
      </c>
    </row>
    <row customHeight="1" ht="15" hidden="1">
      <c r="A10" s="1551"/>
      <c r="B10" s="1551"/>
      <c r="C10" s="1551"/>
      <c r="D10" s="1551"/>
      <c r="E10" s="2574"/>
      <c r="F10" s="2574"/>
      <c r="G10" s="2574"/>
      <c r="H10" s="2574"/>
      <c r="I10" s="2385"/>
      <c r="J10" s="2411"/>
      <c r="K10" s="1551"/>
      <c r="L10" s="1594"/>
      <c r="M10" s="1919"/>
      <c r="N10" s="1915"/>
      <c r="P10" s="2541"/>
      <c r="Q10" s="2541"/>
      <c r="R10" s="640"/>
      <c r="S10" s="1562"/>
      <c r="T10" s="572" t="s">
        <v>471</v>
      </c>
      <c r="U10" s="884"/>
      <c r="V10" s="884"/>
      <c r="W10" s="884"/>
      <c r="X10" s="884"/>
      <c r="Y10" s="884"/>
      <c r="Z10" s="884"/>
      <c r="AA10" s="884"/>
      <c r="AB10" s="884"/>
      <c r="AC10" s="884"/>
      <c r="AD10" s="884"/>
      <c r="AE10" s="884"/>
      <c r="AF10" s="884"/>
      <c r="AG10" s="884"/>
      <c r="AH10" s="884"/>
      <c r="AI10" s="884"/>
      <c r="AJ10" s="884"/>
      <c r="AK10" s="884"/>
      <c r="AL10" s="608"/>
      <c r="AM10" s="2539"/>
      <c r="AO10" s="1908"/>
      <c r="AP10" s="1908" t="str">
        <f>IF(T10="","",T10)</f>
        <v>Добавить вид теплоносителя (параметры теплоносителя)</v>
      </c>
      <c r="AQ10" s="1908"/>
      <c r="AR10" s="1908"/>
      <c r="AS10" s="1915">
        <v>0</v>
      </c>
    </row>
    <row customHeight="1" ht="15" hidden="1">
      <c r="A11" s="1551"/>
      <c r="B11" s="1551"/>
      <c r="C11" s="1551"/>
      <c r="D11" s="1551"/>
      <c r="E11" s="2574"/>
      <c r="F11" s="2574"/>
      <c r="G11" s="2574"/>
      <c r="H11" s="2574"/>
      <c r="I11" s="2411"/>
      <c r="J11" s="1551"/>
      <c r="K11" s="1551"/>
      <c r="L11" s="1594"/>
      <c r="M11" s="1919"/>
      <c r="P11" s="2541"/>
      <c r="Q11" s="2238"/>
      <c r="R11" s="640"/>
      <c r="S11" s="1562"/>
      <c r="T11" s="571" t="s">
        <v>472</v>
      </c>
      <c r="U11" s="884"/>
      <c r="V11" s="884"/>
      <c r="W11" s="884"/>
      <c r="X11" s="884"/>
      <c r="Y11" s="884"/>
      <c r="Z11" s="884"/>
      <c r="AA11" s="884"/>
      <c r="AB11" s="884"/>
      <c r="AC11" s="650"/>
      <c r="AD11" s="884"/>
      <c r="AE11" s="884"/>
      <c r="AF11" s="884"/>
      <c r="AG11" s="884"/>
      <c r="AH11" s="884"/>
      <c r="AI11" s="884"/>
      <c r="AJ11" s="884"/>
      <c r="AK11" s="650"/>
      <c r="AL11" s="884"/>
      <c r="AM11" s="587"/>
      <c r="AO11" s="1908"/>
      <c r="AP11" s="1908" t="str">
        <f>IF(T11="","",T11)</f>
        <v>Добавить группу потребителей</v>
      </c>
      <c r="AQ11" s="1908"/>
      <c r="AR11" s="1908"/>
      <c r="AS11" s="1915">
        <v>0</v>
      </c>
    </row>
    <row customHeight="1" ht="14.25" hidden="1">
      <c r="A12" s="1551"/>
      <c r="B12" s="1551"/>
      <c r="C12" s="1551"/>
      <c r="D12" s="1551"/>
      <c r="E12" s="2574"/>
      <c r="F12" s="2574"/>
      <c r="G12" s="2574"/>
      <c r="H12" s="2573"/>
      <c r="I12" s="1551"/>
      <c r="J12" s="1551"/>
      <c r="K12" s="1551"/>
      <c r="L12" s="1594"/>
      <c r="M12" s="1894"/>
      <c r="N12" s="1894"/>
      <c r="O12" s="1919"/>
      <c r="P12" s="644"/>
      <c r="Q12" s="659"/>
      <c r="R12" s="639"/>
      <c r="S12" s="1562"/>
      <c r="T12" s="649" t="s">
        <v>473</v>
      </c>
      <c r="U12" s="884"/>
      <c r="V12" s="884"/>
      <c r="W12" s="884"/>
      <c r="X12" s="884"/>
      <c r="Y12" s="884"/>
      <c r="Z12" s="884"/>
      <c r="AA12" s="884"/>
      <c r="AB12" s="884"/>
      <c r="AC12" s="650"/>
      <c r="AD12" s="884"/>
      <c r="AE12" s="884"/>
      <c r="AF12" s="884"/>
      <c r="AG12" s="884"/>
      <c r="AH12" s="884"/>
      <c r="AI12" s="884"/>
      <c r="AJ12" s="884"/>
      <c r="AK12" s="650"/>
      <c r="AL12" s="884"/>
      <c r="AM12" s="587"/>
      <c r="AO12" s="1908"/>
      <c r="AP12" s="1908" t="str">
        <f>IF(T12="","",T12)</f>
        <v>Добавить схему подключения</v>
      </c>
      <c r="AQ12" s="1908"/>
      <c r="AR12" s="1908"/>
      <c r="AS12" s="1915">
        <v>0</v>
      </c>
    </row>
    <row s="30621" customFormat="1" customHeight="1" ht="0.75" hidden="1">
      <c r="A13" s="1658"/>
      <c r="B13" s="1658"/>
      <c r="C13" s="1658"/>
      <c r="D13" s="1658"/>
      <c r="E13" s="2574"/>
      <c r="F13" s="2574"/>
      <c r="G13" s="2573"/>
      <c r="H13" s="1658"/>
      <c r="I13" s="1658"/>
      <c r="J13" s="1658"/>
      <c r="K13" s="1658"/>
      <c r="L13" s="1661"/>
      <c r="M13" s="1662"/>
      <c r="N13" s="1662"/>
      <c r="O13" s="635"/>
      <c r="P13" s="1600"/>
      <c r="Q13" s="1601"/>
      <c r="R13" s="1600"/>
      <c r="S13" s="1602"/>
      <c r="T13" s="1603" t="s">
        <v>213</v>
      </c>
      <c r="U13" s="1604"/>
      <c r="V13" s="1604"/>
      <c r="W13" s="1604"/>
      <c r="X13" s="1604"/>
      <c r="Y13" s="1604"/>
      <c r="Z13" s="1604"/>
      <c r="AA13" s="1604"/>
      <c r="AB13" s="1604"/>
      <c r="AC13" s="1604"/>
      <c r="AD13" s="1604"/>
      <c r="AE13" s="1604"/>
      <c r="AF13" s="1604"/>
      <c r="AG13" s="1604"/>
      <c r="AH13" s="1604"/>
      <c r="AI13" s="1604"/>
      <c r="AJ13" s="1604"/>
      <c r="AK13" s="1604"/>
      <c r="AL13" s="1604"/>
      <c r="AM13" s="1604"/>
      <c r="AO13" s="1535"/>
      <c r="AP13" s="1535" t="str">
        <f>IF(T13="","",T13)</f>
        <v>Добавить источник для дифференциации</v>
      </c>
      <c r="AQ13" s="1535"/>
      <c r="AR13" s="1535"/>
      <c r="AS13" s="1926">
        <v>0</v>
      </c>
    </row>
    <row s="30621" customFormat="1" customHeight="1" ht="0.75" hidden="1">
      <c r="A14" s="1658"/>
      <c r="B14" s="1658"/>
      <c r="C14" s="1658"/>
      <c r="D14" s="1658"/>
      <c r="E14" s="2574"/>
      <c r="F14" s="2573"/>
      <c r="G14" s="1658"/>
      <c r="H14" s="1658"/>
      <c r="I14" s="1658"/>
      <c r="J14" s="1658"/>
      <c r="K14" s="1658"/>
      <c r="L14" s="1661"/>
      <c r="M14" s="1663"/>
      <c r="N14" s="1663"/>
      <c r="O14" s="635"/>
      <c r="P14" s="1600"/>
      <c r="Q14" s="1601"/>
      <c r="R14" s="1600"/>
      <c r="S14" s="1606"/>
      <c r="T14" s="1607" t="s">
        <v>214</v>
      </c>
      <c r="U14" s="1608"/>
      <c r="V14" s="1608"/>
      <c r="W14" s="1608"/>
      <c r="X14" s="1608"/>
      <c r="Y14" s="1608"/>
      <c r="Z14" s="1608"/>
      <c r="AA14" s="1608"/>
      <c r="AB14" s="1608"/>
      <c r="AC14" s="1608"/>
      <c r="AD14" s="1608"/>
      <c r="AE14" s="1608"/>
      <c r="AF14" s="1608"/>
      <c r="AG14" s="1608"/>
      <c r="AH14" s="1608"/>
      <c r="AI14" s="1608"/>
      <c r="AJ14" s="1608"/>
      <c r="AK14" s="1608"/>
      <c r="AL14" s="1608"/>
      <c r="AM14" s="1608"/>
      <c r="AO14" s="1535"/>
      <c r="AP14" s="1535" t="str">
        <f>IF(T14="","",T14)</f>
        <v>Добавить централизованную систему для дифференциации</v>
      </c>
      <c r="AQ14" s="1535"/>
      <c r="AR14" s="1535"/>
      <c r="AS14" s="1926">
        <v>0</v>
      </c>
    </row>
    <row s="30621" customFormat="1" customHeight="1" ht="0.75" hidden="1">
      <c r="A15" s="1658"/>
      <c r="B15" s="1658"/>
      <c r="C15" s="1658"/>
      <c r="D15" s="1658"/>
      <c r="E15" s="2573"/>
      <c r="F15" s="1658"/>
      <c r="G15" s="1658"/>
      <c r="H15" s="1658"/>
      <c r="I15" s="1658"/>
      <c r="J15" s="1658"/>
      <c r="K15" s="1658"/>
      <c r="L15" s="1661"/>
      <c r="M15" s="1663"/>
      <c r="N15" s="1663"/>
      <c r="O15" s="635"/>
      <c r="P15" s="1600"/>
      <c r="Q15" s="1601"/>
      <c r="R15" s="1600"/>
      <c r="S15" s="1606"/>
      <c r="T15" s="1609" t="s">
        <v>230</v>
      </c>
      <c r="U15" s="1608"/>
      <c r="V15" s="1608"/>
      <c r="W15" s="1608"/>
      <c r="X15" s="1608"/>
      <c r="Y15" s="1608"/>
      <c r="Z15" s="1608"/>
      <c r="AA15" s="1608"/>
      <c r="AB15" s="1608"/>
      <c r="AC15" s="1608"/>
      <c r="AD15" s="1608"/>
      <c r="AE15" s="1608"/>
      <c r="AF15" s="1608"/>
      <c r="AG15" s="1608"/>
      <c r="AH15" s="1608"/>
      <c r="AI15" s="1608"/>
      <c r="AJ15" s="1608"/>
      <c r="AK15" s="1608"/>
      <c r="AL15" s="1608"/>
      <c r="AM15" s="1608"/>
      <c r="AO15" s="1535"/>
      <c r="AP15" s="1535" t="str">
        <f>IF(T15="","",T15)</f>
        <v>Добавить территорию для дифференциации</v>
      </c>
      <c r="AQ15" s="1535"/>
      <c r="AR15" s="1535"/>
      <c r="AS15" s="1926">
        <v>0</v>
      </c>
    </row>
    <row customHeight="1" ht="14.25" hidden="1">
      <c r="AS16" s="1915">
        <v>0</v>
      </c>
    </row>
    <row customHeight="1" ht="14.25" hidden="1">
      <c r="AD17" s="1644"/>
      <c r="AE17" s="1644"/>
      <c r="AF17" s="1644"/>
      <c r="AG17" s="1645"/>
      <c r="AH17" s="2551"/>
      <c r="AI17" s="2552" t="s">
        <v>64</v>
      </c>
      <c r="AJ17" s="2551"/>
      <c r="AK17" s="2552" t="s">
        <v>64</v>
      </c>
      <c r="AS17" s="1915">
        <v>0</v>
      </c>
    </row>
    <row customHeight="1" ht="14.25" hidden="1">
      <c r="AD18" s="1644"/>
      <c r="AE18" s="1644"/>
      <c r="AF18" s="1644"/>
      <c r="AG18" s="612" t="str">
        <f>AH17&amp;"-"&amp;AJ17</f>
        <v>-</v>
      </c>
      <c r="AH18" s="2552"/>
      <c r="AI18" s="2552"/>
      <c r="AJ18" s="2552"/>
      <c r="AK18" s="2552"/>
      <c r="AS18" s="1915">
        <v>0</v>
      </c>
    </row>
    <row customHeight="1" ht="14.25" hidden="1">
      <c r="AS19" s="1915">
        <v>0</v>
      </c>
    </row>
    <row s="30620" customFormat="1" customHeight="1" ht="14.25" hidden="1">
      <c r="A20" s="1915"/>
      <c r="B20" s="1915"/>
      <c r="C20" s="1915"/>
      <c r="D20" s="1915"/>
      <c r="E20" s="1915"/>
      <c r="F20" s="1915"/>
      <c r="G20" s="1915"/>
      <c r="H20" s="1915"/>
      <c r="I20" s="1915"/>
      <c r="J20" s="1915"/>
      <c r="K20" s="1915"/>
      <c r="L20" s="2223"/>
      <c r="M20" s="2249"/>
      <c r="N20" s="2249"/>
      <c r="O20" s="1629" t="s">
        <v>474</v>
      </c>
      <c r="P20" s="1646"/>
      <c r="Q20" s="1655"/>
      <c r="R20" s="1655"/>
      <c r="S20" s="1013"/>
      <c r="Z20" s="1651"/>
      <c r="AB20" s="1651"/>
      <c r="AH20" s="1651"/>
      <c r="AJ20" s="1651"/>
      <c r="AN20" s="1920"/>
      <c r="AO20" s="1920"/>
      <c r="AP20" s="1920"/>
      <c r="AQ20" s="1920"/>
      <c r="AR20" s="1920"/>
      <c r="AS20" s="1650">
        <v>0</v>
      </c>
    </row>
    <row s="30620" customFormat="1" customHeight="1" ht="14.25" hidden="1">
      <c r="A21" s="1915"/>
      <c r="B21" s="1915"/>
      <c r="C21" s="1915"/>
      <c r="D21" s="1915"/>
      <c r="E21" s="1915"/>
      <c r="F21" s="1915"/>
      <c r="G21" s="1915"/>
      <c r="H21" s="1915"/>
      <c r="I21" s="1915"/>
      <c r="J21" s="1915"/>
      <c r="K21" s="1915"/>
      <c r="L21" s="2223"/>
      <c r="M21" s="2249"/>
      <c r="N21" s="2249"/>
      <c r="O21" s="2249"/>
      <c r="P21" s="1646"/>
      <c r="Q21" s="1655"/>
      <c r="R21" s="1655"/>
      <c r="S21" s="1013"/>
      <c r="AN21" s="1920"/>
      <c r="AO21" s="1920"/>
      <c r="AP21" s="1920"/>
      <c r="AQ21" s="1920"/>
      <c r="AR21" s="1920"/>
      <c r="AS21" s="1650">
        <v>0</v>
      </c>
    </row>
    <row s="30620" customFormat="1" customHeight="1" ht="14.25" hidden="1">
      <c r="A22" s="1915"/>
      <c r="B22" s="1915"/>
      <c r="C22" s="1915"/>
      <c r="D22" s="1915"/>
      <c r="E22" s="1915"/>
      <c r="F22" s="1915"/>
      <c r="G22" s="1915"/>
      <c r="H22" s="1915"/>
      <c r="I22" s="1915"/>
      <c r="J22" s="1915"/>
      <c r="K22" s="1915"/>
      <c r="L22" s="2223"/>
      <c r="M22" s="2249"/>
      <c r="N22" s="2249"/>
      <c r="O22" s="1594" t="s">
        <v>475</v>
      </c>
      <c r="P22" s="1646"/>
      <c r="Q22" s="1655"/>
      <c r="R22" s="1655"/>
      <c r="S22" s="1013"/>
      <c r="T22" s="1650" t="s">
        <v>476</v>
      </c>
      <c r="AA22" s="879" t="s">
        <v>477</v>
      </c>
      <c r="AC22" s="879" t="s">
        <v>478</v>
      </c>
      <c r="AD22" s="1650" t="s">
        <v>476</v>
      </c>
      <c r="AI22" s="879" t="s">
        <v>479</v>
      </c>
      <c r="AK22" s="879" t="s">
        <v>478</v>
      </c>
      <c r="AN22" s="1920"/>
      <c r="AO22" s="1920"/>
      <c r="AP22" s="1920"/>
      <c r="AQ22" s="1920"/>
      <c r="AR22" s="1920"/>
      <c r="AS22" s="1650">
        <v>0</v>
      </c>
    </row>
    <row customHeight="1" ht="14.25" hidden="1">
      <c r="O23" s="1594"/>
      <c r="AS23" s="1915">
        <v>0</v>
      </c>
    </row>
    <row customHeight="1" ht="14.25" hidden="1">
      <c r="O24" s="1594"/>
      <c r="AS24" s="1915">
        <v>0</v>
      </c>
    </row>
    <row customHeight="1" ht="14.699999999999998">
      <c r="Q25" s="660"/>
      <c r="R25" s="660"/>
      <c r="S25" s="1559"/>
      <c r="T25" s="741"/>
      <c r="U25" s="741"/>
      <c r="V25" s="1919"/>
      <c r="W25" s="1919"/>
      <c r="X25" s="1919"/>
      <c r="Y25" s="1919"/>
      <c r="Z25" s="1919"/>
      <c r="AA25" s="1919"/>
      <c r="AB25" s="1919"/>
      <c r="AC25" s="1919"/>
      <c r="AD25" s="1919"/>
      <c r="AE25" s="1919"/>
      <c r="AF25" s="1919"/>
      <c r="AG25" s="1919"/>
      <c r="AH25" s="1919"/>
      <c r="AI25" s="1919"/>
      <c r="AJ25" s="1919"/>
      <c r="AK25" s="1919"/>
      <c r="AS25" s="1915">
        <v>14</v>
      </c>
    </row>
    <row customHeight="1" ht="14.699999999999998">
      <c r="Q26" s="660"/>
      <c r="R26" s="660"/>
      <c r="S26" s="253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32"/>
      <c r="U26" s="2532"/>
      <c r="V26" s="2532"/>
      <c r="W26" s="2532"/>
      <c r="X26" s="2532"/>
      <c r="Y26" s="2532"/>
      <c r="Z26" s="2532"/>
      <c r="AA26" s="2532"/>
      <c r="AB26" s="2532"/>
      <c r="AC26" s="2532"/>
      <c r="AD26" s="2532"/>
      <c r="AE26" s="2532"/>
      <c r="AF26" s="2532"/>
      <c r="AG26" s="2532"/>
      <c r="AH26" s="2532"/>
      <c r="AI26" s="2532"/>
      <c r="AJ26" s="2532"/>
      <c r="AK26" s="1527"/>
      <c r="AS26" s="1915">
        <v>14</v>
      </c>
    </row>
    <row customHeight="1" ht="14.699999999999998">
      <c r="Q27" s="660"/>
      <c r="R27" s="660"/>
      <c r="S27" s="2533" t="str">
        <f>IF(org=0,"Не определено",org)</f>
        <v>АО "ДГК"</v>
      </c>
      <c r="T27" s="2533"/>
      <c r="U27" s="2533"/>
      <c r="V27" s="2533"/>
      <c r="W27" s="2533"/>
      <c r="X27" s="2533"/>
      <c r="Y27" s="2533"/>
      <c r="Z27" s="2533"/>
      <c r="AA27" s="2533"/>
      <c r="AB27" s="2533"/>
      <c r="AC27" s="2533"/>
      <c r="AD27" s="2533"/>
      <c r="AE27" s="2533"/>
      <c r="AF27" s="2533"/>
      <c r="AG27" s="2533"/>
      <c r="AH27" s="2533"/>
      <c r="AI27" s="2533"/>
      <c r="AJ27" s="2533"/>
      <c r="AK27" s="1527"/>
      <c r="AS27" s="1915">
        <v>14</v>
      </c>
    </row>
    <row customHeight="1" ht="14.25" hidden="1">
      <c r="Q28" s="660"/>
      <c r="R28" s="660"/>
      <c r="S28" s="1559"/>
      <c r="T28" s="741"/>
      <c r="U28" s="741"/>
      <c r="V28" s="606"/>
      <c r="W28" s="606"/>
      <c r="X28" s="606"/>
      <c r="Y28" s="606"/>
      <c r="Z28" s="606"/>
      <c r="AA28" s="606"/>
      <c r="AB28" s="606"/>
      <c r="AC28" s="606"/>
      <c r="AD28" s="606"/>
      <c r="AE28" s="606"/>
      <c r="AF28" s="606"/>
      <c r="AG28" s="606"/>
      <c r="AH28" s="606"/>
      <c r="AI28" s="606"/>
      <c r="AJ28" s="606"/>
      <c r="AK28" s="606"/>
      <c r="AL28" s="1919"/>
      <c r="AS28" s="1915">
        <v>0</v>
      </c>
    </row>
    <row s="30764" customFormat="1" customHeight="1" ht="25.5" hidden="1">
      <c r="A29" s="1532"/>
      <c r="B29" s="1532"/>
      <c r="C29" s="1532"/>
      <c r="D29" s="1532"/>
      <c r="E29" s="1532"/>
      <c r="F29" s="1532"/>
      <c r="G29" s="1532"/>
      <c r="H29" s="1532"/>
      <c r="I29" s="1532"/>
      <c r="J29" s="1532"/>
      <c r="K29" s="1532"/>
      <c r="L29" s="1664"/>
      <c r="M29" s="1532"/>
      <c r="N29" s="1532"/>
      <c r="O29" s="1532"/>
      <c r="S29" s="2534" t="s">
        <v>42</v>
      </c>
      <c r="T29" s="2534"/>
      <c r="U29" s="1656"/>
      <c r="V29" s="2535" t="str">
        <f>IF(TITLE_NAME_OR_PR_CHANGE="",IF(TITLE_NAME_OR_PR="","",TITLE_NAME_OR_PR),TITLE_NAME_OR_PR_CHANGE)</f>
        <v>Комитет по ценам и тарифам Правительства Хабаровского края</v>
      </c>
      <c r="W29" s="2535"/>
      <c r="X29" s="2535"/>
      <c r="Y29" s="2535"/>
      <c r="Z29" s="2535"/>
      <c r="AA29" s="2535"/>
      <c r="AB29" s="2535"/>
      <c r="AC29" s="1919"/>
      <c r="AD29" s="2535" t="str">
        <f>IF(TITLE_NAME_OR_PR_CHANGE="",IF(TITLE_NAME_OR_PR="","",TITLE_NAME_OR_PR),TITLE_NAME_OR_PR_CHANGE)</f>
        <v>Комитет по ценам и тарифам Правительства Хабаровского края</v>
      </c>
      <c r="AE29" s="2535"/>
      <c r="AF29" s="2535"/>
      <c r="AG29" s="2535"/>
      <c r="AH29" s="2535"/>
      <c r="AI29" s="2535"/>
      <c r="AJ29" s="2535"/>
      <c r="AK29" s="1919"/>
      <c r="AL29" s="1919"/>
      <c r="AM29" s="564"/>
      <c r="AN29" s="652"/>
      <c r="AO29" s="652"/>
      <c r="AP29" s="652"/>
      <c r="AQ29" s="652"/>
      <c r="AR29" s="652"/>
      <c r="AS29" s="702">
        <v>0</v>
      </c>
    </row>
    <row s="30764" customFormat="1" customHeight="1" ht="18.75" hidden="1">
      <c r="A30" s="1532"/>
      <c r="B30" s="1532"/>
      <c r="C30" s="1532"/>
      <c r="D30" s="1532"/>
      <c r="E30" s="1532"/>
      <c r="F30" s="1532"/>
      <c r="G30" s="1532"/>
      <c r="H30" s="1532"/>
      <c r="I30" s="1532"/>
      <c r="J30" s="1532"/>
      <c r="K30" s="1532"/>
      <c r="L30" s="1664"/>
      <c r="M30" s="1532"/>
      <c r="N30" s="1532"/>
      <c r="O30" s="1532"/>
      <c r="S30" s="2534" t="s">
        <v>480</v>
      </c>
      <c r="T30" s="2534"/>
      <c r="U30" s="1656"/>
      <c r="V30" s="2548" t="str">
        <f>IF(TITLE_DATE_PR_CHANGE="",IF(TITLE_DATE_PR="","",TITLE_DATE_PR),TITLE_DATE_PR_CHANGE)</f>
        <v>45645</v>
      </c>
      <c r="W30" s="2548"/>
      <c r="X30" s="2548"/>
      <c r="Y30" s="2548"/>
      <c r="Z30" s="2548"/>
      <c r="AA30" s="2548"/>
      <c r="AB30" s="2548"/>
      <c r="AC30" s="1919"/>
      <c r="AD30" s="2548" t="str">
        <f>IF(TITLE_DATE_PR_CHANGE="",IF(TITLE_DATE_PR="","",TITLE_DATE_PR),TITLE_DATE_PR_CHANGE)</f>
        <v>45645</v>
      </c>
      <c r="AE30" s="2548"/>
      <c r="AF30" s="2548"/>
      <c r="AG30" s="2548"/>
      <c r="AH30" s="2548"/>
      <c r="AI30" s="2548"/>
      <c r="AJ30" s="2548"/>
      <c r="AK30" s="1919"/>
      <c r="AL30" s="1919"/>
      <c r="AM30" s="564"/>
      <c r="AN30" s="652"/>
      <c r="AO30" s="652"/>
      <c r="AP30" s="652"/>
      <c r="AQ30" s="652"/>
      <c r="AR30" s="652"/>
      <c r="AS30" s="702">
        <v>0</v>
      </c>
    </row>
    <row s="30764" customFormat="1" customHeight="1" ht="18.75" hidden="1">
      <c r="A31" s="1532"/>
      <c r="B31" s="1532"/>
      <c r="C31" s="1532"/>
      <c r="D31" s="1532"/>
      <c r="E31" s="1532"/>
      <c r="F31" s="1532"/>
      <c r="G31" s="1532"/>
      <c r="H31" s="1532"/>
      <c r="I31" s="1532"/>
      <c r="J31" s="1532"/>
      <c r="K31" s="1532"/>
      <c r="L31" s="1664"/>
      <c r="M31" s="1532"/>
      <c r="N31" s="1532"/>
      <c r="O31" s="1532"/>
      <c r="S31" s="2534" t="s">
        <v>481</v>
      </c>
      <c r="T31" s="2534"/>
      <c r="U31" s="1656"/>
      <c r="V31" s="2535" t="str">
        <f>IF(TITLE_NUMBER_PR_CHANGE="",IF(TITLE_NUMBER_PR="","",TITLE_NUMBER_PR),TITLE_NUMBER_PR_CHANGE)</f>
        <v>№ 40/8</v>
      </c>
      <c r="W31" s="2535"/>
      <c r="X31" s="2535"/>
      <c r="Y31" s="2535"/>
      <c r="Z31" s="2535"/>
      <c r="AA31" s="2535"/>
      <c r="AB31" s="2535"/>
      <c r="AC31" s="1919"/>
      <c r="AD31" s="2535" t="str">
        <f>IF(TITLE_NUMBER_PR_CHANGE="",IF(TITLE_NUMBER_PR="","",TITLE_NUMBER_PR),TITLE_NUMBER_PR_CHANGE)</f>
        <v>№ 40/8</v>
      </c>
      <c r="AE31" s="2535"/>
      <c r="AF31" s="2535"/>
      <c r="AG31" s="2535"/>
      <c r="AH31" s="2535"/>
      <c r="AI31" s="2535"/>
      <c r="AJ31" s="2535"/>
      <c r="AK31" s="1919"/>
      <c r="AL31" s="1919"/>
      <c r="AM31" s="564"/>
      <c r="AN31" s="652"/>
      <c r="AO31" s="652"/>
      <c r="AP31" s="652"/>
      <c r="AQ31" s="652"/>
      <c r="AR31" s="652"/>
      <c r="AS31" s="702">
        <v>0</v>
      </c>
    </row>
    <row s="30764" customFormat="1" customHeight="1" ht="18.75" hidden="1">
      <c r="A32" s="1532"/>
      <c r="B32" s="1532"/>
      <c r="C32" s="1532"/>
      <c r="D32" s="1532"/>
      <c r="E32" s="1532"/>
      <c r="F32" s="1532"/>
      <c r="G32" s="1532"/>
      <c r="H32" s="1532"/>
      <c r="I32" s="1532"/>
      <c r="J32" s="1532"/>
      <c r="K32" s="1532"/>
      <c r="L32" s="1664"/>
      <c r="M32" s="1532"/>
      <c r="N32" s="1532"/>
      <c r="O32" s="1532"/>
      <c r="S32" s="2534" t="s">
        <v>44</v>
      </c>
      <c r="T32" s="2534"/>
      <c r="U32" s="1656"/>
      <c r="V32" s="2535" t="str">
        <f>IF(TITLE_IST_PUB_CHANGE="",IF(TITLE_IST_PUB="","",TITLE_IST_PUB),TITLE_IST_PUB_CHANGE)</f>
        <v>Официальный интернет - портал нормативных правовых актов Хабаровского края https://laws.khv.gov.ru/</v>
      </c>
      <c r="W32" s="2535"/>
      <c r="X32" s="2535"/>
      <c r="Y32" s="2535"/>
      <c r="Z32" s="2535"/>
      <c r="AA32" s="2535"/>
      <c r="AB32" s="2535"/>
      <c r="AC32" s="1919"/>
      <c r="AD32" s="2535" t="str">
        <f>IF(TITLE_IST_PUB_CHANGE="",IF(TITLE_IST_PUB="","",TITLE_IST_PUB),TITLE_IST_PUB_CHANGE)</f>
        <v>Официальный интернет - портал нормативных правовых актов Хабаровского края https://laws.khv.gov.ru/</v>
      </c>
      <c r="AE32" s="2535"/>
      <c r="AF32" s="2535"/>
      <c r="AG32" s="2535"/>
      <c r="AH32" s="2535"/>
      <c r="AI32" s="2535"/>
      <c r="AJ32" s="2535"/>
      <c r="AK32" s="1919"/>
      <c r="AL32" s="1919"/>
      <c r="AM32" s="564"/>
      <c r="AN32" s="652"/>
      <c r="AO32" s="652"/>
      <c r="AP32" s="652"/>
      <c r="AQ32" s="652"/>
      <c r="AR32" s="652"/>
      <c r="AS32" s="702">
        <v>0</v>
      </c>
    </row>
    <row customHeight="1" ht="14.25" hidden="1">
      <c r="Q33" s="660"/>
      <c r="R33" s="660"/>
      <c r="S33" s="1559"/>
      <c r="T33" s="741"/>
      <c r="U33" s="741"/>
      <c r="V33" s="606"/>
      <c r="W33" s="606"/>
      <c r="X33" s="606"/>
      <c r="Y33" s="606"/>
      <c r="Z33" s="606"/>
      <c r="AA33" s="606"/>
      <c r="AB33" s="606"/>
      <c r="AC33" s="606"/>
      <c r="AD33" s="606"/>
      <c r="AE33" s="606"/>
      <c r="AF33" s="606"/>
      <c r="AG33" s="606"/>
      <c r="AH33" s="606"/>
      <c r="AI33" s="606"/>
      <c r="AJ33" s="606"/>
      <c r="AK33" s="606"/>
      <c r="AL33" s="1919"/>
      <c r="AS33" s="1915">
        <v>0</v>
      </c>
    </row>
    <row s="30764" customFormat="1" customHeight="1" ht="18.75" hidden="1">
      <c r="A34" s="1532"/>
      <c r="B34" s="1532"/>
      <c r="C34" s="1532"/>
      <c r="D34" s="1532"/>
      <c r="E34" s="1532"/>
      <c r="F34" s="1532"/>
      <c r="G34" s="1532"/>
      <c r="H34" s="1532"/>
      <c r="I34" s="1532"/>
      <c r="J34" s="1532"/>
      <c r="K34" s="1532"/>
      <c r="L34" s="1664"/>
      <c r="M34" s="1532"/>
      <c r="N34" s="1532"/>
      <c r="O34" s="1532"/>
      <c r="S34" s="2534" t="s">
        <v>482</v>
      </c>
      <c r="T34" s="2534"/>
      <c r="U34" s="1656"/>
      <c r="V34" s="2548" t="str">
        <f>IF(TITLE_DATE_PR_CHANGE="",IF(TITLE_DATE_PR="","",TITLE_DATE_PR),TITLE_DATE_PR_CHANGE)</f>
        <v>45645</v>
      </c>
      <c r="W34" s="2548"/>
      <c r="X34" s="2548"/>
      <c r="Y34" s="2548"/>
      <c r="Z34" s="2548"/>
      <c r="AA34" s="2548"/>
      <c r="AB34" s="2548"/>
      <c r="AC34" s="1919"/>
      <c r="AD34" s="2548" t="str">
        <f>IF(TITLE_DATE_PR_CHANGE="",IF(TITLE_DATE_PR="","",TITLE_DATE_PR),TITLE_DATE_PR_CHANGE)</f>
        <v>45645</v>
      </c>
      <c r="AE34" s="2548"/>
      <c r="AF34" s="2548"/>
      <c r="AG34" s="2548"/>
      <c r="AH34" s="2548"/>
      <c r="AI34" s="2548"/>
      <c r="AJ34" s="2548"/>
      <c r="AK34" s="1919"/>
      <c r="AL34" s="1919"/>
      <c r="AM34" s="564"/>
      <c r="AN34" s="652"/>
      <c r="AO34" s="652"/>
      <c r="AP34" s="652"/>
      <c r="AQ34" s="652"/>
      <c r="AR34" s="652"/>
      <c r="AS34" s="702">
        <v>0</v>
      </c>
    </row>
    <row s="30764" customFormat="1" customHeight="1" ht="18.75" hidden="1">
      <c r="A35" s="1532"/>
      <c r="B35" s="1532"/>
      <c r="C35" s="1532"/>
      <c r="D35" s="1532"/>
      <c r="E35" s="1532"/>
      <c r="F35" s="1532"/>
      <c r="G35" s="1532"/>
      <c r="H35" s="1532"/>
      <c r="I35" s="1532"/>
      <c r="J35" s="1532"/>
      <c r="K35" s="1532"/>
      <c r="L35" s="1664"/>
      <c r="M35" s="1532"/>
      <c r="N35" s="1532"/>
      <c r="O35" s="1532"/>
      <c r="S35" s="2534" t="s">
        <v>483</v>
      </c>
      <c r="T35" s="2534"/>
      <c r="U35" s="1656"/>
      <c r="V35" s="2535" t="str">
        <f>IF(TITLE_NUMBER_PR_CHANGE="",IF(TITLE_NUMBER_PR="","",TITLE_NUMBER_PR),TITLE_NUMBER_PR_CHANGE)</f>
        <v>№ 40/8</v>
      </c>
      <c r="W35" s="2535"/>
      <c r="X35" s="2535"/>
      <c r="Y35" s="2535"/>
      <c r="Z35" s="2535"/>
      <c r="AA35" s="2535"/>
      <c r="AB35" s="2535"/>
      <c r="AC35" s="1919"/>
      <c r="AD35" s="2535" t="str">
        <f>IF(TITLE_NUMBER_PR_CHANGE="",IF(TITLE_NUMBER_PR="","",TITLE_NUMBER_PR),TITLE_NUMBER_PR_CHANGE)</f>
        <v>№ 40/8</v>
      </c>
      <c r="AE35" s="2535"/>
      <c r="AF35" s="2535"/>
      <c r="AG35" s="2535"/>
      <c r="AH35" s="2535"/>
      <c r="AI35" s="2535"/>
      <c r="AJ35" s="2535"/>
      <c r="AK35" s="1919"/>
      <c r="AL35" s="1919"/>
      <c r="AM35" s="564"/>
      <c r="AN35" s="652"/>
      <c r="AO35" s="652"/>
      <c r="AP35" s="652"/>
      <c r="AQ35" s="652"/>
      <c r="AR35" s="652"/>
      <c r="AS35" s="702">
        <v>0</v>
      </c>
    </row>
    <row s="30764" customFormat="1" customHeight="1" ht="0">
      <c r="A36" s="1532"/>
      <c r="B36" s="1532"/>
      <c r="C36" s="1532"/>
      <c r="D36" s="1532"/>
      <c r="E36" s="1532"/>
      <c r="F36" s="1532"/>
      <c r="G36" s="1532"/>
      <c r="H36" s="1532"/>
      <c r="I36" s="1532"/>
      <c r="J36" s="1532"/>
      <c r="K36" s="1532"/>
      <c r="L36" s="1664"/>
      <c r="M36" s="1532"/>
      <c r="N36" s="1532"/>
      <c r="O36" s="1532"/>
      <c r="S36" s="1919"/>
      <c r="T36" s="1919"/>
      <c r="U36" s="2254"/>
      <c r="V36" s="1919"/>
      <c r="W36" s="1919"/>
      <c r="X36" s="1919"/>
      <c r="Y36" s="1919"/>
      <c r="Z36" s="1919"/>
      <c r="AA36" s="1919"/>
      <c r="AB36" s="1919"/>
      <c r="AC36" s="1926" t="s">
        <v>484</v>
      </c>
      <c r="AD36" s="1919"/>
      <c r="AE36" s="1919"/>
      <c r="AF36" s="1919"/>
      <c r="AG36" s="1919"/>
      <c r="AH36" s="1919"/>
      <c r="AI36" s="1919"/>
      <c r="AJ36" s="1919"/>
      <c r="AK36" s="1926" t="s">
        <v>484</v>
      </c>
      <c r="AN36" s="652"/>
      <c r="AO36" s="652"/>
      <c r="AP36" s="652"/>
      <c r="AQ36" s="652"/>
      <c r="AR36" s="652"/>
      <c r="AS36" s="702">
        <v>0</v>
      </c>
    </row>
    <row customHeight="1" ht="14.699999999999998">
      <c r="Q37" s="660"/>
      <c r="R37" s="660"/>
      <c r="S37" s="1559"/>
      <c r="T37" s="741"/>
      <c r="U37" s="1528"/>
      <c r="V37" s="2536"/>
      <c r="W37" s="2536"/>
      <c r="X37" s="2536"/>
      <c r="Y37" s="2536"/>
      <c r="Z37" s="2536"/>
      <c r="AA37" s="2536"/>
      <c r="AB37" s="2536"/>
      <c r="AC37" s="2536"/>
      <c r="AD37" s="2536"/>
      <c r="AE37" s="2536"/>
      <c r="AF37" s="2536"/>
      <c r="AG37" s="2536"/>
      <c r="AH37" s="2536"/>
      <c r="AI37" s="2536"/>
      <c r="AJ37" s="2536"/>
      <c r="AK37" s="2536"/>
      <c r="AS37" s="1915">
        <v>14</v>
      </c>
    </row>
    <row customHeight="1" ht="14.699999999999998">
      <c r="Q38" s="660"/>
      <c r="R38" s="660"/>
      <c r="S38" s="2411" t="s">
        <v>360</v>
      </c>
      <c r="T38" s="2411"/>
      <c r="U38" s="2411"/>
      <c r="V38" s="2411"/>
      <c r="W38" s="2411"/>
      <c r="X38" s="2411"/>
      <c r="Y38" s="2411"/>
      <c r="Z38" s="2411"/>
      <c r="AA38" s="2411"/>
      <c r="AB38" s="2411"/>
      <c r="AC38" s="2411"/>
      <c r="AD38" s="2411"/>
      <c r="AE38" s="2411"/>
      <c r="AF38" s="2411"/>
      <c r="AG38" s="2411"/>
      <c r="AH38" s="2411"/>
      <c r="AI38" s="2411"/>
      <c r="AJ38" s="2411"/>
      <c r="AK38" s="2411"/>
      <c r="AL38" s="2411"/>
      <c r="AM38" s="2411" t="s">
        <v>361</v>
      </c>
      <c r="AS38" s="1915">
        <v>14</v>
      </c>
    </row>
    <row customHeight="1" ht="14.699999999999998">
      <c r="Q39" s="660"/>
      <c r="R39" s="660"/>
      <c r="S39" s="2557" t="s">
        <v>91</v>
      </c>
      <c r="T39" s="2493" t="s">
        <v>485</v>
      </c>
      <c r="U39" s="621"/>
      <c r="V39" s="2558" t="s">
        <v>486</v>
      </c>
      <c r="W39" s="2559"/>
      <c r="X39" s="2559"/>
      <c r="Y39" s="2559"/>
      <c r="Z39" s="2559"/>
      <c r="AA39" s="2559"/>
      <c r="AB39" s="2560"/>
      <c r="AC39" s="2561" t="s">
        <v>487</v>
      </c>
      <c r="AD39" s="2558" t="s">
        <v>486</v>
      </c>
      <c r="AE39" s="2559"/>
      <c r="AF39" s="2559"/>
      <c r="AG39" s="2559"/>
      <c r="AH39" s="2559"/>
      <c r="AI39" s="2559"/>
      <c r="AJ39" s="2560"/>
      <c r="AK39" s="2561" t="s">
        <v>488</v>
      </c>
      <c r="AL39" s="2564" t="s">
        <v>489</v>
      </c>
      <c r="AM39" s="2411"/>
      <c r="AS39" s="1915">
        <v>14</v>
      </c>
    </row>
    <row customHeight="1" ht="35.699999999999996">
      <c r="Q40" s="660"/>
      <c r="R40" s="660"/>
      <c r="S40" s="2557"/>
      <c r="T40" s="2493"/>
      <c r="U40" s="1315"/>
      <c r="V40" s="2544" t="s">
        <v>490</v>
      </c>
      <c r="W40" s="2567" t="s">
        <v>491</v>
      </c>
      <c r="X40" s="2546" t="s">
        <v>492</v>
      </c>
      <c r="Y40" s="2547"/>
      <c r="Z40" s="2546" t="s">
        <v>505</v>
      </c>
      <c r="AA40" s="2553"/>
      <c r="AB40" s="2547"/>
      <c r="AC40" s="2562"/>
      <c r="AD40" s="2544" t="s">
        <v>490</v>
      </c>
      <c r="AE40" s="2567" t="s">
        <v>491</v>
      </c>
      <c r="AF40" s="2546" t="s">
        <v>492</v>
      </c>
      <c r="AG40" s="2547"/>
      <c r="AH40" s="2546" t="s">
        <v>493</v>
      </c>
      <c r="AI40" s="2553"/>
      <c r="AJ40" s="2547"/>
      <c r="AK40" s="2562"/>
      <c r="AL40" s="2565"/>
      <c r="AM40" s="2411"/>
      <c r="AS40" s="1915">
        <v>34</v>
      </c>
    </row>
    <row customHeight="1" ht="35.699999999999996">
      <c r="A41" s="1550"/>
      <c r="B41" s="1550" t="s">
        <v>165</v>
      </c>
      <c r="C41" s="1550" t="s">
        <v>166</v>
      </c>
      <c r="D41" s="1550" t="s">
        <v>167</v>
      </c>
      <c r="E41" s="1594" t="s">
        <v>494</v>
      </c>
      <c r="F41" s="1594" t="s">
        <v>495</v>
      </c>
      <c r="G41" s="1594" t="s">
        <v>496</v>
      </c>
      <c r="H41" s="1594" t="s">
        <v>497</v>
      </c>
      <c r="I41" s="1594" t="s">
        <v>498</v>
      </c>
      <c r="J41" s="1594" t="s">
        <v>499</v>
      </c>
      <c r="K41" s="1594" t="s">
        <v>500</v>
      </c>
      <c r="L41" s="1594" t="s">
        <v>475</v>
      </c>
      <c r="Q41" s="660"/>
      <c r="R41" s="660"/>
      <c r="S41" s="2557"/>
      <c r="T41" s="2493"/>
      <c r="U41" s="586"/>
      <c r="V41" s="2545"/>
      <c r="W41" s="2568"/>
      <c r="X41" s="2222" t="s">
        <v>501</v>
      </c>
      <c r="Y41" s="2222" t="s">
        <v>502</v>
      </c>
      <c r="Z41" s="2222" t="s">
        <v>503</v>
      </c>
      <c r="AA41" s="2554" t="s">
        <v>504</v>
      </c>
      <c r="AB41" s="2555"/>
      <c r="AC41" s="2563"/>
      <c r="AD41" s="2545"/>
      <c r="AE41" s="2568"/>
      <c r="AF41" s="2222" t="s">
        <v>501</v>
      </c>
      <c r="AG41" s="2222" t="s">
        <v>502</v>
      </c>
      <c r="AH41" s="2222" t="s">
        <v>503</v>
      </c>
      <c r="AI41" s="2554" t="s">
        <v>504</v>
      </c>
      <c r="AJ41" s="2555"/>
      <c r="AK41" s="2563"/>
      <c r="AL41" s="2566"/>
      <c r="AM41" s="2411"/>
      <c r="AS41" s="1915">
        <v>34</v>
      </c>
    </row>
    <row s="31261" customFormat="1" customHeight="1" ht="11.25" hidden="1">
      <c r="A42" s="1550"/>
      <c r="B42" s="1550"/>
      <c r="C42" s="1550"/>
      <c r="D42" s="1550"/>
      <c r="E42" s="1550"/>
      <c r="F42" s="1550"/>
      <c r="G42" s="1550"/>
      <c r="H42" s="1550"/>
      <c r="I42" s="1550"/>
      <c r="J42" s="1550"/>
      <c r="K42" s="1550"/>
      <c r="L42" s="1594"/>
      <c r="M42" s="2249"/>
      <c r="N42" s="2249"/>
      <c r="O42" s="2249"/>
      <c r="P42" s="1530"/>
      <c r="Q42" s="1531"/>
      <c r="R42" s="1538">
        <v>1</v>
      </c>
      <c r="S42" s="1561" t="s">
        <v>141</v>
      </c>
      <c r="T42" s="1539" t="s">
        <v>105</v>
      </c>
      <c r="U42" s="1529" t="str">
        <f>OFFSET(U42,0,-1)</f>
        <v>2</v>
      </c>
      <c r="V42" s="2240">
        <f>OFFSET(V42,0,-1)+1</f>
        <v>3</v>
      </c>
      <c r="W42" s="2240"/>
      <c r="X42" s="2240">
        <f>OFFSET(X42,0,-1)+1</f>
        <v>1</v>
      </c>
      <c r="Y42" s="2240">
        <f>OFFSET(Y42,0,-1)+1</f>
        <v>2</v>
      </c>
      <c r="Z42" s="2240">
        <f>OFFSET(Z42,0,-1)+1</f>
        <v>3</v>
      </c>
      <c r="AA42" s="2556">
        <f>OFFSET(AA42,0,-1)+1</f>
        <v>4</v>
      </c>
      <c r="AB42" s="2556"/>
      <c r="AC42" s="2240">
        <f>OFFSET(AC42,0,-2)+1</f>
        <v>5</v>
      </c>
      <c r="AD42" s="2240">
        <f>OFFSET(AD42,0,-1)+1</f>
        <v>6</v>
      </c>
      <c r="AE42" s="2240"/>
      <c r="AF42" s="2240">
        <f>OFFSET(AF42,0,-1)+1</f>
        <v>1</v>
      </c>
      <c r="AG42" s="2240">
        <f>OFFSET(AG42,0,-1)+1</f>
        <v>2</v>
      </c>
      <c r="AH42" s="2240">
        <f>OFFSET(AH42,0,-1)+1</f>
        <v>3</v>
      </c>
      <c r="AI42" s="2556">
        <f>OFFSET(AI42,0,-1)+1</f>
        <v>4</v>
      </c>
      <c r="AJ42" s="2556"/>
      <c r="AK42" s="2240">
        <f>OFFSET(AK42,0,-2)+1</f>
        <v>5</v>
      </c>
      <c r="AL42" s="1529">
        <f>OFFSET(AL42,0,-1)</f>
        <v>5</v>
      </c>
      <c r="AM42" s="2240">
        <f>OFFSET(AM42,0,-1)+1</f>
        <v>6</v>
      </c>
      <c r="AN42" s="1920"/>
      <c r="AO42" s="1920"/>
      <c r="AP42" s="1920"/>
      <c r="AQ42" s="1920"/>
      <c r="AR42" s="1920"/>
      <c r="AS42" s="1925">
        <v>0</v>
      </c>
    </row>
    <row customHeight="1" ht="22.049999999999997">
      <c r="A43" s="1551" t="s">
        <v>272</v>
      </c>
      <c r="B43" s="1551"/>
      <c r="C43" s="1551"/>
      <c r="D43" s="1551"/>
      <c r="E43" s="2573">
        <v>1</v>
      </c>
      <c r="F43" s="1551"/>
      <c r="G43" s="1551"/>
      <c r="H43" s="1551"/>
      <c r="I43" s="1551"/>
      <c r="J43" s="1551"/>
      <c r="K43" s="1551"/>
      <c r="L43" s="1594"/>
      <c r="M43" s="1894"/>
      <c r="N43" s="1894"/>
      <c r="O43" s="1894"/>
      <c r="P43" s="1874"/>
      <c r="Q43" s="644"/>
      <c r="R43" s="639"/>
      <c r="S43" s="2242">
        <f>INDEX(PT_DIFFERENTIATION_NUM_NTAR,MATCH(A43,PT_DIFFERENTIATION_NTAR_ID,0))</f>
        <v>0</v>
      </c>
      <c r="T43" s="1809" t="s">
        <v>153</v>
      </c>
      <c r="U43" s="584"/>
      <c r="V43" s="2526"/>
      <c r="W43" s="2527"/>
      <c r="X43" s="2527"/>
      <c r="Y43" s="2527"/>
      <c r="Z43" s="2527"/>
      <c r="AA43" s="2527"/>
      <c r="AB43" s="2527"/>
      <c r="AC43" s="2528"/>
      <c r="AD43" s="2526" t="str">
        <f>INDEX(PT_DIFFERENTIATION_NTAR,MATCH(A43,PT_DIFFERENTIATION_NTAR_ID,0))</f>
        <v/>
      </c>
      <c r="AE43" s="2527"/>
      <c r="AF43" s="2527"/>
      <c r="AG43" s="2527"/>
      <c r="AH43" s="2527"/>
      <c r="AI43" s="2527"/>
      <c r="AJ43" s="2527"/>
      <c r="AK43" s="2527"/>
      <c r="AL43" s="2528"/>
      <c r="AM43" s="154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908"/>
      <c r="AP43" s="1908" t="str">
        <f>IF(T43="","",T43)</f>
        <v>Наименование тарифа</v>
      </c>
      <c r="AQ43" s="1908"/>
      <c r="AR43" s="1908"/>
      <c r="AS43" s="1915">
        <v>21</v>
      </c>
    </row>
    <row customHeight="1" ht="22.049999999999997">
      <c r="A44" s="1551" t="s">
        <v>272</v>
      </c>
      <c r="B44" s="1551" t="s">
        <v>273</v>
      </c>
      <c r="C44" s="1551"/>
      <c r="D44" s="1551"/>
      <c r="E44" s="2574"/>
      <c r="F44" s="2573">
        <v>1</v>
      </c>
      <c r="G44" s="1551"/>
      <c r="H44" s="1551"/>
      <c r="I44" s="1551"/>
      <c r="J44" s="1551"/>
      <c r="K44" s="1551"/>
      <c r="L44" s="1594"/>
      <c r="M44" s="1894"/>
      <c r="N44" s="1894"/>
      <c r="O44" s="1894"/>
      <c r="P44" s="2224"/>
      <c r="Q44" s="636"/>
      <c r="R44" s="637"/>
      <c r="S44" s="2242" t="str">
        <f>INDEX(PT_DIFFERENTIATION_NUM_TER,MATCH(B44,PT_DIFFERENTIATION_TER_ID,0))</f>
        <v>.</v>
      </c>
      <c r="T44" s="1806" t="s">
        <v>457</v>
      </c>
      <c r="U44" s="584"/>
      <c r="V44" s="2526"/>
      <c r="W44" s="2527"/>
      <c r="X44" s="2527"/>
      <c r="Y44" s="2527"/>
      <c r="Z44" s="2527"/>
      <c r="AA44" s="2527"/>
      <c r="AB44" s="2527"/>
      <c r="AC44" s="2528"/>
      <c r="AD44" s="2526" t="str">
        <f>INDEX(PT_DIFFERENTIATION_TER,MATCH(B44,PT_DIFFERENTIATION_TER_ID,0))</f>
        <v/>
      </c>
      <c r="AE44" s="2527"/>
      <c r="AF44" s="2527"/>
      <c r="AG44" s="2527"/>
      <c r="AH44" s="2527"/>
      <c r="AI44" s="2527"/>
      <c r="AJ44" s="2527"/>
      <c r="AK44" s="2527"/>
      <c r="AL44" s="2528"/>
      <c r="AM44" s="1542" t="s">
        <v>458</v>
      </c>
      <c r="AO44" s="1908"/>
      <c r="AP44" s="1908" t="str">
        <f>IF(T44="","",T44)</f>
        <v>Территория действия тарифа</v>
      </c>
      <c r="AQ44" s="1908"/>
      <c r="AR44" s="1908"/>
      <c r="AS44" s="1915">
        <v>21</v>
      </c>
    </row>
    <row customHeight="1" ht="24">
      <c r="A45" s="1551" t="s">
        <v>272</v>
      </c>
      <c r="B45" s="1551" t="s">
        <v>273</v>
      </c>
      <c r="C45" s="1551" t="s">
        <v>274</v>
      </c>
      <c r="D45" s="1551"/>
      <c r="E45" s="2574"/>
      <c r="F45" s="2574"/>
      <c r="G45" s="2573">
        <v>1</v>
      </c>
      <c r="H45" s="1551"/>
      <c r="I45" s="1551"/>
      <c r="J45" s="1551"/>
      <c r="K45" s="1551"/>
      <c r="L45" s="1594"/>
      <c r="M45" s="1894"/>
      <c r="N45" s="1894"/>
      <c r="O45" s="1894"/>
      <c r="P45" s="638"/>
      <c r="Q45" s="636"/>
      <c r="R45" s="637"/>
      <c r="S45" s="2242" t="str">
        <f>INDEX(PT_DIFFERENTIATION_NUM_CS,MATCH(C45,PT_DIFFERENTIATION_CS_ID,0))</f>
        <v>..</v>
      </c>
      <c r="T45" s="593" t="s">
        <v>459</v>
      </c>
      <c r="U45" s="584"/>
      <c r="V45" s="2526"/>
      <c r="W45" s="2527"/>
      <c r="X45" s="2527"/>
      <c r="Y45" s="2527"/>
      <c r="Z45" s="2527"/>
      <c r="AA45" s="2527"/>
      <c r="AB45" s="2527"/>
      <c r="AC45" s="2528"/>
      <c r="AD45" s="2526" t="str">
        <f>INDEX(PT_DIFFERENTIATION_CS,MATCH(C45,PT_DIFFERENTIATION_CS_ID,0))</f>
        <v/>
      </c>
      <c r="AE45" s="2527"/>
      <c r="AF45" s="2527"/>
      <c r="AG45" s="2527"/>
      <c r="AH45" s="2527"/>
      <c r="AI45" s="2527"/>
      <c r="AJ45" s="2527"/>
      <c r="AK45" s="2527"/>
      <c r="AL45" s="2528"/>
      <c r="AM45" s="1542" t="s">
        <v>460</v>
      </c>
      <c r="AO45" s="1908"/>
      <c r="AP45" s="1908" t="str">
        <f>IF(T45="","",T45)</f>
        <v>Наименование системы теплоснабжения </v>
      </c>
      <c r="AQ45" s="1908"/>
      <c r="AR45" s="1908"/>
      <c r="AS45" s="1915">
        <v>23</v>
      </c>
    </row>
    <row customHeight="1" ht="22.049999999999997">
      <c r="A46" s="1551" t="s">
        <v>272</v>
      </c>
      <c r="B46" s="1551" t="s">
        <v>273</v>
      </c>
      <c r="C46" s="1551" t="s">
        <v>274</v>
      </c>
      <c r="D46" s="1551" t="s">
        <v>275</v>
      </c>
      <c r="E46" s="2574"/>
      <c r="F46" s="2574"/>
      <c r="G46" s="2574"/>
      <c r="H46" s="2573">
        <v>1</v>
      </c>
      <c r="I46" s="1551"/>
      <c r="J46" s="1551"/>
      <c r="K46" s="1551"/>
      <c r="L46" s="1594"/>
      <c r="M46" s="1894"/>
      <c r="N46" s="1894"/>
      <c r="O46" s="1894"/>
      <c r="P46" s="638"/>
      <c r="Q46" s="636"/>
      <c r="R46" s="637"/>
      <c r="S46" s="2242" t="str">
        <f>INDEX(PT_DIFFERENTIATION_NUM_IST_TE,MATCH(D46,PT_DIFFERENTIATION_IST_TE_ID,0))</f>
        <v>...</v>
      </c>
      <c r="T46" s="594" t="s">
        <v>461</v>
      </c>
      <c r="U46" s="584"/>
      <c r="V46" s="2526"/>
      <c r="W46" s="2527"/>
      <c r="X46" s="2527"/>
      <c r="Y46" s="2527"/>
      <c r="Z46" s="2527"/>
      <c r="AA46" s="2527"/>
      <c r="AB46" s="2527"/>
      <c r="AC46" s="2528"/>
      <c r="AD46" s="2526" t="str">
        <f>INDEX(PT_DIFFERENTIATION_IST_TE,MATCH(D46,PT_DIFFERENTIATION_IST_TE_ID,0))</f>
        <v/>
      </c>
      <c r="AE46" s="2527"/>
      <c r="AF46" s="2527"/>
      <c r="AG46" s="2527"/>
      <c r="AH46" s="2527"/>
      <c r="AI46" s="2527"/>
      <c r="AJ46" s="2527"/>
      <c r="AK46" s="2527"/>
      <c r="AL46" s="2528"/>
      <c r="AM46" s="1542" t="s">
        <v>462</v>
      </c>
      <c r="AO46" s="1908"/>
      <c r="AP46" s="1908" t="str">
        <f>IF(T46="","",T46)</f>
        <v>Источник тепловой энергии  </v>
      </c>
      <c r="AQ46" s="1908"/>
      <c r="AR46" s="1908"/>
      <c r="AS46" s="1915">
        <v>21</v>
      </c>
    </row>
    <row customHeight="1" ht="49.5">
      <c r="A47" s="1551" t="s">
        <v>272</v>
      </c>
      <c r="B47" s="1551" t="s">
        <v>273</v>
      </c>
      <c r="C47" s="1551" t="s">
        <v>274</v>
      </c>
      <c r="D47" s="1551" t="s">
        <v>275</v>
      </c>
      <c r="E47" s="2574"/>
      <c r="F47" s="2574"/>
      <c r="G47" s="2574"/>
      <c r="H47" s="2574"/>
      <c r="I47" s="2411" t="str">
        <f>S46&amp;".1"</f>
        <v>....1</v>
      </c>
      <c r="J47" s="1551"/>
      <c r="K47" s="1551"/>
      <c r="L47" s="1594" t="s">
        <v>463</v>
      </c>
      <c r="P47" s="2541">
        <v>1</v>
      </c>
      <c r="Q47" s="2238"/>
      <c r="R47" s="640"/>
      <c r="S47" s="2242" t="str">
        <f>$I47</f>
        <v>....1</v>
      </c>
      <c r="T47" s="569" t="s">
        <v>464</v>
      </c>
      <c r="U47" s="584"/>
      <c r="V47" s="2529"/>
      <c r="W47" s="2530"/>
      <c r="X47" s="2530"/>
      <c r="Y47" s="2530"/>
      <c r="Z47" s="2530"/>
      <c r="AA47" s="2530"/>
      <c r="AB47" s="2530"/>
      <c r="AC47" s="2531"/>
      <c r="AD47" s="2529"/>
      <c r="AE47" s="2530"/>
      <c r="AF47" s="2530"/>
      <c r="AG47" s="2530"/>
      <c r="AH47" s="2530"/>
      <c r="AI47" s="2530"/>
      <c r="AJ47" s="2530"/>
      <c r="AK47" s="2530"/>
      <c r="AL47" s="2531"/>
      <c r="AM47" s="1542" t="s">
        <v>465</v>
      </c>
      <c r="AO47" s="1908"/>
      <c r="AP47" s="1908" t="str">
        <f>IF(T47="","",T47)</f>
        <v>Схема подключения теплопотребляющей установки к коллектору источника тепловой энергии</v>
      </c>
      <c r="AQ47" s="1908"/>
      <c r="AR47" s="1908"/>
      <c r="AS47" s="1915">
        <v>47</v>
      </c>
    </row>
    <row customHeight="1" ht="22.049999999999997">
      <c r="A48" s="1551" t="s">
        <v>272</v>
      </c>
      <c r="B48" s="1551" t="s">
        <v>273</v>
      </c>
      <c r="C48" s="1551" t="s">
        <v>274</v>
      </c>
      <c r="D48" s="1551" t="s">
        <v>275</v>
      </c>
      <c r="E48" s="2574"/>
      <c r="F48" s="2574"/>
      <c r="G48" s="2574"/>
      <c r="H48" s="2574"/>
      <c r="I48" s="2385"/>
      <c r="J48" s="2411" t="str">
        <f>I47&amp;".1"</f>
        <v>....1.1</v>
      </c>
      <c r="K48" s="1551"/>
      <c r="L48" s="1594" t="s">
        <v>466</v>
      </c>
      <c r="P48" s="2541"/>
      <c r="Q48" s="2541">
        <v>1</v>
      </c>
      <c r="R48" s="641"/>
      <c r="S48" s="2242" t="str">
        <f>$J48</f>
        <v>....1.1</v>
      </c>
      <c r="T48" s="570" t="s">
        <v>467</v>
      </c>
      <c r="U48" s="584"/>
      <c r="V48" s="2529"/>
      <c r="W48" s="2530"/>
      <c r="X48" s="2530"/>
      <c r="Y48" s="2530"/>
      <c r="Z48" s="2530"/>
      <c r="AA48" s="2530"/>
      <c r="AB48" s="2530"/>
      <c r="AC48" s="2531"/>
      <c r="AD48" s="2529"/>
      <c r="AE48" s="2530"/>
      <c r="AF48" s="2530"/>
      <c r="AG48" s="2530"/>
      <c r="AH48" s="2530"/>
      <c r="AI48" s="2530"/>
      <c r="AJ48" s="2530"/>
      <c r="AK48" s="2530"/>
      <c r="AL48" s="2531"/>
      <c r="AM48" s="1542" t="s">
        <v>468</v>
      </c>
      <c r="AO48" s="1908"/>
      <c r="AP48" s="1908" t="str">
        <f>IF(T48="","",T48)</f>
        <v>Группа потребителей</v>
      </c>
      <c r="AQ48" s="1908"/>
      <c r="AR48" s="1908"/>
      <c r="AS48" s="1915">
        <v>21</v>
      </c>
    </row>
    <row customHeight="1" ht="22.049999999999997">
      <c r="A49" s="1551" t="s">
        <v>272</v>
      </c>
      <c r="B49" s="1551" t="s">
        <v>273</v>
      </c>
      <c r="C49" s="1551" t="s">
        <v>274</v>
      </c>
      <c r="D49" s="1551" t="s">
        <v>275</v>
      </c>
      <c r="E49" s="2574"/>
      <c r="F49" s="2574"/>
      <c r="G49" s="2574"/>
      <c r="H49" s="2574"/>
      <c r="I49" s="2385"/>
      <c r="J49" s="2385"/>
      <c r="K49" s="2411" t="str">
        <f>J48&amp;".1"</f>
        <v>....1.1.1</v>
      </c>
      <c r="L49" s="1594" t="s">
        <v>469</v>
      </c>
      <c r="P49" s="2541"/>
      <c r="Q49" s="2541"/>
      <c r="R49" s="641">
        <v>1</v>
      </c>
      <c r="S49" s="2242" t="str">
        <f>$K49</f>
        <v>....1.1.1</v>
      </c>
      <c r="T49" s="1631"/>
      <c r="U49" s="584"/>
      <c r="V49" s="1035"/>
      <c r="W49" s="609"/>
      <c r="X49" s="1035"/>
      <c r="Y49" s="1541"/>
      <c r="Z49" s="2549"/>
      <c r="AA49" s="2391" t="s">
        <v>64</v>
      </c>
      <c r="AB49" s="2549"/>
      <c r="AC49" s="2391" t="s">
        <v>64</v>
      </c>
      <c r="AD49" s="1035"/>
      <c r="AE49" s="609"/>
      <c r="AF49" s="1035"/>
      <c r="AG49" s="1541"/>
      <c r="AH49" s="2549"/>
      <c r="AI49" s="2391" t="s">
        <v>64</v>
      </c>
      <c r="AJ49" s="2571"/>
      <c r="AK49" s="2391" t="s">
        <v>64</v>
      </c>
      <c r="AL49" s="1632"/>
      <c r="AM49" s="2537" t="s">
        <v>470</v>
      </c>
      <c r="AN49" s="1920">
        <f>STRCHECKDATE(V50:AL50)</f>
      </c>
      <c r="AO49" s="1908"/>
      <c r="AP49" s="1908" t="str">
        <f>IF(T49="","",T49)</f>
        <v/>
      </c>
      <c r="AQ49" s="1908"/>
      <c r="AR49" s="1908"/>
      <c r="AS49" s="1915">
        <v>21</v>
      </c>
    </row>
    <row customHeight="1" ht="1.05">
      <c r="A50" s="1551" t="s">
        <v>272</v>
      </c>
      <c r="B50" s="1551" t="s">
        <v>273</v>
      </c>
      <c r="C50" s="1551" t="s">
        <v>274</v>
      </c>
      <c r="D50" s="1551" t="s">
        <v>275</v>
      </c>
      <c r="E50" s="2574"/>
      <c r="F50" s="2574"/>
      <c r="G50" s="2574"/>
      <c r="H50" s="2574"/>
      <c r="I50" s="2385"/>
      <c r="J50" s="2385"/>
      <c r="K50" s="2411"/>
      <c r="L50" s="1594"/>
      <c r="P50" s="2541"/>
      <c r="Q50" s="2541"/>
      <c r="R50" s="641"/>
      <c r="S50" s="2251"/>
      <c r="T50" s="584"/>
      <c r="U50" s="584"/>
      <c r="V50" s="609"/>
      <c r="W50" s="609"/>
      <c r="X50" s="609"/>
      <c r="Y50" s="612" t="str">
        <f>Z49&amp;"-"&amp;AB49</f>
        <v>-</v>
      </c>
      <c r="Z50" s="2550"/>
      <c r="AA50" s="2391"/>
      <c r="AB50" s="2550"/>
      <c r="AC50" s="2391"/>
      <c r="AD50" s="609"/>
      <c r="AE50" s="609"/>
      <c r="AF50" s="609"/>
      <c r="AG50" s="612" t="str">
        <f>AH49&amp;"-"&amp;AJ49</f>
        <v>-</v>
      </c>
      <c r="AH50" s="2550"/>
      <c r="AI50" s="2391"/>
      <c r="AJ50" s="2572"/>
      <c r="AK50" s="2391"/>
      <c r="AL50" s="1633"/>
      <c r="AM50" s="2538"/>
      <c r="AO50" s="1908"/>
      <c r="AP50" s="1908" t="str">
        <f>IF(T50="","",T50)</f>
        <v/>
      </c>
      <c r="AQ50" s="1908"/>
      <c r="AR50" s="1908"/>
      <c r="AS50" s="1915">
        <v>1</v>
      </c>
    </row>
    <row customHeight="1" ht="11.549999999999999">
      <c r="A51" s="1551" t="s">
        <v>272</v>
      </c>
      <c r="B51" s="1551" t="s">
        <v>273</v>
      </c>
      <c r="C51" s="1551" t="s">
        <v>274</v>
      </c>
      <c r="D51" s="1551" t="s">
        <v>275</v>
      </c>
      <c r="E51" s="2574"/>
      <c r="F51" s="2574"/>
      <c r="G51" s="2574"/>
      <c r="H51" s="2574"/>
      <c r="I51" s="2385"/>
      <c r="J51" s="2411"/>
      <c r="K51" s="1551"/>
      <c r="L51" s="1594"/>
      <c r="P51" s="2541"/>
      <c r="Q51" s="2541"/>
      <c r="R51" s="640"/>
      <c r="S51" s="1562"/>
      <c r="T51" s="572" t="s">
        <v>471</v>
      </c>
      <c r="U51" s="884"/>
      <c r="V51" s="884"/>
      <c r="W51" s="884"/>
      <c r="X51" s="884"/>
      <c r="Y51" s="884"/>
      <c r="Z51" s="884"/>
      <c r="AA51" s="884"/>
      <c r="AB51" s="884"/>
      <c r="AC51" s="884"/>
      <c r="AD51" s="884"/>
      <c r="AE51" s="884"/>
      <c r="AF51" s="884"/>
      <c r="AG51" s="884"/>
      <c r="AH51" s="884"/>
      <c r="AI51" s="884"/>
      <c r="AJ51" s="884"/>
      <c r="AK51" s="884"/>
      <c r="AL51" s="608"/>
      <c r="AM51" s="2539"/>
      <c r="AO51" s="1908"/>
      <c r="AP51" s="1908" t="str">
        <f>IF(T51="","",T51)</f>
        <v>Добавить вид теплоносителя (параметры теплоносителя)</v>
      </c>
      <c r="AQ51" s="1908"/>
      <c r="AR51" s="1908"/>
      <c r="AS51" s="1915">
        <v>11</v>
      </c>
    </row>
    <row customHeight="1" ht="11.549999999999999">
      <c r="A52" s="1551" t="s">
        <v>272</v>
      </c>
      <c r="B52" s="1551" t="s">
        <v>273</v>
      </c>
      <c r="C52" s="1551" t="s">
        <v>274</v>
      </c>
      <c r="D52" s="1551" t="s">
        <v>275</v>
      </c>
      <c r="E52" s="2574"/>
      <c r="F52" s="2574"/>
      <c r="G52" s="2574"/>
      <c r="H52" s="2574"/>
      <c r="I52" s="2411"/>
      <c r="J52" s="1551"/>
      <c r="K52" s="1551"/>
      <c r="L52" s="1594"/>
      <c r="P52" s="2541"/>
      <c r="Q52" s="2238"/>
      <c r="R52" s="640"/>
      <c r="S52" s="1562"/>
      <c r="T52" s="571" t="s">
        <v>472</v>
      </c>
      <c r="U52" s="884"/>
      <c r="V52" s="884"/>
      <c r="W52" s="884"/>
      <c r="X52" s="884"/>
      <c r="Y52" s="884"/>
      <c r="Z52" s="884"/>
      <c r="AA52" s="884"/>
      <c r="AB52" s="884"/>
      <c r="AC52" s="650"/>
      <c r="AD52" s="884"/>
      <c r="AE52" s="884"/>
      <c r="AF52" s="884"/>
      <c r="AG52" s="884"/>
      <c r="AH52" s="884"/>
      <c r="AI52" s="884"/>
      <c r="AJ52" s="884"/>
      <c r="AK52" s="650"/>
      <c r="AL52" s="884"/>
      <c r="AM52" s="587"/>
      <c r="AO52" s="1908"/>
      <c r="AP52" s="1908" t="str">
        <f>IF(T52="","",T52)</f>
        <v>Добавить группу потребителей</v>
      </c>
      <c r="AQ52" s="1908"/>
      <c r="AR52" s="1908"/>
      <c r="AS52" s="1915">
        <v>11</v>
      </c>
    </row>
    <row customHeight="1" ht="14.699999999999998">
      <c r="A53" s="1551" t="s">
        <v>272</v>
      </c>
      <c r="B53" s="1551" t="s">
        <v>273</v>
      </c>
      <c r="C53" s="1551" t="s">
        <v>274</v>
      </c>
      <c r="D53" s="1551" t="s">
        <v>275</v>
      </c>
      <c r="E53" s="2574"/>
      <c r="F53" s="2574"/>
      <c r="G53" s="2574"/>
      <c r="H53" s="2573"/>
      <c r="I53" s="1551"/>
      <c r="J53" s="1551"/>
      <c r="K53" s="1551"/>
      <c r="L53" s="1594"/>
      <c r="M53" s="1894"/>
      <c r="N53" s="1894"/>
      <c r="O53" s="1919"/>
      <c r="P53" s="644"/>
      <c r="Q53" s="659"/>
      <c r="R53" s="639"/>
      <c r="S53" s="1562"/>
      <c r="T53" s="649" t="s">
        <v>473</v>
      </c>
      <c r="U53" s="884"/>
      <c r="V53" s="884"/>
      <c r="W53" s="884"/>
      <c r="X53" s="884"/>
      <c r="Y53" s="884"/>
      <c r="Z53" s="884"/>
      <c r="AA53" s="884"/>
      <c r="AB53" s="884"/>
      <c r="AC53" s="650"/>
      <c r="AD53" s="884"/>
      <c r="AE53" s="884"/>
      <c r="AF53" s="884"/>
      <c r="AG53" s="884"/>
      <c r="AH53" s="884"/>
      <c r="AI53" s="884"/>
      <c r="AJ53" s="884"/>
      <c r="AK53" s="650"/>
      <c r="AL53" s="884"/>
      <c r="AM53" s="587"/>
      <c r="AO53" s="1908"/>
      <c r="AP53" s="1908" t="str">
        <f>IF(T53="","",T53)</f>
        <v>Добавить схему подключения</v>
      </c>
      <c r="AQ53" s="1908"/>
      <c r="AR53" s="1908"/>
      <c r="AS53" s="1915">
        <v>14</v>
      </c>
    </row>
    <row s="30621" customFormat="1" customHeight="1" ht="4.2">
      <c r="A54" s="1659" t="s">
        <v>272</v>
      </c>
      <c r="B54" s="1659" t="s">
        <v>273</v>
      </c>
      <c r="C54" s="1659" t="s">
        <v>274</v>
      </c>
      <c r="D54" s="1658"/>
      <c r="E54" s="2574"/>
      <c r="F54" s="2574"/>
      <c r="G54" s="2573"/>
      <c r="H54" s="1658"/>
      <c r="I54" s="1658"/>
      <c r="J54" s="1658"/>
      <c r="K54" s="1658"/>
      <c r="L54" s="1661"/>
      <c r="M54" s="1662"/>
      <c r="N54" s="1662"/>
      <c r="O54" s="635"/>
      <c r="P54" s="1600"/>
      <c r="Q54" s="1601"/>
      <c r="R54" s="1600"/>
      <c r="S54" s="1606"/>
      <c r="T54" s="1609" t="s">
        <v>213</v>
      </c>
      <c r="U54" s="1608"/>
      <c r="V54" s="1608"/>
      <c r="W54" s="1608"/>
      <c r="X54" s="1608"/>
      <c r="Y54" s="1608"/>
      <c r="Z54" s="1608"/>
      <c r="AA54" s="1608"/>
      <c r="AB54" s="1608"/>
      <c r="AC54" s="1608"/>
      <c r="AD54" s="1608"/>
      <c r="AE54" s="1608"/>
      <c r="AF54" s="1608"/>
      <c r="AG54" s="1608"/>
      <c r="AH54" s="1608"/>
      <c r="AI54" s="1608"/>
      <c r="AJ54" s="1608"/>
      <c r="AK54" s="1608"/>
      <c r="AL54" s="1608"/>
      <c r="AM54" s="1608"/>
      <c r="AO54" s="1535"/>
      <c r="AP54" s="1535" t="str">
        <f>IF(T54="","",T54)</f>
        <v>Добавить источник для дифференциации</v>
      </c>
      <c r="AQ54" s="1535"/>
      <c r="AR54" s="1535"/>
      <c r="AS54" s="1926">
        <v>4</v>
      </c>
    </row>
    <row s="30621" customFormat="1" customHeight="1" ht="4.2">
      <c r="A55" s="1659" t="s">
        <v>272</v>
      </c>
      <c r="B55" s="1659" t="s">
        <v>273</v>
      </c>
      <c r="C55" s="1658"/>
      <c r="D55" s="1658"/>
      <c r="E55" s="2574"/>
      <c r="F55" s="2573"/>
      <c r="G55" s="1658"/>
      <c r="H55" s="1658"/>
      <c r="I55" s="1658"/>
      <c r="J55" s="1658"/>
      <c r="K55" s="1658"/>
      <c r="L55" s="1661"/>
      <c r="M55" s="1663"/>
      <c r="N55" s="1663"/>
      <c r="O55" s="635"/>
      <c r="P55" s="1600"/>
      <c r="Q55" s="1601"/>
      <c r="R55" s="1600"/>
      <c r="S55" s="1606"/>
      <c r="T55" s="1609" t="s">
        <v>214</v>
      </c>
      <c r="U55" s="1608"/>
      <c r="V55" s="1608"/>
      <c r="W55" s="1608"/>
      <c r="X55" s="1608"/>
      <c r="Y55" s="1608"/>
      <c r="Z55" s="1608"/>
      <c r="AA55" s="1608"/>
      <c r="AB55" s="1608"/>
      <c r="AC55" s="1608"/>
      <c r="AD55" s="1608"/>
      <c r="AE55" s="1608"/>
      <c r="AF55" s="1608"/>
      <c r="AG55" s="1608"/>
      <c r="AH55" s="1608"/>
      <c r="AI55" s="1608"/>
      <c r="AJ55" s="1608"/>
      <c r="AK55" s="1608"/>
      <c r="AL55" s="1608"/>
      <c r="AM55" s="1608"/>
      <c r="AO55" s="1535"/>
      <c r="AP55" s="1535" t="str">
        <f>IF(T55="","",T55)</f>
        <v>Добавить централизованную систему для дифференциации</v>
      </c>
      <c r="AQ55" s="1535"/>
      <c r="AR55" s="1535"/>
      <c r="AS55" s="1926">
        <v>4</v>
      </c>
    </row>
    <row s="30621" customFormat="1" customHeight="1" ht="4.2">
      <c r="A56" s="1659" t="s">
        <v>272</v>
      </c>
      <c r="B56" s="1659"/>
      <c r="C56" s="1659"/>
      <c r="D56" s="1659"/>
      <c r="E56" s="2573"/>
      <c r="F56" s="1659"/>
      <c r="G56" s="1659"/>
      <c r="H56" s="1659"/>
      <c r="I56" s="1659"/>
      <c r="J56" s="1659"/>
      <c r="K56" s="1659"/>
      <c r="L56" s="1665"/>
      <c r="M56" s="1663"/>
      <c r="N56" s="1663"/>
      <c r="O56" s="635"/>
      <c r="P56" s="664"/>
      <c r="Q56" s="1628"/>
      <c r="R56" s="664"/>
      <c r="S56" s="1606"/>
      <c r="T56" s="1609" t="s">
        <v>230</v>
      </c>
      <c r="U56" s="1608"/>
      <c r="V56" s="1608"/>
      <c r="W56" s="1608"/>
      <c r="X56" s="1608"/>
      <c r="Y56" s="1608"/>
      <c r="Z56" s="1608"/>
      <c r="AA56" s="1608"/>
      <c r="AB56" s="1608"/>
      <c r="AC56" s="1608"/>
      <c r="AD56" s="1608"/>
      <c r="AE56" s="1608"/>
      <c r="AF56" s="1608"/>
      <c r="AG56" s="1608"/>
      <c r="AH56" s="1608"/>
      <c r="AI56" s="1608"/>
      <c r="AJ56" s="1608"/>
      <c r="AK56" s="1608"/>
      <c r="AL56" s="1608"/>
      <c r="AM56" s="1608"/>
      <c r="AO56" s="1908"/>
      <c r="AP56" s="1908" t="str">
        <f>IF(T56="","",T56)</f>
        <v>Добавить территорию для дифференциации</v>
      </c>
      <c r="AQ56" s="1908"/>
      <c r="AR56" s="1908"/>
      <c r="AS56" s="1920">
        <v>4</v>
      </c>
    </row>
    <row s="30621" customFormat="1" customHeight="1" ht="4.2">
      <c r="A57" s="1658"/>
      <c r="B57" s="1658"/>
      <c r="C57" s="1658"/>
      <c r="D57" s="1658"/>
      <c r="E57" s="1659"/>
      <c r="F57" s="1658"/>
      <c r="G57" s="1658"/>
      <c r="H57" s="1658"/>
      <c r="I57" s="1658"/>
      <c r="J57" s="1658"/>
      <c r="K57" s="1658"/>
      <c r="L57" s="1661"/>
      <c r="M57" s="1663"/>
      <c r="N57" s="1663"/>
      <c r="O57" s="635"/>
      <c r="P57" s="1600"/>
      <c r="Q57" s="1601"/>
      <c r="R57" s="1600"/>
      <c r="S57" s="1606"/>
      <c r="T57" s="1609" t="s">
        <v>239</v>
      </c>
      <c r="U57" s="1608"/>
      <c r="V57" s="1608"/>
      <c r="W57" s="1608"/>
      <c r="X57" s="1608"/>
      <c r="Y57" s="1608"/>
      <c r="Z57" s="1608"/>
      <c r="AA57" s="1608"/>
      <c r="AB57" s="1608"/>
      <c r="AC57" s="1608"/>
      <c r="AD57" s="1608"/>
      <c r="AE57" s="1608"/>
      <c r="AF57" s="1608"/>
      <c r="AG57" s="1608"/>
      <c r="AH57" s="1608"/>
      <c r="AI57" s="1608"/>
      <c r="AJ57" s="1608"/>
      <c r="AK57" s="1608"/>
      <c r="AL57" s="1608"/>
      <c r="AM57" s="1608"/>
      <c r="AO57" s="1535"/>
      <c r="AP57" s="1535" t="str">
        <f>IF(T57="","",T57)</f>
        <v>Добавить наименование тарифа</v>
      </c>
      <c r="AQ57" s="1535"/>
      <c r="AR57" s="1535"/>
      <c r="AS57" s="1926">
        <v>4</v>
      </c>
    </row>
    <row customHeight="1" ht="11.549999999999999">
      <c r="M58" s="1915"/>
      <c r="N58" s="1915"/>
      <c r="O58" s="1919"/>
      <c r="P58" s="1915"/>
      <c r="Q58" s="1915"/>
      <c r="R58" s="1915"/>
      <c r="S58" s="1915"/>
      <c r="AN58" s="1915"/>
      <c r="AO58" s="1915"/>
      <c r="AP58" s="1915"/>
      <c r="AQ58" s="1915"/>
      <c r="AR58" s="1915"/>
      <c r="AS58" s="1915">
        <v>11</v>
      </c>
    </row>
    <row customHeight="1" ht="28.5">
      <c r="O59" s="1919"/>
      <c r="S59" s="1537"/>
      <c r="T59" s="2569"/>
      <c r="U59" s="2569"/>
      <c r="V59" s="2569"/>
      <c r="W59" s="2569"/>
      <c r="X59" s="2569"/>
      <c r="Y59" s="2569"/>
      <c r="Z59" s="2569"/>
      <c r="AA59" s="2569"/>
      <c r="AB59" s="2569"/>
      <c r="AC59" s="2569"/>
      <c r="AD59" s="2569"/>
      <c r="AE59" s="2569"/>
      <c r="AF59" s="2569"/>
      <c r="AG59" s="2569"/>
      <c r="AH59" s="2569"/>
      <c r="AI59" s="2569"/>
      <c r="AJ59" s="2569"/>
      <c r="AK59" s="2569"/>
      <c r="AL59" s="2569"/>
      <c r="AM59" s="2569"/>
      <c r="AS59" s="1915">
        <v>27</v>
      </c>
    </row>
    <row customHeight="1" ht="65.25">
      <c r="O60" s="1919"/>
      <c r="T60" s="2569"/>
      <c r="U60" s="2569"/>
      <c r="V60" s="2569"/>
      <c r="W60" s="2569"/>
      <c r="X60" s="2569"/>
      <c r="Y60" s="2569"/>
      <c r="Z60" s="2569"/>
      <c r="AA60" s="2569"/>
      <c r="AB60" s="2569"/>
      <c r="AC60" s="2569"/>
      <c r="AD60" s="2569"/>
      <c r="AE60" s="2569"/>
      <c r="AF60" s="2569"/>
      <c r="AG60" s="2569"/>
      <c r="AH60" s="2569"/>
      <c r="AI60" s="2569"/>
      <c r="AJ60" s="2569"/>
      <c r="AK60" s="2569"/>
      <c r="AL60" s="2569"/>
      <c r="AM60" s="2569"/>
      <c r="AS60" s="1915">
        <v>62</v>
      </c>
    </row>
    <row customHeight="1" ht="14.699999999999998">
      <c r="O61" s="1919"/>
      <c r="AS61" s="1915">
        <v>14</v>
      </c>
    </row>
    <row customHeight="1" ht="18.75">
      <c r="O62" s="1919"/>
      <c r="S62" s="1537"/>
      <c r="T62" s="2569"/>
      <c r="U62" s="2569"/>
      <c r="V62" s="2569"/>
      <c r="W62" s="2569"/>
      <c r="X62" s="2569"/>
      <c r="Y62" s="2569"/>
      <c r="Z62" s="2569"/>
      <c r="AA62" s="2569"/>
      <c r="AB62" s="2569"/>
      <c r="AC62" s="2569"/>
      <c r="AD62" s="2569"/>
      <c r="AE62" s="2569"/>
      <c r="AF62" s="2569"/>
      <c r="AG62" s="2569"/>
      <c r="AH62" s="2569"/>
      <c r="AI62" s="2569"/>
      <c r="AJ62" s="2569"/>
      <c r="AK62" s="2569"/>
      <c r="AL62" s="2569"/>
      <c r="AM62" s="2569"/>
      <c r="AS62" s="1915">
        <v>18</v>
      </c>
    </row>
    <row customHeight="1" ht="18.75">
      <c r="O63" s="1919"/>
      <c r="T63" s="2569"/>
      <c r="U63" s="2569"/>
      <c r="V63" s="2569"/>
      <c r="W63" s="2569"/>
      <c r="X63" s="2569"/>
      <c r="Y63" s="2569"/>
      <c r="Z63" s="2569"/>
      <c r="AA63" s="2569"/>
      <c r="AB63" s="2569"/>
      <c r="AC63" s="2569"/>
      <c r="AD63" s="2569"/>
      <c r="AE63" s="2569"/>
      <c r="AF63" s="2569"/>
      <c r="AG63" s="2569"/>
      <c r="AH63" s="2569"/>
      <c r="AI63" s="2569"/>
      <c r="AJ63" s="2569"/>
      <c r="AK63" s="2569"/>
      <c r="AL63" s="2569"/>
      <c r="AM63" s="2569"/>
      <c r="AS63" s="1915">
        <v>18</v>
      </c>
    </row>
    <row customHeight="1" ht="29.25">
      <c r="O64" s="1919"/>
      <c r="S64" s="1537"/>
      <c r="T64" s="2569"/>
      <c r="U64" s="2569"/>
      <c r="V64" s="2569"/>
      <c r="W64" s="2569"/>
      <c r="X64" s="2569"/>
      <c r="Y64" s="2569"/>
      <c r="Z64" s="2569"/>
      <c r="AA64" s="2569"/>
      <c r="AB64" s="2569"/>
      <c r="AC64" s="2569"/>
      <c r="AD64" s="2569"/>
      <c r="AE64" s="2569"/>
      <c r="AF64" s="2569"/>
      <c r="AG64" s="2569"/>
      <c r="AH64" s="2569"/>
      <c r="AI64" s="2569"/>
      <c r="AJ64" s="2569"/>
      <c r="AK64" s="2569"/>
      <c r="AL64" s="2569"/>
      <c r="AM64" s="2569"/>
      <c r="AS64" s="1915">
        <v>28</v>
      </c>
    </row>
    <row customHeight="1" ht="22.5" hidden="1">
      <c r="A65" s="1915" t="s">
        <v>85</v>
      </c>
      <c r="B65" s="1915">
        <v>0</v>
      </c>
      <c r="C65" s="1915">
        <v>0</v>
      </c>
      <c r="D65" s="1915">
        <v>0</v>
      </c>
      <c r="E65" s="1915">
        <v>0</v>
      </c>
      <c r="F65" s="1915">
        <v>0</v>
      </c>
      <c r="G65" s="1915">
        <v>0</v>
      </c>
      <c r="H65" s="1915">
        <v>0</v>
      </c>
      <c r="I65" s="1915">
        <v>0</v>
      </c>
      <c r="J65" s="1915">
        <v>0</v>
      </c>
      <c r="K65" s="1915">
        <v>0</v>
      </c>
      <c r="L65" s="2223">
        <v>0</v>
      </c>
      <c r="M65" s="2249">
        <v>0</v>
      </c>
      <c r="N65" s="2249">
        <v>0</v>
      </c>
      <c r="O65" s="2249">
        <v>0</v>
      </c>
      <c r="P65" s="2249">
        <v>3</v>
      </c>
      <c r="Q65" s="628">
        <v>3</v>
      </c>
      <c r="R65" s="628">
        <v>3</v>
      </c>
      <c r="S65" s="865">
        <v>12</v>
      </c>
      <c r="T65" s="1915">
        <v>31</v>
      </c>
      <c r="U65" s="1915">
        <v>0</v>
      </c>
      <c r="V65" s="1915">
        <v>0</v>
      </c>
      <c r="W65" s="1915">
        <v>0</v>
      </c>
      <c r="X65" s="1915">
        <v>0</v>
      </c>
      <c r="Y65" s="1915">
        <v>0</v>
      </c>
      <c r="Z65" s="1915">
        <v>0</v>
      </c>
      <c r="AA65" s="1915">
        <v>0</v>
      </c>
      <c r="AB65" s="1915">
        <v>0</v>
      </c>
      <c r="AC65" s="1915">
        <v>0</v>
      </c>
      <c r="AD65" s="1915">
        <v>24</v>
      </c>
      <c r="AE65" s="1915">
        <v>0</v>
      </c>
      <c r="AF65" s="1915">
        <v>24</v>
      </c>
      <c r="AG65" s="1915">
        <v>24</v>
      </c>
      <c r="AH65" s="1915">
        <v>11</v>
      </c>
      <c r="AI65" s="1915">
        <v>3</v>
      </c>
      <c r="AJ65" s="1915">
        <v>11</v>
      </c>
      <c r="AK65" s="1915">
        <v>0</v>
      </c>
      <c r="AL65" s="1915">
        <v>4</v>
      </c>
      <c r="AM65" s="1915">
        <v>115</v>
      </c>
      <c r="AN65" s="1920">
        <v>10</v>
      </c>
      <c r="AO65" s="1920">
        <v>10</v>
      </c>
      <c r="AP65" s="1920">
        <v>10</v>
      </c>
      <c r="AQ65" s="1920">
        <v>10</v>
      </c>
      <c r="AR65" s="1920">
        <v>10</v>
      </c>
      <c r="AS65" s="1915">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0DE5D7-3BDA-D2B5-1CDC-3A619D449959}"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30541" width="10.57421875" hidden="1"/>
    <col min="2" max="2" style="30541" width="11.00390625" hidden="1" customWidth="1"/>
    <col min="3" max="3" style="30541" width="10.57421875" hidden="1"/>
    <col min="4" max="4" style="30541" width="11.8515625" hidden="1" customWidth="1"/>
    <col min="5" max="5" style="30541" width="10.00390625" hidden="1" customWidth="1"/>
    <col min="6" max="6" style="30541" width="8.7109375" hidden="1" customWidth="1"/>
    <col min="7" max="7" style="30541" width="7.57421875" hidden="1" customWidth="1"/>
    <col min="8" max="8" style="30541" width="11.421875" hidden="1" customWidth="1"/>
    <col min="9" max="9" style="30541" width="12.00390625" hidden="1" customWidth="1"/>
    <col min="10" max="10" style="30541" width="9.8515625" hidden="1" customWidth="1"/>
    <col min="11" max="11" style="30541" width="11.421875" hidden="1" customWidth="1"/>
    <col min="12" max="12" style="30618" width="19.140625" hidden="1" customWidth="1"/>
    <col min="13" max="14" style="31504" width="12.28125" hidden="1" customWidth="1"/>
    <col min="15" max="15" style="31504" width="23.421875" hidden="1" customWidth="1"/>
    <col min="16" max="16" style="31504" width="3.00390625" customWidth="1"/>
    <col min="17" max="18" style="31505" width="3.00390625" customWidth="1"/>
    <col min="19" max="19" style="31506" width="12.00390625" customWidth="1"/>
    <col min="20" max="20" style="30541" width="31.00390625" customWidth="1"/>
    <col min="21" max="21" style="30541" width="0.140625" customWidth="1"/>
    <col min="22" max="22" style="30541" width="24.7109375" hidden="1" customWidth="1"/>
    <col min="23" max="23" style="30541" width="0.140625" hidden="1" customWidth="1"/>
    <col min="24" max="25" style="30541" width="24.7109375" hidden="1" customWidth="1"/>
    <col min="26" max="26" style="30541" width="11.7109375" hidden="1" customWidth="1"/>
    <col min="27" max="27" style="30541" width="3.7109375" hidden="1" customWidth="1"/>
    <col min="28" max="28" style="30541" width="11.7109375" hidden="1" customWidth="1"/>
    <col min="29" max="29" style="30541" width="8.57421875" hidden="1" customWidth="1"/>
    <col min="30" max="30" style="30541" width="24.7109375" customWidth="1"/>
    <col min="31" max="31" style="30541" width="0.140625" customWidth="1"/>
    <col min="32" max="33" style="30541" width="24.00390625" customWidth="1"/>
    <col min="34" max="34" style="30541" width="11.00390625" customWidth="1"/>
    <col min="35" max="35" style="30541" width="3.7109375" customWidth="1"/>
    <col min="36" max="36" style="30541" width="11.00390625" customWidth="1"/>
    <col min="37" max="37" style="30541" width="8.57421875" hidden="1" customWidth="1"/>
    <col min="38" max="38" style="30541" width="4.00390625" customWidth="1"/>
    <col min="39" max="39" style="30541" width="115.00390625" customWidth="1"/>
    <col min="40" max="44" style="30621" width="10.00390625" customWidth="1"/>
    <col min="45" max="45" style="30541" width="10.57421875" hidden="1"/>
  </cols>
  <sheetData>
    <row customHeight="1" ht="22.5" hidden="1">
      <c r="AS1" s="1915" t="s">
        <v>14</v>
      </c>
    </row>
    <row customHeight="1" ht="21" hidden="1">
      <c r="A2" s="1551"/>
      <c r="B2" s="1551"/>
      <c r="C2" s="1551"/>
      <c r="D2" s="1551"/>
      <c r="E2" s="2573">
        <v>1</v>
      </c>
      <c r="F2" s="1551"/>
      <c r="G2" s="1551"/>
      <c r="H2" s="1551"/>
      <c r="I2" s="1551"/>
      <c r="J2" s="1551"/>
      <c r="K2" s="1551"/>
      <c r="L2" s="1594"/>
      <c r="M2" s="1894"/>
      <c r="N2" s="1894"/>
      <c r="O2" s="1894"/>
      <c r="P2" s="1874"/>
      <c r="Q2" s="644"/>
      <c r="R2" s="639"/>
      <c r="S2" s="2242">
        <f>INDEX(PT_DIFFERENTIATION_NUM_NTAR,MATCH(A2,PT_DIFFERENTIATION_NTAR_ID,0))</f>
      </c>
      <c r="T2" s="1809" t="s">
        <v>153</v>
      </c>
      <c r="U2" s="584"/>
      <c r="V2" s="2526"/>
      <c r="W2" s="2527"/>
      <c r="X2" s="2527"/>
      <c r="Y2" s="2527"/>
      <c r="Z2" s="2527"/>
      <c r="AA2" s="2527"/>
      <c r="AB2" s="2527"/>
      <c r="AC2" s="2528"/>
      <c r="AD2" s="2526">
        <f>INDEX(PT_DIFFERENTIATION_NTAR,MATCH(A2,PT_DIFFERENTIATION_NTAR_ID,0))</f>
      </c>
      <c r="AE2" s="2527"/>
      <c r="AF2" s="2527"/>
      <c r="AG2" s="2527"/>
      <c r="AH2" s="2527"/>
      <c r="AI2" s="2527"/>
      <c r="AJ2" s="2527"/>
      <c r="AK2" s="2527"/>
      <c r="AL2" s="2528"/>
      <c r="AM2" s="1542" t="s">
        <v>456</v>
      </c>
      <c r="AO2" s="1908"/>
      <c r="AP2" s="1908" t="str">
        <f>IF(T2="","",T2)</f>
        <v>Наименование тарифа</v>
      </c>
      <c r="AQ2" s="1908"/>
      <c r="AR2" s="1908"/>
      <c r="AS2" s="1915">
        <v>0</v>
      </c>
    </row>
    <row customHeight="1" ht="21" hidden="1">
      <c r="A3" s="1551"/>
      <c r="B3" s="1551"/>
      <c r="C3" s="1551"/>
      <c r="D3" s="1551"/>
      <c r="E3" s="2574"/>
      <c r="F3" s="2573">
        <v>1</v>
      </c>
      <c r="G3" s="1551"/>
      <c r="H3" s="1551"/>
      <c r="I3" s="1551"/>
      <c r="J3" s="1551"/>
      <c r="K3" s="1551"/>
      <c r="L3" s="1594"/>
      <c r="M3" s="1894"/>
      <c r="N3" s="1894"/>
      <c r="O3" s="1894"/>
      <c r="P3" s="2224"/>
      <c r="Q3" s="636"/>
      <c r="R3" s="637"/>
      <c r="S3" s="2242">
        <f>INDEX(PT_DIFFERENTIATION_NUM_TER,MATCH(B3,PT_DIFFERENTIATION_TER_ID,0))</f>
      </c>
      <c r="T3" s="1806" t="s">
        <v>457</v>
      </c>
      <c r="U3" s="584"/>
      <c r="V3" s="2526"/>
      <c r="W3" s="2527"/>
      <c r="X3" s="2527"/>
      <c r="Y3" s="2527"/>
      <c r="Z3" s="2527"/>
      <c r="AA3" s="2527"/>
      <c r="AB3" s="2527"/>
      <c r="AC3" s="2528"/>
      <c r="AD3" s="2526">
        <f>INDEX(PT_DIFFERENTIATION_TER,MATCH(B3,PT_DIFFERENTIATION_TER_ID,0))</f>
      </c>
      <c r="AE3" s="2527"/>
      <c r="AF3" s="2527"/>
      <c r="AG3" s="2527"/>
      <c r="AH3" s="2527"/>
      <c r="AI3" s="2527"/>
      <c r="AJ3" s="2527"/>
      <c r="AK3" s="2527"/>
      <c r="AL3" s="2528"/>
      <c r="AM3" s="1542" t="s">
        <v>458</v>
      </c>
      <c r="AO3" s="1908"/>
      <c r="AP3" s="1908" t="str">
        <f>IF(T3="","",T3)</f>
        <v>Территория действия тарифа</v>
      </c>
      <c r="AQ3" s="1908"/>
      <c r="AR3" s="1908"/>
      <c r="AS3" s="1915">
        <v>0</v>
      </c>
    </row>
    <row customHeight="1" ht="23.25" hidden="1">
      <c r="A4" s="1551"/>
      <c r="B4" s="1551"/>
      <c r="C4" s="1551"/>
      <c r="D4" s="1551"/>
      <c r="E4" s="2574"/>
      <c r="F4" s="2574"/>
      <c r="G4" s="2573">
        <v>1</v>
      </c>
      <c r="H4" s="1551"/>
      <c r="I4" s="1551"/>
      <c r="J4" s="1551"/>
      <c r="K4" s="1551"/>
      <c r="L4" s="1594"/>
      <c r="M4" s="1894"/>
      <c r="N4" s="1894"/>
      <c r="O4" s="1894"/>
      <c r="P4" s="638"/>
      <c r="Q4" s="636"/>
      <c r="R4" s="637"/>
      <c r="S4" s="2242">
        <f>INDEX(PT_DIFFERENTIATION_NUM_CS,MATCH(C4,PT_DIFFERENTIATION_CS_ID,0))</f>
      </c>
      <c r="T4" s="593" t="s">
        <v>459</v>
      </c>
      <c r="U4" s="584"/>
      <c r="V4" s="2526"/>
      <c r="W4" s="2527"/>
      <c r="X4" s="2527"/>
      <c r="Y4" s="2527"/>
      <c r="Z4" s="2527"/>
      <c r="AA4" s="2527"/>
      <c r="AB4" s="2527"/>
      <c r="AC4" s="2528"/>
      <c r="AD4" s="2526">
        <f>INDEX(PT_DIFFERENTIATION_CS,MATCH(C4,PT_DIFFERENTIATION_CS_ID,0))</f>
      </c>
      <c r="AE4" s="2527"/>
      <c r="AF4" s="2527"/>
      <c r="AG4" s="2527"/>
      <c r="AH4" s="2527"/>
      <c r="AI4" s="2527"/>
      <c r="AJ4" s="2527"/>
      <c r="AK4" s="2527"/>
      <c r="AL4" s="2528"/>
      <c r="AM4" s="1542" t="s">
        <v>460</v>
      </c>
      <c r="AO4" s="1908"/>
      <c r="AP4" s="1908" t="str">
        <f>IF(T4="","",T4)</f>
        <v>Наименование системы теплоснабжения </v>
      </c>
      <c r="AQ4" s="1908"/>
      <c r="AR4" s="1908"/>
      <c r="AS4" s="1915">
        <v>0</v>
      </c>
    </row>
    <row customHeight="1" ht="21" hidden="1">
      <c r="A5" s="1551"/>
      <c r="B5" s="1551"/>
      <c r="C5" s="1551"/>
      <c r="D5" s="1551"/>
      <c r="E5" s="2574"/>
      <c r="F5" s="2574"/>
      <c r="G5" s="2574"/>
      <c r="H5" s="2573">
        <v>1</v>
      </c>
      <c r="I5" s="1551"/>
      <c r="J5" s="1551"/>
      <c r="K5" s="1551"/>
      <c r="L5" s="1594"/>
      <c r="M5" s="1894"/>
      <c r="N5" s="1894"/>
      <c r="O5" s="1894"/>
      <c r="P5" s="638"/>
      <c r="Q5" s="636"/>
      <c r="R5" s="637"/>
      <c r="S5" s="2242">
        <f>INDEX(PT_DIFFERENTIATION_NUM_IST_TE,MATCH(D5,PT_DIFFERENTIATION_IST_TE_ID,0))</f>
      </c>
      <c r="T5" s="594" t="s">
        <v>461</v>
      </c>
      <c r="U5" s="584"/>
      <c r="V5" s="2526"/>
      <c r="W5" s="2527"/>
      <c r="X5" s="2527"/>
      <c r="Y5" s="2527"/>
      <c r="Z5" s="2527"/>
      <c r="AA5" s="2527"/>
      <c r="AB5" s="2527"/>
      <c r="AC5" s="2528"/>
      <c r="AD5" s="2526">
        <f>INDEX(PT_DIFFERENTIATION_IST_TE,MATCH(D5,PT_DIFFERENTIATION_IST_TE_ID,0))</f>
      </c>
      <c r="AE5" s="2527"/>
      <c r="AF5" s="2527"/>
      <c r="AG5" s="2527"/>
      <c r="AH5" s="2527"/>
      <c r="AI5" s="2527"/>
      <c r="AJ5" s="2527"/>
      <c r="AK5" s="2527"/>
      <c r="AL5" s="2528"/>
      <c r="AM5" s="1542" t="s">
        <v>462</v>
      </c>
      <c r="AO5" s="1908"/>
      <c r="AP5" s="1908" t="str">
        <f>IF(T5="","",T5)</f>
        <v>Источник тепловой энергии  </v>
      </c>
      <c r="AQ5" s="1908"/>
      <c r="AR5" s="1908"/>
      <c r="AS5" s="1915">
        <v>0</v>
      </c>
    </row>
    <row customHeight="1" ht="47.25" hidden="1">
      <c r="A6" s="1551"/>
      <c r="B6" s="1551"/>
      <c r="C6" s="1551"/>
      <c r="D6" s="1551"/>
      <c r="E6" s="2574"/>
      <c r="F6" s="2574"/>
      <c r="G6" s="2574"/>
      <c r="H6" s="2574"/>
      <c r="I6" s="2411">
        <f>S5&amp;".1"</f>
      </c>
      <c r="J6" s="1551"/>
      <c r="K6" s="1551"/>
      <c r="L6" s="1594" t="s">
        <v>463</v>
      </c>
      <c r="M6" s="1919"/>
      <c r="P6" s="2541">
        <v>1</v>
      </c>
      <c r="Q6" s="2238"/>
      <c r="R6" s="640"/>
      <c r="S6" s="2242">
        <f>$I6</f>
      </c>
      <c r="T6" s="569" t="s">
        <v>464</v>
      </c>
      <c r="U6" s="584"/>
      <c r="V6" s="2529"/>
      <c r="W6" s="2530"/>
      <c r="X6" s="2530"/>
      <c r="Y6" s="2530"/>
      <c r="Z6" s="2530"/>
      <c r="AA6" s="2530"/>
      <c r="AB6" s="2530"/>
      <c r="AC6" s="2531"/>
      <c r="AD6" s="2529"/>
      <c r="AE6" s="2530"/>
      <c r="AF6" s="2530"/>
      <c r="AG6" s="2530"/>
      <c r="AH6" s="2530"/>
      <c r="AI6" s="2530"/>
      <c r="AJ6" s="2530"/>
      <c r="AK6" s="2530"/>
      <c r="AL6" s="2531"/>
      <c r="AM6" s="1542" t="s">
        <v>465</v>
      </c>
      <c r="AO6" s="1908"/>
      <c r="AP6" s="1908" t="str">
        <f>IF(T6="","",T6)</f>
        <v>Схема подключения теплопотребляющей установки к коллектору источника тепловой энергии</v>
      </c>
      <c r="AQ6" s="1908"/>
      <c r="AR6" s="1908"/>
      <c r="AS6" s="1915">
        <v>0</v>
      </c>
    </row>
    <row customHeight="1" ht="21" hidden="1">
      <c r="A7" s="1551"/>
      <c r="B7" s="1551"/>
      <c r="C7" s="1551"/>
      <c r="D7" s="1551"/>
      <c r="E7" s="2574"/>
      <c r="F7" s="2574"/>
      <c r="G7" s="2574"/>
      <c r="H7" s="2574"/>
      <c r="I7" s="2385"/>
      <c r="J7" s="2411">
        <f>I6&amp;".1"</f>
      </c>
      <c r="K7" s="1551"/>
      <c r="L7" s="1594" t="s">
        <v>466</v>
      </c>
      <c r="M7" s="1919"/>
      <c r="N7" s="1915"/>
      <c r="P7" s="2541"/>
      <c r="Q7" s="2541">
        <v>1</v>
      </c>
      <c r="R7" s="641"/>
      <c r="S7" s="2242">
        <f>$J7</f>
      </c>
      <c r="T7" s="570" t="s">
        <v>467</v>
      </c>
      <c r="U7" s="584"/>
      <c r="V7" s="2529"/>
      <c r="W7" s="2530"/>
      <c r="X7" s="2530"/>
      <c r="Y7" s="2530"/>
      <c r="Z7" s="2530"/>
      <c r="AA7" s="2530"/>
      <c r="AB7" s="2530"/>
      <c r="AC7" s="2531"/>
      <c r="AD7" s="2529"/>
      <c r="AE7" s="2530"/>
      <c r="AF7" s="2530"/>
      <c r="AG7" s="2530"/>
      <c r="AH7" s="2530"/>
      <c r="AI7" s="2530"/>
      <c r="AJ7" s="2530"/>
      <c r="AK7" s="2530"/>
      <c r="AL7" s="2531"/>
      <c r="AM7" s="1542" t="s">
        <v>468</v>
      </c>
      <c r="AO7" s="1908"/>
      <c r="AP7" s="1908" t="str">
        <f>IF(T7="","",T7)</f>
        <v>Группа потребителей</v>
      </c>
      <c r="AQ7" s="1908"/>
      <c r="AR7" s="1908"/>
      <c r="AS7" s="1915">
        <v>0</v>
      </c>
    </row>
    <row customHeight="1" ht="21" hidden="1">
      <c r="A8" s="1551"/>
      <c r="B8" s="1551"/>
      <c r="C8" s="1551"/>
      <c r="D8" s="1551"/>
      <c r="E8" s="2574"/>
      <c r="F8" s="2574"/>
      <c r="G8" s="2574"/>
      <c r="H8" s="2574"/>
      <c r="I8" s="2385"/>
      <c r="J8" s="2385"/>
      <c r="K8" s="2411">
        <f>J7&amp;".1"</f>
      </c>
      <c r="L8" s="1594" t="s">
        <v>469</v>
      </c>
      <c r="M8" s="1919"/>
      <c r="N8" s="1915"/>
      <c r="O8" s="1915"/>
      <c r="P8" s="2541"/>
      <c r="Q8" s="2541"/>
      <c r="R8" s="641">
        <v>1</v>
      </c>
      <c r="S8" s="2242">
        <f>$K8</f>
      </c>
      <c r="T8" s="1631"/>
      <c r="U8" s="584"/>
      <c r="V8" s="1035"/>
      <c r="W8" s="609"/>
      <c r="X8" s="1035"/>
      <c r="Y8" s="1541"/>
      <c r="Z8" s="2549"/>
      <c r="AA8" s="2391" t="s">
        <v>64</v>
      </c>
      <c r="AB8" s="2549"/>
      <c r="AC8" s="2391" t="s">
        <v>64</v>
      </c>
      <c r="AD8" s="1035"/>
      <c r="AE8" s="609"/>
      <c r="AF8" s="1035"/>
      <c r="AG8" s="1541"/>
      <c r="AH8" s="2549"/>
      <c r="AI8" s="2391" t="s">
        <v>64</v>
      </c>
      <c r="AJ8" s="2549"/>
      <c r="AK8" s="2391" t="s">
        <v>64</v>
      </c>
      <c r="AL8" s="609"/>
      <c r="AM8" s="2537" t="s">
        <v>470</v>
      </c>
      <c r="AN8" s="1920">
        <f>STRCHECKDATE(V9:AL9)</f>
      </c>
      <c r="AO8" s="1908"/>
      <c r="AP8" s="1908" t="str">
        <f>IF(T8="","",T8)</f>
        <v/>
      </c>
      <c r="AQ8" s="1908"/>
      <c r="AR8" s="1908"/>
      <c r="AS8" s="1915">
        <v>0</v>
      </c>
    </row>
    <row customHeight="1" ht="0.75" hidden="1">
      <c r="A9" s="1551"/>
      <c r="B9" s="1551"/>
      <c r="C9" s="1551"/>
      <c r="D9" s="1551"/>
      <c r="E9" s="2574"/>
      <c r="F9" s="2574"/>
      <c r="G9" s="2574"/>
      <c r="H9" s="2574"/>
      <c r="I9" s="2385"/>
      <c r="J9" s="2385"/>
      <c r="K9" s="2411"/>
      <c r="L9" s="1594"/>
      <c r="M9" s="1919"/>
      <c r="N9" s="1915"/>
      <c r="O9" s="1915"/>
      <c r="P9" s="2541"/>
      <c r="Q9" s="2541"/>
      <c r="R9" s="641"/>
      <c r="S9" s="2251"/>
      <c r="T9" s="584"/>
      <c r="U9" s="584"/>
      <c r="V9" s="609"/>
      <c r="W9" s="609"/>
      <c r="X9" s="609"/>
      <c r="Y9" s="612" t="str">
        <f>Z8&amp;"-"&amp;AB8</f>
        <v>-</v>
      </c>
      <c r="Z9" s="2550"/>
      <c r="AA9" s="2391"/>
      <c r="AB9" s="2550"/>
      <c r="AC9" s="2391"/>
      <c r="AD9" s="609"/>
      <c r="AE9" s="609"/>
      <c r="AF9" s="609"/>
      <c r="AG9" s="612" t="str">
        <f>AH8&amp;"-"&amp;AJ8</f>
        <v>-</v>
      </c>
      <c r="AH9" s="2550"/>
      <c r="AI9" s="2391"/>
      <c r="AJ9" s="2550"/>
      <c r="AK9" s="2391"/>
      <c r="AL9" s="609"/>
      <c r="AM9" s="2538"/>
      <c r="AO9" s="1908"/>
      <c r="AP9" s="1908" t="str">
        <f>IF(T9="","",T9)</f>
        <v/>
      </c>
      <c r="AQ9" s="1908"/>
      <c r="AR9" s="1908"/>
      <c r="AS9" s="1915">
        <v>0</v>
      </c>
    </row>
    <row customHeight="1" ht="15" hidden="1">
      <c r="A10" s="1551"/>
      <c r="B10" s="1551"/>
      <c r="C10" s="1551"/>
      <c r="D10" s="1551"/>
      <c r="E10" s="2574"/>
      <c r="F10" s="2574"/>
      <c r="G10" s="2574"/>
      <c r="H10" s="2574"/>
      <c r="I10" s="2385"/>
      <c r="J10" s="2411"/>
      <c r="K10" s="1551"/>
      <c r="L10" s="1594"/>
      <c r="M10" s="1919"/>
      <c r="N10" s="1915"/>
      <c r="P10" s="2541"/>
      <c r="Q10" s="2541"/>
      <c r="R10" s="640"/>
      <c r="S10" s="1562"/>
      <c r="T10" s="572" t="s">
        <v>471</v>
      </c>
      <c r="U10" s="884"/>
      <c r="V10" s="884"/>
      <c r="W10" s="884"/>
      <c r="X10" s="884"/>
      <c r="Y10" s="884"/>
      <c r="Z10" s="884"/>
      <c r="AA10" s="884"/>
      <c r="AB10" s="884"/>
      <c r="AC10" s="884"/>
      <c r="AD10" s="884"/>
      <c r="AE10" s="884"/>
      <c r="AF10" s="884"/>
      <c r="AG10" s="884"/>
      <c r="AH10" s="884"/>
      <c r="AI10" s="884"/>
      <c r="AJ10" s="884"/>
      <c r="AK10" s="884"/>
      <c r="AL10" s="608"/>
      <c r="AM10" s="2539"/>
      <c r="AO10" s="1908"/>
      <c r="AP10" s="1908" t="str">
        <f>IF(T10="","",T10)</f>
        <v>Добавить вид теплоносителя (параметры теплоносителя)</v>
      </c>
      <c r="AQ10" s="1908"/>
      <c r="AR10" s="1908"/>
      <c r="AS10" s="1915">
        <v>0</v>
      </c>
    </row>
    <row customHeight="1" ht="15" hidden="1">
      <c r="A11" s="1551"/>
      <c r="B11" s="1551"/>
      <c r="C11" s="1551"/>
      <c r="D11" s="1551"/>
      <c r="E11" s="2574"/>
      <c r="F11" s="2574"/>
      <c r="G11" s="2574"/>
      <c r="H11" s="2574"/>
      <c r="I11" s="2411"/>
      <c r="J11" s="1551"/>
      <c r="K11" s="1551"/>
      <c r="L11" s="1594"/>
      <c r="M11" s="1919"/>
      <c r="P11" s="2541"/>
      <c r="Q11" s="2238"/>
      <c r="R11" s="640"/>
      <c r="S11" s="1562"/>
      <c r="T11" s="571" t="s">
        <v>472</v>
      </c>
      <c r="U11" s="884"/>
      <c r="V11" s="884"/>
      <c r="W11" s="884"/>
      <c r="X11" s="884"/>
      <c r="Y11" s="884"/>
      <c r="Z11" s="884"/>
      <c r="AA11" s="884"/>
      <c r="AB11" s="884"/>
      <c r="AC11" s="650"/>
      <c r="AD11" s="884"/>
      <c r="AE11" s="884"/>
      <c r="AF11" s="884"/>
      <c r="AG11" s="884"/>
      <c r="AH11" s="884"/>
      <c r="AI11" s="884"/>
      <c r="AJ11" s="884"/>
      <c r="AK11" s="650"/>
      <c r="AL11" s="884"/>
      <c r="AM11" s="587"/>
      <c r="AO11" s="1908"/>
      <c r="AP11" s="1908" t="str">
        <f>IF(T11="","",T11)</f>
        <v>Добавить группу потребителей</v>
      </c>
      <c r="AQ11" s="1908"/>
      <c r="AR11" s="1908"/>
      <c r="AS11" s="1915">
        <v>0</v>
      </c>
    </row>
    <row customHeight="1" ht="14.25" hidden="1">
      <c r="A12" s="1551"/>
      <c r="B12" s="1551"/>
      <c r="C12" s="1551"/>
      <c r="D12" s="1551"/>
      <c r="E12" s="2574"/>
      <c r="F12" s="2574"/>
      <c r="G12" s="2574"/>
      <c r="H12" s="2573"/>
      <c r="I12" s="1551"/>
      <c r="J12" s="1551"/>
      <c r="K12" s="1551"/>
      <c r="L12" s="1594"/>
      <c r="M12" s="1894"/>
      <c r="N12" s="1894"/>
      <c r="O12" s="1919"/>
      <c r="P12" s="644"/>
      <c r="Q12" s="659"/>
      <c r="R12" s="639"/>
      <c r="S12" s="1562"/>
      <c r="T12" s="649" t="s">
        <v>473</v>
      </c>
      <c r="U12" s="884"/>
      <c r="V12" s="884"/>
      <c r="W12" s="884"/>
      <c r="X12" s="884"/>
      <c r="Y12" s="884"/>
      <c r="Z12" s="884"/>
      <c r="AA12" s="884"/>
      <c r="AB12" s="884"/>
      <c r="AC12" s="650"/>
      <c r="AD12" s="884"/>
      <c r="AE12" s="884"/>
      <c r="AF12" s="884"/>
      <c r="AG12" s="884"/>
      <c r="AH12" s="884"/>
      <c r="AI12" s="884"/>
      <c r="AJ12" s="884"/>
      <c r="AK12" s="650"/>
      <c r="AL12" s="884"/>
      <c r="AM12" s="587"/>
      <c r="AO12" s="1908"/>
      <c r="AP12" s="1908" t="str">
        <f>IF(T12="","",T12)</f>
        <v>Добавить схему подключения</v>
      </c>
      <c r="AQ12" s="1908"/>
      <c r="AR12" s="1908"/>
      <c r="AS12" s="1915">
        <v>0</v>
      </c>
    </row>
    <row s="30621" customFormat="1" customHeight="1" ht="0.75" hidden="1">
      <c r="A13" s="2258"/>
      <c r="B13" s="2258"/>
      <c r="C13" s="2258"/>
      <c r="D13" s="2258"/>
      <c r="E13" s="2574"/>
      <c r="F13" s="2574"/>
      <c r="G13" s="2573"/>
      <c r="H13" s="2258"/>
      <c r="I13" s="2258"/>
      <c r="J13" s="2258"/>
      <c r="K13" s="2258"/>
      <c r="L13" s="1664"/>
      <c r="M13" s="1894"/>
      <c r="N13" s="1894"/>
      <c r="O13" s="1919"/>
      <c r="P13" s="1600"/>
      <c r="Q13" s="1601"/>
      <c r="R13" s="1600"/>
      <c r="S13" s="1602"/>
      <c r="T13" s="1603" t="s">
        <v>213</v>
      </c>
      <c r="U13" s="1604"/>
      <c r="V13" s="1604"/>
      <c r="W13" s="1604"/>
      <c r="X13" s="1604"/>
      <c r="Y13" s="1604"/>
      <c r="Z13" s="1604"/>
      <c r="AA13" s="1604"/>
      <c r="AB13" s="1604"/>
      <c r="AC13" s="1604"/>
      <c r="AD13" s="1604"/>
      <c r="AE13" s="1604"/>
      <c r="AF13" s="1604"/>
      <c r="AG13" s="1604"/>
      <c r="AH13" s="1604"/>
      <c r="AI13" s="1604"/>
      <c r="AJ13" s="1604"/>
      <c r="AK13" s="1604"/>
      <c r="AL13" s="1604"/>
      <c r="AM13" s="1604"/>
      <c r="AO13" s="1535"/>
      <c r="AP13" s="1535" t="str">
        <f>IF(T13="","",T13)</f>
        <v>Добавить источник для дифференциации</v>
      </c>
      <c r="AQ13" s="1535"/>
      <c r="AR13" s="1535"/>
      <c r="AS13" s="1926">
        <v>0</v>
      </c>
    </row>
    <row s="30621" customFormat="1" customHeight="1" ht="0.75" hidden="1">
      <c r="A14" s="2258"/>
      <c r="B14" s="2258"/>
      <c r="C14" s="2258"/>
      <c r="D14" s="2258"/>
      <c r="E14" s="2574"/>
      <c r="F14" s="2573"/>
      <c r="G14" s="2258"/>
      <c r="H14" s="2258"/>
      <c r="I14" s="2258"/>
      <c r="J14" s="2258"/>
      <c r="K14" s="2258"/>
      <c r="L14" s="1664"/>
      <c r="M14" s="2259"/>
      <c r="N14" s="2259"/>
      <c r="O14" s="1919"/>
      <c r="P14" s="1600"/>
      <c r="Q14" s="1601"/>
      <c r="R14" s="1600"/>
      <c r="S14" s="1606"/>
      <c r="T14" s="1607" t="s">
        <v>214</v>
      </c>
      <c r="U14" s="1608"/>
      <c r="V14" s="1608"/>
      <c r="W14" s="1608"/>
      <c r="X14" s="1608"/>
      <c r="Y14" s="1608"/>
      <c r="Z14" s="1608"/>
      <c r="AA14" s="1608"/>
      <c r="AB14" s="1608"/>
      <c r="AC14" s="1608"/>
      <c r="AD14" s="1608"/>
      <c r="AE14" s="1608"/>
      <c r="AF14" s="1608"/>
      <c r="AG14" s="1608"/>
      <c r="AH14" s="1608"/>
      <c r="AI14" s="1608"/>
      <c r="AJ14" s="1608"/>
      <c r="AK14" s="1608"/>
      <c r="AL14" s="1608"/>
      <c r="AM14" s="1608"/>
      <c r="AO14" s="1535"/>
      <c r="AP14" s="1535" t="str">
        <f>IF(T14="","",T14)</f>
        <v>Добавить централизованную систему для дифференциации</v>
      </c>
      <c r="AQ14" s="1535"/>
      <c r="AR14" s="1535"/>
      <c r="AS14" s="1926">
        <v>0</v>
      </c>
    </row>
    <row s="30621" customFormat="1" customHeight="1" ht="0.75" hidden="1">
      <c r="A15" s="2258"/>
      <c r="B15" s="2258"/>
      <c r="C15" s="2258"/>
      <c r="D15" s="2258"/>
      <c r="E15" s="2573"/>
      <c r="F15" s="2258"/>
      <c r="G15" s="2258"/>
      <c r="H15" s="2258"/>
      <c r="I15" s="2258"/>
      <c r="J15" s="2258"/>
      <c r="K15" s="2258"/>
      <c r="L15" s="1664"/>
      <c r="M15" s="2259"/>
      <c r="N15" s="2259"/>
      <c r="O15" s="1919"/>
      <c r="P15" s="1600"/>
      <c r="Q15" s="1601"/>
      <c r="R15" s="1600"/>
      <c r="S15" s="1606"/>
      <c r="T15" s="1609" t="s">
        <v>230</v>
      </c>
      <c r="U15" s="1608"/>
      <c r="V15" s="1608"/>
      <c r="W15" s="1608"/>
      <c r="X15" s="1608"/>
      <c r="Y15" s="1608"/>
      <c r="Z15" s="1608"/>
      <c r="AA15" s="1608"/>
      <c r="AB15" s="1608"/>
      <c r="AC15" s="1608"/>
      <c r="AD15" s="1608"/>
      <c r="AE15" s="1608"/>
      <c r="AF15" s="1608"/>
      <c r="AG15" s="1608"/>
      <c r="AH15" s="1608"/>
      <c r="AI15" s="1608"/>
      <c r="AJ15" s="1608"/>
      <c r="AK15" s="1608"/>
      <c r="AL15" s="1608"/>
      <c r="AM15" s="1608"/>
      <c r="AO15" s="1535"/>
      <c r="AP15" s="1535" t="str">
        <f>IF(T15="","",T15)</f>
        <v>Добавить территорию для дифференциации</v>
      </c>
      <c r="AQ15" s="1535"/>
      <c r="AR15" s="1535"/>
      <c r="AS15" s="1926">
        <v>0</v>
      </c>
    </row>
    <row customHeight="1" ht="14.25" hidden="1">
      <c r="AS16" s="1915">
        <v>0</v>
      </c>
    </row>
    <row customHeight="1" ht="14.25" hidden="1">
      <c r="AD17" s="1644"/>
      <c r="AE17" s="1644"/>
      <c r="AF17" s="1644"/>
      <c r="AG17" s="1645"/>
      <c r="AH17" s="2551"/>
      <c r="AI17" s="2552" t="s">
        <v>64</v>
      </c>
      <c r="AJ17" s="2551"/>
      <c r="AK17" s="2552" t="s">
        <v>64</v>
      </c>
      <c r="AS17" s="1915">
        <v>0</v>
      </c>
    </row>
    <row customHeight="1" ht="14.25" hidden="1">
      <c r="AD18" s="1644"/>
      <c r="AE18" s="1644"/>
      <c r="AF18" s="1644"/>
      <c r="AG18" s="612" t="str">
        <f>AH17&amp;"-"&amp;AJ17</f>
        <v>-</v>
      </c>
      <c r="AH18" s="2552"/>
      <c r="AI18" s="2552"/>
      <c r="AJ18" s="2552"/>
      <c r="AK18" s="2552"/>
      <c r="AS18" s="1915">
        <v>0</v>
      </c>
    </row>
    <row customHeight="1" ht="14.25" hidden="1">
      <c r="AS19" s="1915">
        <v>0</v>
      </c>
    </row>
    <row s="30620" customFormat="1" customHeight="1" ht="14.25" hidden="1">
      <c r="A20" s="1915"/>
      <c r="B20" s="1915"/>
      <c r="C20" s="1915"/>
      <c r="D20" s="1915"/>
      <c r="E20" s="1915"/>
      <c r="F20" s="1915"/>
      <c r="G20" s="1915"/>
      <c r="H20" s="1915"/>
      <c r="I20" s="1915"/>
      <c r="J20" s="1915"/>
      <c r="K20" s="1915"/>
      <c r="L20" s="2223"/>
      <c r="M20" s="2249"/>
      <c r="N20" s="2249"/>
      <c r="O20" s="1629" t="s">
        <v>474</v>
      </c>
      <c r="P20" s="1646"/>
      <c r="Q20" s="1655"/>
      <c r="R20" s="1655"/>
      <c r="S20" s="1013"/>
      <c r="Z20" s="1651"/>
      <c r="AB20" s="1651"/>
      <c r="AH20" s="1651"/>
      <c r="AJ20" s="1651"/>
      <c r="AN20" s="1920"/>
      <c r="AO20" s="1920"/>
      <c r="AP20" s="1920"/>
      <c r="AQ20" s="1920"/>
      <c r="AR20" s="1920"/>
      <c r="AS20" s="1650">
        <v>0</v>
      </c>
    </row>
    <row s="30620" customFormat="1" customHeight="1" ht="14.25" hidden="1">
      <c r="A21" s="1915"/>
      <c r="B21" s="1915"/>
      <c r="C21" s="1915"/>
      <c r="D21" s="1915"/>
      <c r="E21" s="1915"/>
      <c r="F21" s="1915"/>
      <c r="G21" s="1915"/>
      <c r="H21" s="1915"/>
      <c r="I21" s="1915"/>
      <c r="J21" s="1915"/>
      <c r="K21" s="1915"/>
      <c r="L21" s="2223"/>
      <c r="M21" s="2249"/>
      <c r="N21" s="2249"/>
      <c r="O21" s="2249"/>
      <c r="P21" s="1646"/>
      <c r="Q21" s="1655"/>
      <c r="R21" s="1655"/>
      <c r="S21" s="1013"/>
      <c r="AN21" s="1920"/>
      <c r="AO21" s="1920"/>
      <c r="AP21" s="1920"/>
      <c r="AQ21" s="1920"/>
      <c r="AR21" s="1920"/>
      <c r="AS21" s="1650">
        <v>0</v>
      </c>
    </row>
    <row s="30620" customFormat="1" customHeight="1" ht="14.25" hidden="1">
      <c r="A22" s="1915"/>
      <c r="B22" s="1915"/>
      <c r="C22" s="1915"/>
      <c r="D22" s="1915"/>
      <c r="E22" s="1915"/>
      <c r="F22" s="1915"/>
      <c r="G22" s="1915"/>
      <c r="H22" s="1915"/>
      <c r="I22" s="1915"/>
      <c r="J22" s="1915"/>
      <c r="K22" s="1915"/>
      <c r="L22" s="2223"/>
      <c r="M22" s="2249"/>
      <c r="N22" s="2249"/>
      <c r="O22" s="1594" t="s">
        <v>475</v>
      </c>
      <c r="P22" s="1646"/>
      <c r="Q22" s="1655"/>
      <c r="R22" s="1655"/>
      <c r="S22" s="1013"/>
      <c r="T22" s="1650" t="s">
        <v>476</v>
      </c>
      <c r="AA22" s="879" t="s">
        <v>477</v>
      </c>
      <c r="AC22" s="879" t="s">
        <v>478</v>
      </c>
      <c r="AD22" s="1650" t="s">
        <v>476</v>
      </c>
      <c r="AI22" s="879" t="s">
        <v>479</v>
      </c>
      <c r="AK22" s="879" t="s">
        <v>478</v>
      </c>
      <c r="AN22" s="1920"/>
      <c r="AO22" s="1920"/>
      <c r="AP22" s="1920"/>
      <c r="AQ22" s="1920"/>
      <c r="AR22" s="1920"/>
      <c r="AS22" s="1650">
        <v>0</v>
      </c>
    </row>
    <row customHeight="1" ht="14.25" hidden="1">
      <c r="O23" s="1594"/>
      <c r="AS23" s="1915">
        <v>0</v>
      </c>
    </row>
    <row customHeight="1" ht="14.25" hidden="1">
      <c r="O24" s="1594"/>
      <c r="AS24" s="1915">
        <v>0</v>
      </c>
    </row>
    <row customHeight="1" ht="14.699999999999998">
      <c r="Q25" s="660"/>
      <c r="R25" s="660"/>
      <c r="S25" s="1559"/>
      <c r="T25" s="741"/>
      <c r="U25" s="741"/>
      <c r="V25" s="1919"/>
      <c r="W25" s="1919"/>
      <c r="X25" s="1919"/>
      <c r="Y25" s="1919"/>
      <c r="Z25" s="1919"/>
      <c r="AA25" s="1919"/>
      <c r="AB25" s="1919"/>
      <c r="AC25" s="1919"/>
      <c r="AD25" s="1919"/>
      <c r="AE25" s="1919"/>
      <c r="AF25" s="1919"/>
      <c r="AG25" s="1919"/>
      <c r="AH25" s="1919"/>
      <c r="AI25" s="1919"/>
      <c r="AJ25" s="1919"/>
      <c r="AK25" s="1919"/>
      <c r="AS25" s="1915">
        <v>14</v>
      </c>
    </row>
    <row customHeight="1" ht="14.699999999999998">
      <c r="Q26" s="660"/>
      <c r="R26" s="660"/>
      <c r="S26" s="253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32"/>
      <c r="U26" s="2532"/>
      <c r="V26" s="2532"/>
      <c r="W26" s="2532"/>
      <c r="X26" s="2532"/>
      <c r="Y26" s="2532"/>
      <c r="Z26" s="2532"/>
      <c r="AA26" s="2532"/>
      <c r="AB26" s="2532"/>
      <c r="AC26" s="2532"/>
      <c r="AD26" s="2532"/>
      <c r="AE26" s="2532"/>
      <c r="AF26" s="2532"/>
      <c r="AG26" s="2532"/>
      <c r="AH26" s="2532"/>
      <c r="AI26" s="2532"/>
      <c r="AJ26" s="2532"/>
      <c r="AK26" s="1527"/>
      <c r="AS26" s="1915">
        <v>14</v>
      </c>
    </row>
    <row customHeight="1" ht="14.699999999999998">
      <c r="Q27" s="660"/>
      <c r="R27" s="660"/>
      <c r="S27" s="2533" t="str">
        <f>IF(org=0,"Не определено",org)</f>
        <v>АО "ДГК"</v>
      </c>
      <c r="T27" s="2533"/>
      <c r="U27" s="2533"/>
      <c r="V27" s="2533"/>
      <c r="W27" s="2533"/>
      <c r="X27" s="2533"/>
      <c r="Y27" s="2533"/>
      <c r="Z27" s="2533"/>
      <c r="AA27" s="2533"/>
      <c r="AB27" s="2533"/>
      <c r="AC27" s="2533"/>
      <c r="AD27" s="2533"/>
      <c r="AE27" s="2533"/>
      <c r="AF27" s="2533"/>
      <c r="AG27" s="2533"/>
      <c r="AH27" s="2533"/>
      <c r="AI27" s="2533"/>
      <c r="AJ27" s="2533"/>
      <c r="AK27" s="1527"/>
      <c r="AS27" s="1915">
        <v>14</v>
      </c>
    </row>
    <row customHeight="1" ht="14.25" hidden="1">
      <c r="Q28" s="660"/>
      <c r="R28" s="660"/>
      <c r="S28" s="1559"/>
      <c r="T28" s="741"/>
      <c r="U28" s="741"/>
      <c r="V28" s="606"/>
      <c r="W28" s="606"/>
      <c r="X28" s="606"/>
      <c r="Y28" s="606"/>
      <c r="Z28" s="606"/>
      <c r="AA28" s="606"/>
      <c r="AB28" s="606"/>
      <c r="AC28" s="606"/>
      <c r="AD28" s="606"/>
      <c r="AE28" s="606"/>
      <c r="AF28" s="606"/>
      <c r="AG28" s="606"/>
      <c r="AH28" s="606"/>
      <c r="AI28" s="606"/>
      <c r="AJ28" s="606"/>
      <c r="AK28" s="606"/>
      <c r="AL28" s="1919"/>
      <c r="AS28" s="1915">
        <v>0</v>
      </c>
    </row>
    <row s="30764" customFormat="1" customHeight="1" ht="25.5" hidden="1">
      <c r="A29" s="1532"/>
      <c r="B29" s="1532"/>
      <c r="C29" s="1532"/>
      <c r="D29" s="1532"/>
      <c r="E29" s="1532"/>
      <c r="F29" s="1532"/>
      <c r="G29" s="1532"/>
      <c r="H29" s="1532"/>
      <c r="I29" s="1532"/>
      <c r="J29" s="1532"/>
      <c r="K29" s="1532"/>
      <c r="L29" s="1664"/>
      <c r="M29" s="1532"/>
      <c r="N29" s="1532"/>
      <c r="O29" s="1532"/>
      <c r="S29" s="2534" t="s">
        <v>42</v>
      </c>
      <c r="T29" s="2534"/>
      <c r="U29" s="1656"/>
      <c r="V29" s="2535" t="str">
        <f>IF(TITLE_NAME_OR_PR_CHANGE="",IF(TITLE_NAME_OR_PR="","",TITLE_NAME_OR_PR),TITLE_NAME_OR_PR_CHANGE)</f>
        <v>Комитет по ценам и тарифам Правительства Хабаровского края</v>
      </c>
      <c r="W29" s="2535"/>
      <c r="X29" s="2535"/>
      <c r="Y29" s="2535"/>
      <c r="Z29" s="2535"/>
      <c r="AA29" s="2535"/>
      <c r="AB29" s="2535"/>
      <c r="AC29" s="1919"/>
      <c r="AD29" s="2535" t="str">
        <f>IF(TITLE_NAME_OR_PR_CHANGE="",IF(TITLE_NAME_OR_PR="","",TITLE_NAME_OR_PR),TITLE_NAME_OR_PR_CHANGE)</f>
        <v>Комитет по ценам и тарифам Правительства Хабаровского края</v>
      </c>
      <c r="AE29" s="2535"/>
      <c r="AF29" s="2535"/>
      <c r="AG29" s="2535"/>
      <c r="AH29" s="2535"/>
      <c r="AI29" s="2535"/>
      <c r="AJ29" s="2535"/>
      <c r="AK29" s="1919"/>
      <c r="AL29" s="1919"/>
      <c r="AM29" s="564"/>
      <c r="AN29" s="652"/>
      <c r="AO29" s="652"/>
      <c r="AP29" s="652"/>
      <c r="AQ29" s="652"/>
      <c r="AR29" s="652"/>
      <c r="AS29" s="702">
        <v>0</v>
      </c>
    </row>
    <row s="30764" customFormat="1" customHeight="1" ht="18.75" hidden="1">
      <c r="A30" s="1532"/>
      <c r="B30" s="1532"/>
      <c r="C30" s="1532"/>
      <c r="D30" s="1532"/>
      <c r="E30" s="1532"/>
      <c r="F30" s="1532"/>
      <c r="G30" s="1532"/>
      <c r="H30" s="1532"/>
      <c r="I30" s="1532"/>
      <c r="J30" s="1532"/>
      <c r="K30" s="1532"/>
      <c r="L30" s="1664"/>
      <c r="M30" s="1532"/>
      <c r="N30" s="1532"/>
      <c r="O30" s="1532"/>
      <c r="S30" s="2534" t="s">
        <v>480</v>
      </c>
      <c r="T30" s="2534"/>
      <c r="U30" s="1656"/>
      <c r="V30" s="2548" t="str">
        <f>IF(TITLE_DATE_PR_CHANGE="",IF(TITLE_DATE_PR="","",TITLE_DATE_PR),TITLE_DATE_PR_CHANGE)</f>
        <v>45645</v>
      </c>
      <c r="W30" s="2548"/>
      <c r="X30" s="2548"/>
      <c r="Y30" s="2548"/>
      <c r="Z30" s="2548"/>
      <c r="AA30" s="2548"/>
      <c r="AB30" s="2548"/>
      <c r="AC30" s="1919"/>
      <c r="AD30" s="2548" t="str">
        <f>IF(TITLE_DATE_PR_CHANGE="",IF(TITLE_DATE_PR="","",TITLE_DATE_PR),TITLE_DATE_PR_CHANGE)</f>
        <v>45645</v>
      </c>
      <c r="AE30" s="2548"/>
      <c r="AF30" s="2548"/>
      <c r="AG30" s="2548"/>
      <c r="AH30" s="2548"/>
      <c r="AI30" s="2548"/>
      <c r="AJ30" s="2548"/>
      <c r="AK30" s="1919"/>
      <c r="AL30" s="1919"/>
      <c r="AM30" s="564"/>
      <c r="AN30" s="652"/>
      <c r="AO30" s="652"/>
      <c r="AP30" s="652"/>
      <c r="AQ30" s="652"/>
      <c r="AR30" s="652"/>
      <c r="AS30" s="702">
        <v>0</v>
      </c>
    </row>
    <row s="30764" customFormat="1" customHeight="1" ht="18.75" hidden="1">
      <c r="A31" s="1532"/>
      <c r="B31" s="1532"/>
      <c r="C31" s="1532"/>
      <c r="D31" s="1532"/>
      <c r="E31" s="1532"/>
      <c r="F31" s="1532"/>
      <c r="G31" s="1532"/>
      <c r="H31" s="1532"/>
      <c r="I31" s="1532"/>
      <c r="J31" s="1532"/>
      <c r="K31" s="1532"/>
      <c r="L31" s="1664"/>
      <c r="M31" s="1532"/>
      <c r="N31" s="1532"/>
      <c r="O31" s="1532"/>
      <c r="S31" s="2534" t="s">
        <v>481</v>
      </c>
      <c r="T31" s="2534"/>
      <c r="U31" s="1656"/>
      <c r="V31" s="2535" t="str">
        <f>IF(TITLE_NUMBER_PR_CHANGE="",IF(TITLE_NUMBER_PR="","",TITLE_NUMBER_PR),TITLE_NUMBER_PR_CHANGE)</f>
        <v>№ 40/8</v>
      </c>
      <c r="W31" s="2535"/>
      <c r="X31" s="2535"/>
      <c r="Y31" s="2535"/>
      <c r="Z31" s="2535"/>
      <c r="AA31" s="2535"/>
      <c r="AB31" s="2535"/>
      <c r="AC31" s="1919"/>
      <c r="AD31" s="2535" t="str">
        <f>IF(TITLE_NUMBER_PR_CHANGE="",IF(TITLE_NUMBER_PR="","",TITLE_NUMBER_PR),TITLE_NUMBER_PR_CHANGE)</f>
        <v>№ 40/8</v>
      </c>
      <c r="AE31" s="2535"/>
      <c r="AF31" s="2535"/>
      <c r="AG31" s="2535"/>
      <c r="AH31" s="2535"/>
      <c r="AI31" s="2535"/>
      <c r="AJ31" s="2535"/>
      <c r="AK31" s="1919"/>
      <c r="AL31" s="1919"/>
      <c r="AM31" s="564"/>
      <c r="AN31" s="652"/>
      <c r="AO31" s="652"/>
      <c r="AP31" s="652"/>
      <c r="AQ31" s="652"/>
      <c r="AR31" s="652"/>
      <c r="AS31" s="702">
        <v>0</v>
      </c>
    </row>
    <row s="30764" customFormat="1" customHeight="1" ht="18.75" hidden="1">
      <c r="A32" s="1532"/>
      <c r="B32" s="1532"/>
      <c r="C32" s="1532"/>
      <c r="D32" s="1532"/>
      <c r="E32" s="1532"/>
      <c r="F32" s="1532"/>
      <c r="G32" s="1532"/>
      <c r="H32" s="1532"/>
      <c r="I32" s="1532"/>
      <c r="J32" s="1532"/>
      <c r="K32" s="1532"/>
      <c r="L32" s="1664"/>
      <c r="M32" s="1532"/>
      <c r="N32" s="1532"/>
      <c r="O32" s="1532"/>
      <c r="S32" s="2534" t="s">
        <v>44</v>
      </c>
      <c r="T32" s="2534"/>
      <c r="U32" s="1656"/>
      <c r="V32" s="2535" t="str">
        <f>IF(TITLE_IST_PUB_CHANGE="",IF(TITLE_IST_PUB="","",TITLE_IST_PUB),TITLE_IST_PUB_CHANGE)</f>
        <v>Официальный интернет - портал нормативных правовых актов Хабаровского края https://laws.khv.gov.ru/</v>
      </c>
      <c r="W32" s="2535"/>
      <c r="X32" s="2535"/>
      <c r="Y32" s="2535"/>
      <c r="Z32" s="2535"/>
      <c r="AA32" s="2535"/>
      <c r="AB32" s="2535"/>
      <c r="AC32" s="1919"/>
      <c r="AD32" s="2535" t="str">
        <f>IF(TITLE_IST_PUB_CHANGE="",IF(TITLE_IST_PUB="","",TITLE_IST_PUB),TITLE_IST_PUB_CHANGE)</f>
        <v>Официальный интернет - портал нормативных правовых актов Хабаровского края https://laws.khv.gov.ru/</v>
      </c>
      <c r="AE32" s="2535"/>
      <c r="AF32" s="2535"/>
      <c r="AG32" s="2535"/>
      <c r="AH32" s="2535"/>
      <c r="AI32" s="2535"/>
      <c r="AJ32" s="2535"/>
      <c r="AK32" s="1919"/>
      <c r="AL32" s="1919"/>
      <c r="AM32" s="564"/>
      <c r="AN32" s="652"/>
      <c r="AO32" s="652"/>
      <c r="AP32" s="652"/>
      <c r="AQ32" s="652"/>
      <c r="AR32" s="652"/>
      <c r="AS32" s="702">
        <v>0</v>
      </c>
    </row>
    <row customHeight="1" ht="14.25" hidden="1">
      <c r="Q33" s="660"/>
      <c r="R33" s="660"/>
      <c r="S33" s="1559"/>
      <c r="T33" s="741"/>
      <c r="U33" s="741"/>
      <c r="V33" s="606"/>
      <c r="W33" s="606"/>
      <c r="X33" s="606"/>
      <c r="Y33" s="606"/>
      <c r="Z33" s="606"/>
      <c r="AA33" s="606"/>
      <c r="AB33" s="606"/>
      <c r="AC33" s="606"/>
      <c r="AD33" s="606"/>
      <c r="AE33" s="606"/>
      <c r="AF33" s="606"/>
      <c r="AG33" s="606"/>
      <c r="AH33" s="606"/>
      <c r="AI33" s="606"/>
      <c r="AJ33" s="606"/>
      <c r="AK33" s="606"/>
      <c r="AL33" s="1919"/>
      <c r="AS33" s="1915">
        <v>0</v>
      </c>
    </row>
    <row s="30764" customFormat="1" customHeight="1" ht="18.75" hidden="1">
      <c r="A34" s="1532"/>
      <c r="B34" s="1532"/>
      <c r="C34" s="1532"/>
      <c r="D34" s="1532"/>
      <c r="E34" s="1532"/>
      <c r="F34" s="1532"/>
      <c r="G34" s="1532"/>
      <c r="H34" s="1532"/>
      <c r="I34" s="1532"/>
      <c r="J34" s="1532"/>
      <c r="K34" s="1532"/>
      <c r="L34" s="1664"/>
      <c r="M34" s="1532"/>
      <c r="N34" s="1532"/>
      <c r="O34" s="1532"/>
      <c r="S34" s="2534" t="s">
        <v>482</v>
      </c>
      <c r="T34" s="2534"/>
      <c r="U34" s="1656"/>
      <c r="V34" s="2548" t="str">
        <f>IF(TITLE_DATE_PR_CHANGE="",IF(TITLE_DATE_PR="","",TITLE_DATE_PR),TITLE_DATE_PR_CHANGE)</f>
        <v>45645</v>
      </c>
      <c r="W34" s="2548"/>
      <c r="X34" s="2548"/>
      <c r="Y34" s="2548"/>
      <c r="Z34" s="2548"/>
      <c r="AA34" s="2548"/>
      <c r="AB34" s="2548"/>
      <c r="AC34" s="1919"/>
      <c r="AD34" s="2548" t="str">
        <f>IF(TITLE_DATE_PR_CHANGE="",IF(TITLE_DATE_PR="","",TITLE_DATE_PR),TITLE_DATE_PR_CHANGE)</f>
        <v>45645</v>
      </c>
      <c r="AE34" s="2548"/>
      <c r="AF34" s="2548"/>
      <c r="AG34" s="2548"/>
      <c r="AH34" s="2548"/>
      <c r="AI34" s="2548"/>
      <c r="AJ34" s="2548"/>
      <c r="AK34" s="1919"/>
      <c r="AL34" s="1919"/>
      <c r="AM34" s="564"/>
      <c r="AN34" s="652"/>
      <c r="AO34" s="652"/>
      <c r="AP34" s="652"/>
      <c r="AQ34" s="652"/>
      <c r="AR34" s="652"/>
      <c r="AS34" s="702">
        <v>0</v>
      </c>
    </row>
    <row s="30764" customFormat="1" customHeight="1" ht="18.75" hidden="1">
      <c r="A35" s="1532"/>
      <c r="B35" s="1532"/>
      <c r="C35" s="1532"/>
      <c r="D35" s="1532"/>
      <c r="E35" s="1532"/>
      <c r="F35" s="1532"/>
      <c r="G35" s="1532"/>
      <c r="H35" s="1532"/>
      <c r="I35" s="1532"/>
      <c r="J35" s="1532"/>
      <c r="K35" s="1532"/>
      <c r="L35" s="1664"/>
      <c r="M35" s="1532"/>
      <c r="N35" s="1532"/>
      <c r="O35" s="1532"/>
      <c r="S35" s="2534" t="s">
        <v>483</v>
      </c>
      <c r="T35" s="2534"/>
      <c r="U35" s="1656"/>
      <c r="V35" s="2535" t="str">
        <f>IF(TITLE_NUMBER_PR_CHANGE="",IF(TITLE_NUMBER_PR="","",TITLE_NUMBER_PR),TITLE_NUMBER_PR_CHANGE)</f>
        <v>№ 40/8</v>
      </c>
      <c r="W35" s="2535"/>
      <c r="X35" s="2535"/>
      <c r="Y35" s="2535"/>
      <c r="Z35" s="2535"/>
      <c r="AA35" s="2535"/>
      <c r="AB35" s="2535"/>
      <c r="AC35" s="1919"/>
      <c r="AD35" s="2535" t="str">
        <f>IF(TITLE_NUMBER_PR_CHANGE="",IF(TITLE_NUMBER_PR="","",TITLE_NUMBER_PR),TITLE_NUMBER_PR_CHANGE)</f>
        <v>№ 40/8</v>
      </c>
      <c r="AE35" s="2535"/>
      <c r="AF35" s="2535"/>
      <c r="AG35" s="2535"/>
      <c r="AH35" s="2535"/>
      <c r="AI35" s="2535"/>
      <c r="AJ35" s="2535"/>
      <c r="AK35" s="1919"/>
      <c r="AL35" s="1919"/>
      <c r="AM35" s="564"/>
      <c r="AN35" s="652"/>
      <c r="AO35" s="652"/>
      <c r="AP35" s="652"/>
      <c r="AQ35" s="652"/>
      <c r="AR35" s="652"/>
      <c r="AS35" s="702">
        <v>0</v>
      </c>
    </row>
    <row s="30764" customFormat="1" customHeight="1" ht="0">
      <c r="A36" s="1532"/>
      <c r="B36" s="1532"/>
      <c r="C36" s="1532"/>
      <c r="D36" s="1532"/>
      <c r="E36" s="1532"/>
      <c r="F36" s="1532"/>
      <c r="G36" s="1532"/>
      <c r="H36" s="1532"/>
      <c r="I36" s="1532"/>
      <c r="J36" s="1532"/>
      <c r="K36" s="1532"/>
      <c r="L36" s="1664"/>
      <c r="M36" s="1532"/>
      <c r="N36" s="1532"/>
      <c r="O36" s="1532"/>
      <c r="S36" s="1919"/>
      <c r="T36" s="1919"/>
      <c r="U36" s="2254"/>
      <c r="V36" s="1919"/>
      <c r="W36" s="1919"/>
      <c r="X36" s="1919"/>
      <c r="Y36" s="1919"/>
      <c r="Z36" s="1919"/>
      <c r="AA36" s="1919"/>
      <c r="AB36" s="1919"/>
      <c r="AC36" s="1926" t="s">
        <v>484</v>
      </c>
      <c r="AD36" s="1919"/>
      <c r="AE36" s="1919"/>
      <c r="AF36" s="1919"/>
      <c r="AG36" s="1919"/>
      <c r="AH36" s="1919"/>
      <c r="AI36" s="1919"/>
      <c r="AJ36" s="1919"/>
      <c r="AK36" s="1926" t="s">
        <v>484</v>
      </c>
      <c r="AN36" s="652"/>
      <c r="AO36" s="652"/>
      <c r="AP36" s="652"/>
      <c r="AQ36" s="652"/>
      <c r="AR36" s="652"/>
      <c r="AS36" s="702">
        <v>0</v>
      </c>
    </row>
    <row customHeight="1" ht="14.699999999999998">
      <c r="Q37" s="660"/>
      <c r="R37" s="660"/>
      <c r="S37" s="1559"/>
      <c r="T37" s="741"/>
      <c r="U37" s="1528"/>
      <c r="V37" s="2536"/>
      <c r="W37" s="2536"/>
      <c r="X37" s="2536"/>
      <c r="Y37" s="2536"/>
      <c r="Z37" s="2536"/>
      <c r="AA37" s="2536"/>
      <c r="AB37" s="2536"/>
      <c r="AC37" s="2536"/>
      <c r="AD37" s="2536"/>
      <c r="AE37" s="2536"/>
      <c r="AF37" s="2536"/>
      <c r="AG37" s="2536"/>
      <c r="AH37" s="2536"/>
      <c r="AI37" s="2536"/>
      <c r="AJ37" s="2536"/>
      <c r="AK37" s="2536"/>
      <c r="AS37" s="1915">
        <v>14</v>
      </c>
    </row>
    <row customHeight="1" ht="14.699999999999998">
      <c r="Q38" s="660"/>
      <c r="R38" s="660"/>
      <c r="S38" s="2411" t="s">
        <v>360</v>
      </c>
      <c r="T38" s="2411"/>
      <c r="U38" s="2411"/>
      <c r="V38" s="2411"/>
      <c r="W38" s="2411"/>
      <c r="X38" s="2411"/>
      <c r="Y38" s="2411"/>
      <c r="Z38" s="2411"/>
      <c r="AA38" s="2411"/>
      <c r="AB38" s="2411"/>
      <c r="AC38" s="2411"/>
      <c r="AD38" s="2411"/>
      <c r="AE38" s="2411"/>
      <c r="AF38" s="2411"/>
      <c r="AG38" s="2411"/>
      <c r="AH38" s="2411"/>
      <c r="AI38" s="2411"/>
      <c r="AJ38" s="2411"/>
      <c r="AK38" s="2411"/>
      <c r="AL38" s="2411"/>
      <c r="AM38" s="2411" t="s">
        <v>361</v>
      </c>
      <c r="AS38" s="1915">
        <v>14</v>
      </c>
    </row>
    <row customHeight="1" ht="14.699999999999998">
      <c r="Q39" s="660"/>
      <c r="R39" s="660"/>
      <c r="S39" s="2557" t="s">
        <v>91</v>
      </c>
      <c r="T39" s="2493" t="s">
        <v>485</v>
      </c>
      <c r="U39" s="621"/>
      <c r="V39" s="2558" t="s">
        <v>486</v>
      </c>
      <c r="W39" s="2559"/>
      <c r="X39" s="2559"/>
      <c r="Y39" s="2559"/>
      <c r="Z39" s="2559"/>
      <c r="AA39" s="2559"/>
      <c r="AB39" s="2560"/>
      <c r="AC39" s="2561" t="s">
        <v>487</v>
      </c>
      <c r="AD39" s="2558" t="s">
        <v>486</v>
      </c>
      <c r="AE39" s="2559"/>
      <c r="AF39" s="2559"/>
      <c r="AG39" s="2559"/>
      <c r="AH39" s="2559"/>
      <c r="AI39" s="2559"/>
      <c r="AJ39" s="2560"/>
      <c r="AK39" s="2561" t="s">
        <v>488</v>
      </c>
      <c r="AL39" s="2564" t="s">
        <v>489</v>
      </c>
      <c r="AM39" s="2411"/>
      <c r="AS39" s="1915">
        <v>14</v>
      </c>
    </row>
    <row customHeight="1" ht="35.699999999999996">
      <c r="Q40" s="660"/>
      <c r="R40" s="660"/>
      <c r="S40" s="2557"/>
      <c r="T40" s="2493"/>
      <c r="U40" s="1315"/>
      <c r="V40" s="2544" t="s">
        <v>490</v>
      </c>
      <c r="W40" s="2567" t="s">
        <v>491</v>
      </c>
      <c r="X40" s="2546" t="s">
        <v>492</v>
      </c>
      <c r="Y40" s="2547"/>
      <c r="Z40" s="2546" t="s">
        <v>505</v>
      </c>
      <c r="AA40" s="2553"/>
      <c r="AB40" s="2547"/>
      <c r="AC40" s="2562"/>
      <c r="AD40" s="2544" t="s">
        <v>490</v>
      </c>
      <c r="AE40" s="2567" t="s">
        <v>491</v>
      </c>
      <c r="AF40" s="2546" t="s">
        <v>492</v>
      </c>
      <c r="AG40" s="2547"/>
      <c r="AH40" s="2546" t="s">
        <v>493</v>
      </c>
      <c r="AI40" s="2553"/>
      <c r="AJ40" s="2547"/>
      <c r="AK40" s="2562"/>
      <c r="AL40" s="2565"/>
      <c r="AM40" s="2411"/>
      <c r="AS40" s="1915">
        <v>34</v>
      </c>
    </row>
    <row customHeight="1" ht="35.699999999999996">
      <c r="A41" s="1550"/>
      <c r="B41" s="1550" t="s">
        <v>165</v>
      </c>
      <c r="C41" s="1550" t="s">
        <v>166</v>
      </c>
      <c r="D41" s="1550" t="s">
        <v>167</v>
      </c>
      <c r="E41" s="1594" t="s">
        <v>494</v>
      </c>
      <c r="F41" s="1594" t="s">
        <v>495</v>
      </c>
      <c r="G41" s="1594" t="s">
        <v>496</v>
      </c>
      <c r="H41" s="1594" t="s">
        <v>497</v>
      </c>
      <c r="I41" s="1594" t="s">
        <v>498</v>
      </c>
      <c r="J41" s="1594" t="s">
        <v>499</v>
      </c>
      <c r="K41" s="1594" t="s">
        <v>500</v>
      </c>
      <c r="L41" s="1594" t="s">
        <v>475</v>
      </c>
      <c r="Q41" s="660"/>
      <c r="R41" s="660"/>
      <c r="S41" s="2557"/>
      <c r="T41" s="2493"/>
      <c r="U41" s="586"/>
      <c r="V41" s="2545"/>
      <c r="W41" s="2568"/>
      <c r="X41" s="2222" t="s">
        <v>501</v>
      </c>
      <c r="Y41" s="2222" t="s">
        <v>502</v>
      </c>
      <c r="Z41" s="2222" t="s">
        <v>503</v>
      </c>
      <c r="AA41" s="2554" t="s">
        <v>504</v>
      </c>
      <c r="AB41" s="2555"/>
      <c r="AC41" s="2563"/>
      <c r="AD41" s="2545"/>
      <c r="AE41" s="2568"/>
      <c r="AF41" s="2222" t="s">
        <v>501</v>
      </c>
      <c r="AG41" s="2222" t="s">
        <v>502</v>
      </c>
      <c r="AH41" s="2222" t="s">
        <v>503</v>
      </c>
      <c r="AI41" s="2554" t="s">
        <v>504</v>
      </c>
      <c r="AJ41" s="2555"/>
      <c r="AK41" s="2563"/>
      <c r="AL41" s="2566"/>
      <c r="AM41" s="2411"/>
      <c r="AS41" s="1915">
        <v>34</v>
      </c>
    </row>
    <row s="31261" customFormat="1" customHeight="1" ht="11.25" hidden="1">
      <c r="A42" s="1550"/>
      <c r="B42" s="1550"/>
      <c r="C42" s="1550"/>
      <c r="D42" s="1550"/>
      <c r="E42" s="1550"/>
      <c r="F42" s="1550"/>
      <c r="G42" s="1550"/>
      <c r="H42" s="1550"/>
      <c r="I42" s="1550"/>
      <c r="J42" s="1550"/>
      <c r="K42" s="1550"/>
      <c r="L42" s="1594"/>
      <c r="M42" s="2249"/>
      <c r="N42" s="2249"/>
      <c r="O42" s="2249"/>
      <c r="P42" s="1530"/>
      <c r="Q42" s="1531"/>
      <c r="R42" s="1538">
        <v>1</v>
      </c>
      <c r="S42" s="1561" t="s">
        <v>141</v>
      </c>
      <c r="T42" s="1539" t="s">
        <v>105</v>
      </c>
      <c r="U42" s="1529" t="str">
        <f>OFFSET(U42,0,-1)</f>
        <v>2</v>
      </c>
      <c r="V42" s="2240">
        <f>OFFSET(V42,0,-1)+1</f>
        <v>3</v>
      </c>
      <c r="W42" s="2240"/>
      <c r="X42" s="2240">
        <f>OFFSET(X42,0,-1)+1</f>
        <v>1</v>
      </c>
      <c r="Y42" s="2240">
        <f>OFFSET(Y42,0,-1)+1</f>
        <v>2</v>
      </c>
      <c r="Z42" s="2240">
        <f>OFFSET(Z42,0,-1)+1</f>
        <v>3</v>
      </c>
      <c r="AA42" s="2556">
        <f>OFFSET(AA42,0,-1)+1</f>
        <v>4</v>
      </c>
      <c r="AB42" s="2556"/>
      <c r="AC42" s="2240">
        <f>OFFSET(AC42,0,-2)+1</f>
        <v>5</v>
      </c>
      <c r="AD42" s="2240">
        <f>OFFSET(AD42,0,-1)+1</f>
        <v>6</v>
      </c>
      <c r="AE42" s="2240"/>
      <c r="AF42" s="2240">
        <f>OFFSET(AF42,0,-1)+1</f>
        <v>1</v>
      </c>
      <c r="AG42" s="2240">
        <f>OFFSET(AG42,0,-1)+1</f>
        <v>2</v>
      </c>
      <c r="AH42" s="2240">
        <f>OFFSET(AH42,0,-1)+1</f>
        <v>3</v>
      </c>
      <c r="AI42" s="2556">
        <f>OFFSET(AI42,0,-1)+1</f>
        <v>4</v>
      </c>
      <c r="AJ42" s="2556"/>
      <c r="AK42" s="2240">
        <f>OFFSET(AK42,0,-2)+1</f>
        <v>5</v>
      </c>
      <c r="AL42" s="1529">
        <f>OFFSET(AL42,0,-1)</f>
        <v>5</v>
      </c>
      <c r="AM42" s="2240">
        <f>OFFSET(AM42,0,-1)+1</f>
        <v>6</v>
      </c>
      <c r="AN42" s="1920"/>
      <c r="AO42" s="1920"/>
      <c r="AP42" s="1920"/>
      <c r="AQ42" s="1920"/>
      <c r="AR42" s="1920"/>
      <c r="AS42" s="1925">
        <v>0</v>
      </c>
    </row>
    <row customHeight="1" ht="22.049999999999997">
      <c r="A43" s="1551" t="s">
        <v>272</v>
      </c>
      <c r="B43" s="1551"/>
      <c r="C43" s="1551"/>
      <c r="D43" s="1551"/>
      <c r="E43" s="2573">
        <v>1</v>
      </c>
      <c r="F43" s="1551"/>
      <c r="G43" s="1551"/>
      <c r="H43" s="1551"/>
      <c r="I43" s="1551"/>
      <c r="J43" s="1551"/>
      <c r="K43" s="1551"/>
      <c r="L43" s="1594"/>
      <c r="M43" s="1894"/>
      <c r="N43" s="1894"/>
      <c r="O43" s="1894"/>
      <c r="P43" s="1874"/>
      <c r="Q43" s="644"/>
      <c r="R43" s="639"/>
      <c r="S43" s="2242">
        <f>INDEX(PT_DIFFERENTIATION_NUM_NTAR,MATCH(A43,PT_DIFFERENTIATION_NTAR_ID,0))</f>
        <v>0</v>
      </c>
      <c r="T43" s="1809" t="s">
        <v>153</v>
      </c>
      <c r="U43" s="584"/>
      <c r="V43" s="2526"/>
      <c r="W43" s="2527"/>
      <c r="X43" s="2527"/>
      <c r="Y43" s="2527"/>
      <c r="Z43" s="2527"/>
      <c r="AA43" s="2527"/>
      <c r="AB43" s="2527"/>
      <c r="AC43" s="2528"/>
      <c r="AD43" s="2526" t="str">
        <f>INDEX(PT_DIFFERENTIATION_NTAR,MATCH(A43,PT_DIFFERENTIATION_NTAR_ID,0))</f>
        <v/>
      </c>
      <c r="AE43" s="2527"/>
      <c r="AF43" s="2527"/>
      <c r="AG43" s="2527"/>
      <c r="AH43" s="2527"/>
      <c r="AI43" s="2527"/>
      <c r="AJ43" s="2527"/>
      <c r="AK43" s="2527"/>
      <c r="AL43" s="2528"/>
      <c r="AM43" s="154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908"/>
      <c r="AP43" s="1908" t="str">
        <f>IF(T43="","",T43)</f>
        <v>Наименование тарифа</v>
      </c>
      <c r="AQ43" s="1908"/>
      <c r="AR43" s="1908"/>
      <c r="AS43" s="1915">
        <v>21</v>
      </c>
    </row>
    <row customHeight="1" ht="22.049999999999997">
      <c r="A44" s="1551" t="s">
        <v>272</v>
      </c>
      <c r="B44" s="1551" t="s">
        <v>273</v>
      </c>
      <c r="C44" s="1551"/>
      <c r="D44" s="1551"/>
      <c r="E44" s="2574"/>
      <c r="F44" s="2573">
        <v>1</v>
      </c>
      <c r="G44" s="1551"/>
      <c r="H44" s="1551"/>
      <c r="I44" s="1551"/>
      <c r="J44" s="1551"/>
      <c r="K44" s="1551"/>
      <c r="L44" s="1594"/>
      <c r="M44" s="1894"/>
      <c r="N44" s="1894"/>
      <c r="O44" s="1894"/>
      <c r="P44" s="2224"/>
      <c r="Q44" s="636"/>
      <c r="R44" s="637"/>
      <c r="S44" s="2242" t="str">
        <f>INDEX(PT_DIFFERENTIATION_NUM_TER,MATCH(B44,PT_DIFFERENTIATION_TER_ID,0))</f>
        <v>.</v>
      </c>
      <c r="T44" s="1806" t="s">
        <v>457</v>
      </c>
      <c r="U44" s="584"/>
      <c r="V44" s="2526"/>
      <c r="W44" s="2527"/>
      <c r="X44" s="2527"/>
      <c r="Y44" s="2527"/>
      <c r="Z44" s="2527"/>
      <c r="AA44" s="2527"/>
      <c r="AB44" s="2527"/>
      <c r="AC44" s="2528"/>
      <c r="AD44" s="2526" t="str">
        <f>INDEX(PT_DIFFERENTIATION_TER,MATCH(B44,PT_DIFFERENTIATION_TER_ID,0))</f>
        <v/>
      </c>
      <c r="AE44" s="2527"/>
      <c r="AF44" s="2527"/>
      <c r="AG44" s="2527"/>
      <c r="AH44" s="2527"/>
      <c r="AI44" s="2527"/>
      <c r="AJ44" s="2527"/>
      <c r="AK44" s="2527"/>
      <c r="AL44" s="2528"/>
      <c r="AM44" s="1542" t="s">
        <v>458</v>
      </c>
      <c r="AO44" s="1908"/>
      <c r="AP44" s="1908" t="str">
        <f>IF(T44="","",T44)</f>
        <v>Территория действия тарифа</v>
      </c>
      <c r="AQ44" s="1908"/>
      <c r="AR44" s="1908"/>
      <c r="AS44" s="1915">
        <v>21</v>
      </c>
    </row>
    <row customHeight="1" ht="24">
      <c r="A45" s="1551" t="s">
        <v>272</v>
      </c>
      <c r="B45" s="1551" t="s">
        <v>273</v>
      </c>
      <c r="C45" s="1551" t="s">
        <v>274</v>
      </c>
      <c r="D45" s="1551"/>
      <c r="E45" s="2574"/>
      <c r="F45" s="2574"/>
      <c r="G45" s="2573">
        <v>1</v>
      </c>
      <c r="H45" s="1551"/>
      <c r="I45" s="1551"/>
      <c r="J45" s="1551"/>
      <c r="K45" s="1551"/>
      <c r="L45" s="1594"/>
      <c r="M45" s="1894"/>
      <c r="N45" s="1894"/>
      <c r="O45" s="1894"/>
      <c r="P45" s="638"/>
      <c r="Q45" s="636"/>
      <c r="R45" s="637"/>
      <c r="S45" s="2242" t="str">
        <f>INDEX(PT_DIFFERENTIATION_NUM_CS,MATCH(C45,PT_DIFFERENTIATION_CS_ID,0))</f>
        <v>..</v>
      </c>
      <c r="T45" s="593" t="s">
        <v>459</v>
      </c>
      <c r="U45" s="584"/>
      <c r="V45" s="2526"/>
      <c r="W45" s="2527"/>
      <c r="X45" s="2527"/>
      <c r="Y45" s="2527"/>
      <c r="Z45" s="2527"/>
      <c r="AA45" s="2527"/>
      <c r="AB45" s="2527"/>
      <c r="AC45" s="2528"/>
      <c r="AD45" s="2526" t="str">
        <f>INDEX(PT_DIFFERENTIATION_CS,MATCH(C45,PT_DIFFERENTIATION_CS_ID,0))</f>
        <v/>
      </c>
      <c r="AE45" s="2527"/>
      <c r="AF45" s="2527"/>
      <c r="AG45" s="2527"/>
      <c r="AH45" s="2527"/>
      <c r="AI45" s="2527"/>
      <c r="AJ45" s="2527"/>
      <c r="AK45" s="2527"/>
      <c r="AL45" s="2528"/>
      <c r="AM45" s="1542" t="s">
        <v>460</v>
      </c>
      <c r="AO45" s="1908"/>
      <c r="AP45" s="1908" t="str">
        <f>IF(T45="","",T45)</f>
        <v>Наименование системы теплоснабжения </v>
      </c>
      <c r="AQ45" s="1908"/>
      <c r="AR45" s="1908"/>
      <c r="AS45" s="1915">
        <v>23</v>
      </c>
    </row>
    <row customHeight="1" ht="22.049999999999997">
      <c r="A46" s="1551" t="s">
        <v>272</v>
      </c>
      <c r="B46" s="1551" t="s">
        <v>273</v>
      </c>
      <c r="C46" s="1551" t="s">
        <v>274</v>
      </c>
      <c r="D46" s="1551" t="s">
        <v>275</v>
      </c>
      <c r="E46" s="2574"/>
      <c r="F46" s="2574"/>
      <c r="G46" s="2574"/>
      <c r="H46" s="2573">
        <v>1</v>
      </c>
      <c r="I46" s="1551"/>
      <c r="J46" s="1551"/>
      <c r="K46" s="1551"/>
      <c r="L46" s="1594"/>
      <c r="M46" s="1894"/>
      <c r="N46" s="1894"/>
      <c r="O46" s="1894"/>
      <c r="P46" s="638"/>
      <c r="Q46" s="636"/>
      <c r="R46" s="637"/>
      <c r="S46" s="2242" t="str">
        <f>INDEX(PT_DIFFERENTIATION_NUM_IST_TE,MATCH(D46,PT_DIFFERENTIATION_IST_TE_ID,0))</f>
        <v>...</v>
      </c>
      <c r="T46" s="594" t="s">
        <v>461</v>
      </c>
      <c r="U46" s="584"/>
      <c r="V46" s="2526"/>
      <c r="W46" s="2527"/>
      <c r="X46" s="2527"/>
      <c r="Y46" s="2527"/>
      <c r="Z46" s="2527"/>
      <c r="AA46" s="2527"/>
      <c r="AB46" s="2527"/>
      <c r="AC46" s="2528"/>
      <c r="AD46" s="2526" t="str">
        <f>INDEX(PT_DIFFERENTIATION_IST_TE,MATCH(D46,PT_DIFFERENTIATION_IST_TE_ID,0))</f>
        <v/>
      </c>
      <c r="AE46" s="2527"/>
      <c r="AF46" s="2527"/>
      <c r="AG46" s="2527"/>
      <c r="AH46" s="2527"/>
      <c r="AI46" s="2527"/>
      <c r="AJ46" s="2527"/>
      <c r="AK46" s="2527"/>
      <c r="AL46" s="2528"/>
      <c r="AM46" s="1542" t="s">
        <v>462</v>
      </c>
      <c r="AO46" s="1908"/>
      <c r="AP46" s="1908" t="str">
        <f>IF(T46="","",T46)</f>
        <v>Источник тепловой энергии  </v>
      </c>
      <c r="AQ46" s="1908"/>
      <c r="AR46" s="1908"/>
      <c r="AS46" s="1915">
        <v>21</v>
      </c>
    </row>
    <row customHeight="1" ht="49.5">
      <c r="A47" s="1551" t="s">
        <v>272</v>
      </c>
      <c r="B47" s="1551" t="s">
        <v>273</v>
      </c>
      <c r="C47" s="1551" t="s">
        <v>274</v>
      </c>
      <c r="D47" s="1551" t="s">
        <v>275</v>
      </c>
      <c r="E47" s="2574"/>
      <c r="F47" s="2574"/>
      <c r="G47" s="2574"/>
      <c r="H47" s="2574"/>
      <c r="I47" s="2411" t="str">
        <f>S46&amp;".1"</f>
        <v>....1</v>
      </c>
      <c r="J47" s="1551"/>
      <c r="K47" s="1551"/>
      <c r="L47" s="1594" t="s">
        <v>463</v>
      </c>
      <c r="P47" s="2541">
        <v>1</v>
      </c>
      <c r="Q47" s="2238"/>
      <c r="R47" s="640"/>
      <c r="S47" s="2242" t="str">
        <f>$I47</f>
        <v>....1</v>
      </c>
      <c r="T47" s="569" t="s">
        <v>464</v>
      </c>
      <c r="U47" s="584"/>
      <c r="V47" s="2529"/>
      <c r="W47" s="2530"/>
      <c r="X47" s="2530"/>
      <c r="Y47" s="2530"/>
      <c r="Z47" s="2530"/>
      <c r="AA47" s="2530"/>
      <c r="AB47" s="2530"/>
      <c r="AC47" s="2531"/>
      <c r="AD47" s="2529"/>
      <c r="AE47" s="2530"/>
      <c r="AF47" s="2530"/>
      <c r="AG47" s="2530"/>
      <c r="AH47" s="2530"/>
      <c r="AI47" s="2530"/>
      <c r="AJ47" s="2530"/>
      <c r="AK47" s="2530"/>
      <c r="AL47" s="2531"/>
      <c r="AM47" s="1542" t="s">
        <v>465</v>
      </c>
      <c r="AO47" s="1908"/>
      <c r="AP47" s="1908" t="str">
        <f>IF(T47="","",T47)</f>
        <v>Схема подключения теплопотребляющей установки к коллектору источника тепловой энергии</v>
      </c>
      <c r="AQ47" s="1908"/>
      <c r="AR47" s="1908"/>
      <c r="AS47" s="1915">
        <v>47</v>
      </c>
    </row>
    <row customHeight="1" ht="22.049999999999997">
      <c r="A48" s="1551" t="s">
        <v>272</v>
      </c>
      <c r="B48" s="1551" t="s">
        <v>273</v>
      </c>
      <c r="C48" s="1551" t="s">
        <v>274</v>
      </c>
      <c r="D48" s="1551" t="s">
        <v>275</v>
      </c>
      <c r="E48" s="2574"/>
      <c r="F48" s="2574"/>
      <c r="G48" s="2574"/>
      <c r="H48" s="2574"/>
      <c r="I48" s="2385"/>
      <c r="J48" s="2411" t="str">
        <f>I47&amp;".1"</f>
        <v>....1.1</v>
      </c>
      <c r="K48" s="1551"/>
      <c r="L48" s="1594" t="s">
        <v>466</v>
      </c>
      <c r="P48" s="2541"/>
      <c r="Q48" s="2541">
        <v>1</v>
      </c>
      <c r="R48" s="641"/>
      <c r="S48" s="2242" t="str">
        <f>$J48</f>
        <v>....1.1</v>
      </c>
      <c r="T48" s="570" t="s">
        <v>467</v>
      </c>
      <c r="U48" s="584"/>
      <c r="V48" s="2529"/>
      <c r="W48" s="2530"/>
      <c r="X48" s="2530"/>
      <c r="Y48" s="2530"/>
      <c r="Z48" s="2530"/>
      <c r="AA48" s="2530"/>
      <c r="AB48" s="2530"/>
      <c r="AC48" s="2531"/>
      <c r="AD48" s="2529"/>
      <c r="AE48" s="2530"/>
      <c r="AF48" s="2530"/>
      <c r="AG48" s="2530"/>
      <c r="AH48" s="2530"/>
      <c r="AI48" s="2530"/>
      <c r="AJ48" s="2530"/>
      <c r="AK48" s="2530"/>
      <c r="AL48" s="2531"/>
      <c r="AM48" s="1542" t="s">
        <v>468</v>
      </c>
      <c r="AO48" s="1908"/>
      <c r="AP48" s="1908" t="str">
        <f>IF(T48="","",T48)</f>
        <v>Группа потребителей</v>
      </c>
      <c r="AQ48" s="1908"/>
      <c r="AR48" s="1908"/>
      <c r="AS48" s="1915">
        <v>21</v>
      </c>
    </row>
    <row customHeight="1" ht="22.049999999999997">
      <c r="A49" s="1551" t="s">
        <v>272</v>
      </c>
      <c r="B49" s="1551" t="s">
        <v>273</v>
      </c>
      <c r="C49" s="1551" t="s">
        <v>274</v>
      </c>
      <c r="D49" s="1551" t="s">
        <v>275</v>
      </c>
      <c r="E49" s="2574"/>
      <c r="F49" s="2574"/>
      <c r="G49" s="2574"/>
      <c r="H49" s="2574"/>
      <c r="I49" s="2385"/>
      <c r="J49" s="2385"/>
      <c r="K49" s="2411" t="str">
        <f>J48&amp;".1"</f>
        <v>....1.1.1</v>
      </c>
      <c r="L49" s="1594" t="s">
        <v>469</v>
      </c>
      <c r="P49" s="2541"/>
      <c r="Q49" s="2541"/>
      <c r="R49" s="641">
        <v>1</v>
      </c>
      <c r="S49" s="2242" t="str">
        <f>$K49</f>
        <v>....1.1.1</v>
      </c>
      <c r="T49" s="1631"/>
      <c r="U49" s="584"/>
      <c r="V49" s="1035"/>
      <c r="W49" s="609"/>
      <c r="X49" s="1035"/>
      <c r="Y49" s="1541"/>
      <c r="Z49" s="2549"/>
      <c r="AA49" s="2391" t="s">
        <v>64</v>
      </c>
      <c r="AB49" s="2549"/>
      <c r="AC49" s="2391" t="s">
        <v>64</v>
      </c>
      <c r="AD49" s="1035"/>
      <c r="AE49" s="609"/>
      <c r="AF49" s="1035"/>
      <c r="AG49" s="1541"/>
      <c r="AH49" s="2549"/>
      <c r="AI49" s="2391" t="s">
        <v>64</v>
      </c>
      <c r="AJ49" s="2571"/>
      <c r="AK49" s="2391" t="s">
        <v>64</v>
      </c>
      <c r="AL49" s="1632"/>
      <c r="AM49" s="2537" t="s">
        <v>470</v>
      </c>
      <c r="AN49" s="1920">
        <f>STRCHECKDATE(V50:AL50)</f>
      </c>
      <c r="AO49" s="1908"/>
      <c r="AP49" s="1908" t="str">
        <f>IF(T49="","",T49)</f>
        <v/>
      </c>
      <c r="AQ49" s="1908"/>
      <c r="AR49" s="1908"/>
      <c r="AS49" s="1915">
        <v>21</v>
      </c>
    </row>
    <row customHeight="1" ht="1.05">
      <c r="A50" s="1551" t="s">
        <v>272</v>
      </c>
      <c r="B50" s="1551" t="s">
        <v>273</v>
      </c>
      <c r="C50" s="1551" t="s">
        <v>274</v>
      </c>
      <c r="D50" s="1551" t="s">
        <v>275</v>
      </c>
      <c r="E50" s="2574"/>
      <c r="F50" s="2574"/>
      <c r="G50" s="2574"/>
      <c r="H50" s="2574"/>
      <c r="I50" s="2385"/>
      <c r="J50" s="2385"/>
      <c r="K50" s="2411"/>
      <c r="L50" s="1594"/>
      <c r="P50" s="2541"/>
      <c r="Q50" s="2541"/>
      <c r="R50" s="641"/>
      <c r="S50" s="2251"/>
      <c r="T50" s="584"/>
      <c r="U50" s="584"/>
      <c r="V50" s="609"/>
      <c r="W50" s="609"/>
      <c r="X50" s="609"/>
      <c r="Y50" s="612" t="str">
        <f>Z49&amp;"-"&amp;AB49</f>
        <v>-</v>
      </c>
      <c r="Z50" s="2550"/>
      <c r="AA50" s="2391"/>
      <c r="AB50" s="2550"/>
      <c r="AC50" s="2391"/>
      <c r="AD50" s="609"/>
      <c r="AE50" s="609"/>
      <c r="AF50" s="609"/>
      <c r="AG50" s="612" t="str">
        <f>AH49&amp;"-"&amp;AJ49</f>
        <v>-</v>
      </c>
      <c r="AH50" s="2550"/>
      <c r="AI50" s="2391"/>
      <c r="AJ50" s="2572"/>
      <c r="AK50" s="2391"/>
      <c r="AL50" s="1633"/>
      <c r="AM50" s="2538"/>
      <c r="AO50" s="1908"/>
      <c r="AP50" s="1908" t="str">
        <f>IF(T50="","",T50)</f>
        <v/>
      </c>
      <c r="AQ50" s="1908"/>
      <c r="AR50" s="1908"/>
      <c r="AS50" s="1915">
        <v>1</v>
      </c>
    </row>
    <row customHeight="1" ht="11.549999999999999">
      <c r="A51" s="1551" t="s">
        <v>272</v>
      </c>
      <c r="B51" s="1551" t="s">
        <v>273</v>
      </c>
      <c r="C51" s="1551" t="s">
        <v>274</v>
      </c>
      <c r="D51" s="1551" t="s">
        <v>275</v>
      </c>
      <c r="E51" s="2574"/>
      <c r="F51" s="2574"/>
      <c r="G51" s="2574"/>
      <c r="H51" s="2574"/>
      <c r="I51" s="2385"/>
      <c r="J51" s="2411"/>
      <c r="K51" s="1551"/>
      <c r="L51" s="1594"/>
      <c r="P51" s="2541"/>
      <c r="Q51" s="2541"/>
      <c r="R51" s="640"/>
      <c r="S51" s="1562"/>
      <c r="T51" s="572" t="s">
        <v>471</v>
      </c>
      <c r="U51" s="884"/>
      <c r="V51" s="884"/>
      <c r="W51" s="884"/>
      <c r="X51" s="884"/>
      <c r="Y51" s="884"/>
      <c r="Z51" s="884"/>
      <c r="AA51" s="884"/>
      <c r="AB51" s="884"/>
      <c r="AC51" s="884"/>
      <c r="AD51" s="884"/>
      <c r="AE51" s="884"/>
      <c r="AF51" s="884"/>
      <c r="AG51" s="884"/>
      <c r="AH51" s="884"/>
      <c r="AI51" s="884"/>
      <c r="AJ51" s="884"/>
      <c r="AK51" s="884"/>
      <c r="AL51" s="608"/>
      <c r="AM51" s="2539"/>
      <c r="AO51" s="1908"/>
      <c r="AP51" s="1908" t="str">
        <f>IF(T51="","",T51)</f>
        <v>Добавить вид теплоносителя (параметры теплоносителя)</v>
      </c>
      <c r="AQ51" s="1908"/>
      <c r="AR51" s="1908"/>
      <c r="AS51" s="1915">
        <v>11</v>
      </c>
    </row>
    <row customHeight="1" ht="11.549999999999999">
      <c r="A52" s="1551" t="s">
        <v>272</v>
      </c>
      <c r="B52" s="1551" t="s">
        <v>273</v>
      </c>
      <c r="C52" s="1551" t="s">
        <v>274</v>
      </c>
      <c r="D52" s="1551" t="s">
        <v>275</v>
      </c>
      <c r="E52" s="2574"/>
      <c r="F52" s="2574"/>
      <c r="G52" s="2574"/>
      <c r="H52" s="2574"/>
      <c r="I52" s="2411"/>
      <c r="J52" s="1551"/>
      <c r="K52" s="1551"/>
      <c r="L52" s="1594"/>
      <c r="P52" s="2541"/>
      <c r="Q52" s="2238"/>
      <c r="R52" s="640"/>
      <c r="S52" s="1562"/>
      <c r="T52" s="571" t="s">
        <v>472</v>
      </c>
      <c r="U52" s="884"/>
      <c r="V52" s="884"/>
      <c r="W52" s="884"/>
      <c r="X52" s="884"/>
      <c r="Y52" s="884"/>
      <c r="Z52" s="884"/>
      <c r="AA52" s="884"/>
      <c r="AB52" s="884"/>
      <c r="AC52" s="650"/>
      <c r="AD52" s="884"/>
      <c r="AE52" s="884"/>
      <c r="AF52" s="884"/>
      <c r="AG52" s="884"/>
      <c r="AH52" s="884"/>
      <c r="AI52" s="884"/>
      <c r="AJ52" s="884"/>
      <c r="AK52" s="650"/>
      <c r="AL52" s="884"/>
      <c r="AM52" s="587"/>
      <c r="AO52" s="1908"/>
      <c r="AP52" s="1908" t="str">
        <f>IF(T52="","",T52)</f>
        <v>Добавить группу потребителей</v>
      </c>
      <c r="AQ52" s="1908"/>
      <c r="AR52" s="1908"/>
      <c r="AS52" s="1915">
        <v>11</v>
      </c>
    </row>
    <row customHeight="1" ht="14.699999999999998">
      <c r="A53" s="1551" t="s">
        <v>272</v>
      </c>
      <c r="B53" s="1551" t="s">
        <v>273</v>
      </c>
      <c r="C53" s="1551" t="s">
        <v>274</v>
      </c>
      <c r="D53" s="1551" t="s">
        <v>275</v>
      </c>
      <c r="E53" s="2574"/>
      <c r="F53" s="2574"/>
      <c r="G53" s="2574"/>
      <c r="H53" s="2573"/>
      <c r="I53" s="1551"/>
      <c r="J53" s="1551"/>
      <c r="K53" s="1551"/>
      <c r="L53" s="1594"/>
      <c r="M53" s="1894"/>
      <c r="N53" s="1894"/>
      <c r="O53" s="1919"/>
      <c r="P53" s="644"/>
      <c r="Q53" s="659"/>
      <c r="R53" s="639"/>
      <c r="S53" s="1562"/>
      <c r="T53" s="649" t="s">
        <v>473</v>
      </c>
      <c r="U53" s="884"/>
      <c r="V53" s="884"/>
      <c r="W53" s="884"/>
      <c r="X53" s="884"/>
      <c r="Y53" s="884"/>
      <c r="Z53" s="884"/>
      <c r="AA53" s="884"/>
      <c r="AB53" s="884"/>
      <c r="AC53" s="650"/>
      <c r="AD53" s="884"/>
      <c r="AE53" s="884"/>
      <c r="AF53" s="884"/>
      <c r="AG53" s="884"/>
      <c r="AH53" s="884"/>
      <c r="AI53" s="884"/>
      <c r="AJ53" s="884"/>
      <c r="AK53" s="650"/>
      <c r="AL53" s="884"/>
      <c r="AM53" s="587"/>
      <c r="AO53" s="1908"/>
      <c r="AP53" s="1908" t="str">
        <f>IF(T53="","",T53)</f>
        <v>Добавить схему подключения</v>
      </c>
      <c r="AQ53" s="1908"/>
      <c r="AR53" s="1908"/>
      <c r="AS53" s="1915">
        <v>14</v>
      </c>
    </row>
    <row s="30621" customFormat="1" customHeight="1" ht="1.05">
      <c r="A54" s="1551" t="s">
        <v>272</v>
      </c>
      <c r="B54" s="1551" t="s">
        <v>273</v>
      </c>
      <c r="C54" s="1551" t="s">
        <v>274</v>
      </c>
      <c r="D54" s="2258"/>
      <c r="E54" s="2574"/>
      <c r="F54" s="2574"/>
      <c r="G54" s="2573"/>
      <c r="H54" s="2258"/>
      <c r="I54" s="2258"/>
      <c r="J54" s="2258"/>
      <c r="K54" s="2258"/>
      <c r="L54" s="1664"/>
      <c r="M54" s="1894"/>
      <c r="N54" s="1894"/>
      <c r="O54" s="1919"/>
      <c r="P54" s="1600"/>
      <c r="Q54" s="1601"/>
      <c r="R54" s="1600"/>
      <c r="S54" s="1606"/>
      <c r="T54" s="1609" t="s">
        <v>213</v>
      </c>
      <c r="U54" s="1608"/>
      <c r="V54" s="1608"/>
      <c r="W54" s="1608"/>
      <c r="X54" s="1608"/>
      <c r="Y54" s="1608"/>
      <c r="Z54" s="1608"/>
      <c r="AA54" s="1608"/>
      <c r="AB54" s="1608"/>
      <c r="AC54" s="1608"/>
      <c r="AD54" s="1608"/>
      <c r="AE54" s="1608"/>
      <c r="AF54" s="1608"/>
      <c r="AG54" s="1608"/>
      <c r="AH54" s="1608"/>
      <c r="AI54" s="1608"/>
      <c r="AJ54" s="1608"/>
      <c r="AK54" s="1608"/>
      <c r="AL54" s="1608"/>
      <c r="AM54" s="1608"/>
      <c r="AO54" s="1535"/>
      <c r="AP54" s="1535" t="str">
        <f>IF(T54="","",T54)</f>
        <v>Добавить источник для дифференциации</v>
      </c>
      <c r="AQ54" s="1535"/>
      <c r="AR54" s="1535"/>
      <c r="AS54" s="1926">
        <v>1</v>
      </c>
    </row>
    <row s="30621" customFormat="1" customHeight="1" ht="1.05">
      <c r="A55" s="1551" t="s">
        <v>272</v>
      </c>
      <c r="B55" s="1551" t="s">
        <v>273</v>
      </c>
      <c r="C55" s="2258"/>
      <c r="D55" s="2258"/>
      <c r="E55" s="2574"/>
      <c r="F55" s="2573"/>
      <c r="G55" s="2258"/>
      <c r="H55" s="2258"/>
      <c r="I55" s="2258"/>
      <c r="J55" s="2258"/>
      <c r="K55" s="2258"/>
      <c r="L55" s="1664"/>
      <c r="M55" s="2259"/>
      <c r="N55" s="2259"/>
      <c r="O55" s="1919"/>
      <c r="P55" s="1600"/>
      <c r="Q55" s="1601"/>
      <c r="R55" s="1600"/>
      <c r="S55" s="1606"/>
      <c r="T55" s="1609" t="s">
        <v>214</v>
      </c>
      <c r="U55" s="1608"/>
      <c r="V55" s="1608"/>
      <c r="W55" s="1608"/>
      <c r="X55" s="1608"/>
      <c r="Y55" s="1608"/>
      <c r="Z55" s="1608"/>
      <c r="AA55" s="1608"/>
      <c r="AB55" s="1608"/>
      <c r="AC55" s="1608"/>
      <c r="AD55" s="1608"/>
      <c r="AE55" s="1608"/>
      <c r="AF55" s="1608"/>
      <c r="AG55" s="1608"/>
      <c r="AH55" s="1608"/>
      <c r="AI55" s="1608"/>
      <c r="AJ55" s="1608"/>
      <c r="AK55" s="1608"/>
      <c r="AL55" s="1608"/>
      <c r="AM55" s="1608"/>
      <c r="AO55" s="1535"/>
      <c r="AP55" s="1535" t="str">
        <f>IF(T55="","",T55)</f>
        <v>Добавить централизованную систему для дифференциации</v>
      </c>
      <c r="AQ55" s="1535"/>
      <c r="AR55" s="1535"/>
      <c r="AS55" s="1926">
        <v>1</v>
      </c>
    </row>
    <row s="30621" customFormat="1" customHeight="1" ht="1.05">
      <c r="A56" s="1551" t="s">
        <v>272</v>
      </c>
      <c r="B56" s="1551"/>
      <c r="C56" s="1551"/>
      <c r="D56" s="1551"/>
      <c r="E56" s="2573"/>
      <c r="F56" s="1551"/>
      <c r="G56" s="1551"/>
      <c r="H56" s="1551"/>
      <c r="I56" s="1551"/>
      <c r="J56" s="1551"/>
      <c r="K56" s="1551"/>
      <c r="L56" s="1594"/>
      <c r="M56" s="2259"/>
      <c r="N56" s="2259"/>
      <c r="O56" s="1919"/>
      <c r="P56" s="664"/>
      <c r="Q56" s="1628"/>
      <c r="R56" s="664"/>
      <c r="S56" s="1606"/>
      <c r="T56" s="1609" t="s">
        <v>230</v>
      </c>
      <c r="U56" s="1608"/>
      <c r="V56" s="1608"/>
      <c r="W56" s="1608"/>
      <c r="X56" s="1608"/>
      <c r="Y56" s="1608"/>
      <c r="Z56" s="1608"/>
      <c r="AA56" s="1608"/>
      <c r="AB56" s="1608"/>
      <c r="AC56" s="1608"/>
      <c r="AD56" s="1608"/>
      <c r="AE56" s="1608"/>
      <c r="AF56" s="1608"/>
      <c r="AG56" s="1608"/>
      <c r="AH56" s="1608"/>
      <c r="AI56" s="1608"/>
      <c r="AJ56" s="1608"/>
      <c r="AK56" s="1608"/>
      <c r="AL56" s="1608"/>
      <c r="AM56" s="1608"/>
      <c r="AO56" s="1908"/>
      <c r="AP56" s="1908" t="str">
        <f>IF(T56="","",T56)</f>
        <v>Добавить территорию для дифференциации</v>
      </c>
      <c r="AQ56" s="1908"/>
      <c r="AR56" s="1908"/>
      <c r="AS56" s="1920">
        <v>1</v>
      </c>
    </row>
    <row s="30621" customFormat="1" customHeight="1" ht="1.05">
      <c r="A57" s="2258"/>
      <c r="B57" s="2258"/>
      <c r="C57" s="2258"/>
      <c r="D57" s="2258"/>
      <c r="E57" s="1551"/>
      <c r="F57" s="2258"/>
      <c r="G57" s="2258"/>
      <c r="H57" s="2258"/>
      <c r="I57" s="2258"/>
      <c r="J57" s="2258"/>
      <c r="K57" s="2258"/>
      <c r="L57" s="1664"/>
      <c r="M57" s="2259"/>
      <c r="N57" s="2259"/>
      <c r="O57" s="1919"/>
      <c r="P57" s="1600"/>
      <c r="Q57" s="1601"/>
      <c r="R57" s="1600"/>
      <c r="S57" s="1606"/>
      <c r="T57" s="1609" t="s">
        <v>239</v>
      </c>
      <c r="U57" s="1608"/>
      <c r="V57" s="1608"/>
      <c r="W57" s="1608"/>
      <c r="X57" s="1608"/>
      <c r="Y57" s="1608"/>
      <c r="Z57" s="1608"/>
      <c r="AA57" s="1608"/>
      <c r="AB57" s="1608"/>
      <c r="AC57" s="1608"/>
      <c r="AD57" s="1608"/>
      <c r="AE57" s="1608"/>
      <c r="AF57" s="1608"/>
      <c r="AG57" s="1608"/>
      <c r="AH57" s="1608"/>
      <c r="AI57" s="1608"/>
      <c r="AJ57" s="1608"/>
      <c r="AK57" s="1608"/>
      <c r="AL57" s="1608"/>
      <c r="AM57" s="1608"/>
      <c r="AO57" s="1535"/>
      <c r="AP57" s="1535" t="str">
        <f>IF(T57="","",T57)</f>
        <v>Добавить наименование тарифа</v>
      </c>
      <c r="AQ57" s="1535"/>
      <c r="AR57" s="1535"/>
      <c r="AS57" s="1926">
        <v>1</v>
      </c>
    </row>
    <row customHeight="1" ht="11.549999999999999">
      <c r="M58" s="1915"/>
      <c r="N58" s="1915"/>
      <c r="O58" s="1919"/>
      <c r="P58" s="1915"/>
      <c r="Q58" s="1915"/>
      <c r="R58" s="1915"/>
      <c r="S58" s="1915"/>
      <c r="AN58" s="1915"/>
      <c r="AO58" s="1915"/>
      <c r="AP58" s="1915"/>
      <c r="AQ58" s="1915"/>
      <c r="AR58" s="1915"/>
      <c r="AS58" s="1915">
        <v>11</v>
      </c>
    </row>
    <row customHeight="1" ht="28.5">
      <c r="O59" s="1919"/>
      <c r="S59" s="1537"/>
      <c r="T59" s="2569"/>
      <c r="U59" s="2569"/>
      <c r="V59" s="2569"/>
      <c r="W59" s="2569"/>
      <c r="X59" s="2569"/>
      <c r="Y59" s="2569"/>
      <c r="Z59" s="2569"/>
      <c r="AA59" s="2569"/>
      <c r="AB59" s="2569"/>
      <c r="AC59" s="2569"/>
      <c r="AD59" s="2569"/>
      <c r="AE59" s="2569"/>
      <c r="AF59" s="2569"/>
      <c r="AG59" s="2569"/>
      <c r="AH59" s="2569"/>
      <c r="AI59" s="2569"/>
      <c r="AJ59" s="2569"/>
      <c r="AK59" s="2569"/>
      <c r="AL59" s="2569"/>
      <c r="AM59" s="2569"/>
      <c r="AS59" s="1915">
        <v>27</v>
      </c>
    </row>
    <row customHeight="1" ht="65.25">
      <c r="O60" s="1919"/>
      <c r="T60" s="2569"/>
      <c r="U60" s="2569"/>
      <c r="V60" s="2569"/>
      <c r="W60" s="2569"/>
      <c r="X60" s="2569"/>
      <c r="Y60" s="2569"/>
      <c r="Z60" s="2569"/>
      <c r="AA60" s="2569"/>
      <c r="AB60" s="2569"/>
      <c r="AC60" s="2569"/>
      <c r="AD60" s="2569"/>
      <c r="AE60" s="2569"/>
      <c r="AF60" s="2569"/>
      <c r="AG60" s="2569"/>
      <c r="AH60" s="2569"/>
      <c r="AI60" s="2569"/>
      <c r="AJ60" s="2569"/>
      <c r="AK60" s="2569"/>
      <c r="AL60" s="2569"/>
      <c r="AM60" s="2569"/>
      <c r="AS60" s="1915">
        <v>62</v>
      </c>
    </row>
    <row customHeight="1" ht="14.699999999999998">
      <c r="O61" s="1919"/>
      <c r="AS61" s="1915">
        <v>14</v>
      </c>
    </row>
    <row customHeight="1" ht="18.75">
      <c r="O62" s="1919"/>
      <c r="S62" s="1537"/>
      <c r="T62" s="2569"/>
      <c r="U62" s="2569"/>
      <c r="V62" s="2569"/>
      <c r="W62" s="2569"/>
      <c r="X62" s="2569"/>
      <c r="Y62" s="2569"/>
      <c r="Z62" s="2569"/>
      <c r="AA62" s="2569"/>
      <c r="AB62" s="2569"/>
      <c r="AC62" s="2569"/>
      <c r="AD62" s="2569"/>
      <c r="AE62" s="2569"/>
      <c r="AF62" s="2569"/>
      <c r="AG62" s="2569"/>
      <c r="AH62" s="2569"/>
      <c r="AI62" s="2569"/>
      <c r="AJ62" s="2569"/>
      <c r="AK62" s="2569"/>
      <c r="AL62" s="2569"/>
      <c r="AM62" s="2569"/>
      <c r="AS62" s="1915">
        <v>18</v>
      </c>
    </row>
    <row customHeight="1" ht="18.75">
      <c r="O63" s="1919"/>
      <c r="T63" s="2569"/>
      <c r="U63" s="2569"/>
      <c r="V63" s="2569"/>
      <c r="W63" s="2569"/>
      <c r="X63" s="2569"/>
      <c r="Y63" s="2569"/>
      <c r="Z63" s="2569"/>
      <c r="AA63" s="2569"/>
      <c r="AB63" s="2569"/>
      <c r="AC63" s="2569"/>
      <c r="AD63" s="2569"/>
      <c r="AE63" s="2569"/>
      <c r="AF63" s="2569"/>
      <c r="AG63" s="2569"/>
      <c r="AH63" s="2569"/>
      <c r="AI63" s="2569"/>
      <c r="AJ63" s="2569"/>
      <c r="AK63" s="2569"/>
      <c r="AL63" s="2569"/>
      <c r="AM63" s="2569"/>
      <c r="AS63" s="1915">
        <v>18</v>
      </c>
    </row>
    <row customHeight="1" ht="29.25">
      <c r="O64" s="1919"/>
      <c r="S64" s="1537"/>
      <c r="T64" s="2569"/>
      <c r="U64" s="2569"/>
      <c r="V64" s="2569"/>
      <c r="W64" s="2569"/>
      <c r="X64" s="2569"/>
      <c r="Y64" s="2569"/>
      <c r="Z64" s="2569"/>
      <c r="AA64" s="2569"/>
      <c r="AB64" s="2569"/>
      <c r="AC64" s="2569"/>
      <c r="AD64" s="2569"/>
      <c r="AE64" s="2569"/>
      <c r="AF64" s="2569"/>
      <c r="AG64" s="2569"/>
      <c r="AH64" s="2569"/>
      <c r="AI64" s="2569"/>
      <c r="AJ64" s="2569"/>
      <c r="AK64" s="2569"/>
      <c r="AL64" s="2569"/>
      <c r="AM64" s="2569"/>
      <c r="AS64" s="1915">
        <v>28</v>
      </c>
    </row>
    <row customHeight="1" ht="22.5" hidden="1">
      <c r="A65" s="1915" t="s">
        <v>85</v>
      </c>
      <c r="B65" s="1915">
        <v>0</v>
      </c>
      <c r="C65" s="1915">
        <v>0</v>
      </c>
      <c r="D65" s="1915">
        <v>0</v>
      </c>
      <c r="E65" s="1915">
        <v>0</v>
      </c>
      <c r="F65" s="1915">
        <v>0</v>
      </c>
      <c r="G65" s="1915">
        <v>0</v>
      </c>
      <c r="H65" s="1915">
        <v>0</v>
      </c>
      <c r="I65" s="1915">
        <v>0</v>
      </c>
      <c r="J65" s="1915">
        <v>0</v>
      </c>
      <c r="K65" s="1915">
        <v>0</v>
      </c>
      <c r="L65" s="2223">
        <v>0</v>
      </c>
      <c r="M65" s="2249">
        <v>0</v>
      </c>
      <c r="N65" s="2249">
        <v>0</v>
      </c>
      <c r="O65" s="2249">
        <v>0</v>
      </c>
      <c r="P65" s="2249">
        <v>3</v>
      </c>
      <c r="Q65" s="628">
        <v>3</v>
      </c>
      <c r="R65" s="628">
        <v>3</v>
      </c>
      <c r="S65" s="865">
        <v>12</v>
      </c>
      <c r="T65" s="1915">
        <v>31</v>
      </c>
      <c r="U65" s="1915">
        <v>0</v>
      </c>
      <c r="V65" s="1915">
        <v>0</v>
      </c>
      <c r="W65" s="1915">
        <v>0</v>
      </c>
      <c r="X65" s="1915">
        <v>0</v>
      </c>
      <c r="Y65" s="1915">
        <v>0</v>
      </c>
      <c r="Z65" s="1915">
        <v>0</v>
      </c>
      <c r="AA65" s="1915">
        <v>0</v>
      </c>
      <c r="AB65" s="1915">
        <v>0</v>
      </c>
      <c r="AC65" s="1915">
        <v>0</v>
      </c>
      <c r="AD65" s="1915">
        <v>24</v>
      </c>
      <c r="AE65" s="1915">
        <v>0</v>
      </c>
      <c r="AF65" s="1915">
        <v>24</v>
      </c>
      <c r="AG65" s="1915">
        <v>24</v>
      </c>
      <c r="AH65" s="1915">
        <v>11</v>
      </c>
      <c r="AI65" s="1915">
        <v>3</v>
      </c>
      <c r="AJ65" s="1915">
        <v>11</v>
      </c>
      <c r="AK65" s="1915">
        <v>0</v>
      </c>
      <c r="AL65" s="1915">
        <v>4</v>
      </c>
      <c r="AM65" s="1915">
        <v>115</v>
      </c>
      <c r="AN65" s="1920">
        <v>10</v>
      </c>
      <c r="AO65" s="1920">
        <v>10</v>
      </c>
      <c r="AP65" s="1920">
        <v>10</v>
      </c>
      <c r="AQ65" s="1920">
        <v>10</v>
      </c>
      <c r="AR65" s="1920">
        <v>10</v>
      </c>
      <c r="AS65" s="1915">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D8539A-0BCF-C325-B075-C71C64443561}"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30620" width="10.57421875" hidden="1"/>
    <col min="2" max="2" style="30620" width="11.00390625" hidden="1" customWidth="1"/>
    <col min="3" max="3" style="30620" width="10.57421875" hidden="1"/>
    <col min="4" max="4" style="30620" width="11.8515625" hidden="1" customWidth="1"/>
    <col min="5" max="5" style="30620" width="10.00390625" hidden="1" customWidth="1"/>
    <col min="6" max="6" style="30620" width="8.7109375" hidden="1" customWidth="1"/>
    <col min="7" max="7" style="30620" width="7.57421875" hidden="1" customWidth="1"/>
    <col min="8" max="8" style="30620" width="11.421875" hidden="1" customWidth="1"/>
    <col min="9" max="9" style="30620" width="12.00390625" hidden="1" customWidth="1"/>
    <col min="10" max="10" style="30620" width="9.8515625" hidden="1" customWidth="1"/>
    <col min="11" max="11" style="30620" width="11.421875" hidden="1" customWidth="1"/>
    <col min="12" max="12" style="31502" width="19.140625" hidden="1" customWidth="1"/>
    <col min="13" max="14" style="31503" width="12.28125" hidden="1" customWidth="1"/>
    <col min="15" max="15" style="31503" width="23.421875" hidden="1" customWidth="1"/>
    <col min="16" max="16" style="31504" width="3.00390625" customWidth="1"/>
    <col min="17" max="18" style="31505" width="3.00390625" customWidth="1"/>
    <col min="19" max="19" style="31506" width="12.00390625" customWidth="1"/>
    <col min="20" max="20" style="30541" width="31.00390625" customWidth="1"/>
    <col min="21" max="21" style="30541" width="0.7109375" hidden="1" customWidth="1"/>
    <col min="22" max="22" style="30541" width="1.7109375" hidden="1" customWidth="1"/>
    <col min="23" max="23" style="30541" width="24.7109375" hidden="1" customWidth="1"/>
    <col min="24" max="25" style="30541" width="0.140625" hidden="1" customWidth="1"/>
    <col min="26" max="26" style="30541" width="11.7109375" hidden="1" customWidth="1"/>
    <col min="27" max="27" style="30541" width="3.7109375" hidden="1" customWidth="1"/>
    <col min="28" max="28" style="30541" width="11.7109375" hidden="1" customWidth="1"/>
    <col min="29" max="29" style="30541" width="8.57421875" hidden="1" customWidth="1"/>
    <col min="30" max="30" style="30541" width="0.140625" customWidth="1"/>
    <col min="31" max="31" style="30541" width="24.00390625" customWidth="1"/>
    <col min="32" max="33" style="30541" width="0.140625" customWidth="1"/>
    <col min="34" max="34" style="30541" width="11.00390625" customWidth="1"/>
    <col min="35" max="35" style="30541" width="3.7109375" customWidth="1"/>
    <col min="36" max="36" style="30541" width="11.00390625" customWidth="1"/>
    <col min="37" max="37" style="30541" width="8.57421875" hidden="1" customWidth="1"/>
    <col min="38" max="38" style="30541" width="4.00390625" customWidth="1"/>
    <col min="39" max="39" style="30541" width="115.00390625" customWidth="1"/>
    <col min="40" max="44" style="30621" width="10.00390625" customWidth="1"/>
    <col min="45" max="45" style="30541" width="10.57421875" hidden="1"/>
  </cols>
  <sheetData>
    <row customHeight="1" ht="22.5" hidden="1">
      <c r="Y1" s="611"/>
      <c r="Z1" s="611"/>
      <c r="AG1" s="611"/>
      <c r="AH1" s="611"/>
      <c r="AS1" s="1439" t="s">
        <v>14</v>
      </c>
    </row>
    <row customHeight="1" ht="21" hidden="1">
      <c r="A2" s="1647"/>
      <c r="B2" s="1647"/>
      <c r="C2" s="1647"/>
      <c r="D2" s="1647"/>
      <c r="E2" s="2542">
        <v>1</v>
      </c>
      <c r="F2" s="1647"/>
      <c r="G2" s="1647"/>
      <c r="H2" s="1647"/>
      <c r="I2" s="1647"/>
      <c r="J2" s="1647"/>
      <c r="K2" s="1647"/>
      <c r="L2" s="1648"/>
      <c r="M2" s="1649"/>
      <c r="N2" s="1649"/>
      <c r="O2" s="1649"/>
      <c r="P2" s="645"/>
      <c r="Q2" s="644"/>
      <c r="R2" s="639"/>
      <c r="S2" s="1620">
        <f>INDEX(PT_DIFFERENTIATION_NUM_NTAR,MATCH(A2,PT_DIFFERENTIATION_NTAR_ID,0))</f>
      </c>
      <c r="T2" s="582" t="s">
        <v>153</v>
      </c>
      <c r="U2" s="584"/>
      <c r="V2" s="2526"/>
      <c r="W2" s="2527"/>
      <c r="X2" s="2527"/>
      <c r="Y2" s="2527"/>
      <c r="Z2" s="2527"/>
      <c r="AA2" s="2527"/>
      <c r="AB2" s="2527"/>
      <c r="AC2" s="2528"/>
      <c r="AD2" s="2526">
        <f>INDEX(PT_DIFFERENTIATION_NTAR,MATCH(A2,PT_DIFFERENTIATION_NTAR_ID,0))</f>
      </c>
      <c r="AE2" s="2527"/>
      <c r="AF2" s="2527"/>
      <c r="AG2" s="2527"/>
      <c r="AH2" s="2527"/>
      <c r="AI2" s="2527"/>
      <c r="AJ2" s="2527"/>
      <c r="AK2" s="2527"/>
      <c r="AL2" s="2528"/>
      <c r="AM2" s="1542" t="s">
        <v>456</v>
      </c>
      <c r="AO2" s="784"/>
      <c r="AP2" s="784" t="str">
        <f>IF(T2="","",T2)</f>
        <v>Наименование тарифа</v>
      </c>
      <c r="AQ2" s="784"/>
      <c r="AR2" s="784"/>
      <c r="AS2" s="1439">
        <v>0</v>
      </c>
    </row>
    <row customHeight="1" ht="21" hidden="1">
      <c r="A3" s="1647"/>
      <c r="B3" s="1647"/>
      <c r="C3" s="1647"/>
      <c r="D3" s="1647"/>
      <c r="E3" s="2543"/>
      <c r="F3" s="2542">
        <v>1</v>
      </c>
      <c r="G3" s="1647"/>
      <c r="H3" s="1647"/>
      <c r="I3" s="1647"/>
      <c r="J3" s="1647"/>
      <c r="K3" s="1647"/>
      <c r="L3" s="1648"/>
      <c r="M3" s="1649"/>
      <c r="N3" s="1649"/>
      <c r="O3" s="1649"/>
      <c r="P3" s="1616"/>
      <c r="Q3" s="636"/>
      <c r="R3" s="637"/>
      <c r="S3" s="1620">
        <f>INDEX(PT_DIFFERENTIATION_NUM_TER,MATCH(B3,PT_DIFFERENTIATION_TER_ID,0))</f>
      </c>
      <c r="T3" s="592" t="s">
        <v>457</v>
      </c>
      <c r="U3" s="584"/>
      <c r="V3" s="2526"/>
      <c r="W3" s="2527"/>
      <c r="X3" s="2527"/>
      <c r="Y3" s="2527"/>
      <c r="Z3" s="2527"/>
      <c r="AA3" s="2527"/>
      <c r="AB3" s="2527"/>
      <c r="AC3" s="2528"/>
      <c r="AD3" s="2526">
        <f>INDEX(PT_DIFFERENTIATION_TER,MATCH(B3,PT_DIFFERENTIATION_TER_ID,0))</f>
      </c>
      <c r="AE3" s="2527"/>
      <c r="AF3" s="2527"/>
      <c r="AG3" s="2527"/>
      <c r="AH3" s="2527"/>
      <c r="AI3" s="2527"/>
      <c r="AJ3" s="2527"/>
      <c r="AK3" s="2527"/>
      <c r="AL3" s="2528"/>
      <c r="AM3" s="1542" t="s">
        <v>458</v>
      </c>
      <c r="AO3" s="784"/>
      <c r="AP3" s="784" t="str">
        <f>IF(T3="","",T3)</f>
        <v>Территория действия тарифа</v>
      </c>
      <c r="AQ3" s="784"/>
      <c r="AR3" s="784"/>
      <c r="AS3" s="1439">
        <v>0</v>
      </c>
    </row>
    <row customHeight="1" ht="23.25" hidden="1">
      <c r="A4" s="1647"/>
      <c r="B4" s="1647"/>
      <c r="C4" s="1647"/>
      <c r="D4" s="1647"/>
      <c r="E4" s="2543"/>
      <c r="F4" s="2543"/>
      <c r="G4" s="2542">
        <v>1</v>
      </c>
      <c r="H4" s="1647"/>
      <c r="I4" s="1647"/>
      <c r="J4" s="1647"/>
      <c r="K4" s="1647"/>
      <c r="L4" s="1648"/>
      <c r="M4" s="1649"/>
      <c r="N4" s="1649"/>
      <c r="O4" s="1649"/>
      <c r="P4" s="638"/>
      <c r="Q4" s="636"/>
      <c r="R4" s="637"/>
      <c r="S4" s="1620">
        <f>INDEX(PT_DIFFERENTIATION_NUM_CS,MATCH(C4,PT_DIFFERENTIATION_CS_ID,0))</f>
      </c>
      <c r="T4" s="593" t="s">
        <v>459</v>
      </c>
      <c r="U4" s="584"/>
      <c r="V4" s="2526"/>
      <c r="W4" s="2527"/>
      <c r="X4" s="2527"/>
      <c r="Y4" s="2527"/>
      <c r="Z4" s="2527"/>
      <c r="AA4" s="2527"/>
      <c r="AB4" s="2527"/>
      <c r="AC4" s="2528"/>
      <c r="AD4" s="2526">
        <f>INDEX(PT_DIFFERENTIATION_CS,MATCH(C4,PT_DIFFERENTIATION_CS_ID,0))</f>
      </c>
      <c r="AE4" s="2527"/>
      <c r="AF4" s="2527"/>
      <c r="AG4" s="2527"/>
      <c r="AH4" s="2527"/>
      <c r="AI4" s="2527"/>
      <c r="AJ4" s="2527"/>
      <c r="AK4" s="2527"/>
      <c r="AL4" s="2528"/>
      <c r="AM4" s="1542" t="s">
        <v>460</v>
      </c>
      <c r="AO4" s="784"/>
      <c r="AP4" s="784" t="str">
        <f>IF(T4="","",T4)</f>
        <v>Наименование системы теплоснабжения </v>
      </c>
      <c r="AQ4" s="784"/>
      <c r="AR4" s="784"/>
      <c r="AS4" s="1439">
        <v>0</v>
      </c>
    </row>
    <row customHeight="1" ht="21" hidden="1">
      <c r="A5" s="1647"/>
      <c r="B5" s="1647"/>
      <c r="C5" s="1647"/>
      <c r="D5" s="1647"/>
      <c r="E5" s="2543"/>
      <c r="F5" s="2543"/>
      <c r="G5" s="2543"/>
      <c r="H5" s="2542">
        <v>1</v>
      </c>
      <c r="I5" s="1647"/>
      <c r="J5" s="1647"/>
      <c r="K5" s="1647"/>
      <c r="L5" s="1648"/>
      <c r="M5" s="1649"/>
      <c r="N5" s="1649"/>
      <c r="O5" s="1649"/>
      <c r="P5" s="638"/>
      <c r="Q5" s="636"/>
      <c r="R5" s="637"/>
      <c r="S5" s="1620">
        <f>INDEX(PT_DIFFERENTIATION_NUM_IST_TE,MATCH(D5,PT_DIFFERENTIATION_IST_TE_ID,0))</f>
      </c>
      <c r="T5" s="594" t="s">
        <v>461</v>
      </c>
      <c r="U5" s="584"/>
      <c r="V5" s="2526"/>
      <c r="W5" s="2527"/>
      <c r="X5" s="2527"/>
      <c r="Y5" s="2527"/>
      <c r="Z5" s="2527"/>
      <c r="AA5" s="2527"/>
      <c r="AB5" s="2527"/>
      <c r="AC5" s="2528"/>
      <c r="AD5" s="2526">
        <f>INDEX(PT_DIFFERENTIATION_IST_TE,MATCH(D5,PT_DIFFERENTIATION_IST_TE_ID,0))</f>
      </c>
      <c r="AE5" s="2527"/>
      <c r="AF5" s="2527"/>
      <c r="AG5" s="2527"/>
      <c r="AH5" s="2527"/>
      <c r="AI5" s="2527"/>
      <c r="AJ5" s="2527"/>
      <c r="AK5" s="2527"/>
      <c r="AL5" s="2528"/>
      <c r="AM5" s="1542" t="s">
        <v>462</v>
      </c>
      <c r="AO5" s="784"/>
      <c r="AP5" s="784" t="str">
        <f>IF(T5="","",T5)</f>
        <v>Источник тепловой энергии  </v>
      </c>
      <c r="AQ5" s="784"/>
      <c r="AR5" s="784"/>
      <c r="AS5" s="1439">
        <v>0</v>
      </c>
    </row>
    <row customHeight="1" ht="47.25" hidden="1">
      <c r="A6" s="1647"/>
      <c r="B6" s="1647"/>
      <c r="C6" s="1647"/>
      <c r="D6" s="1647"/>
      <c r="E6" s="2543"/>
      <c r="F6" s="2543"/>
      <c r="G6" s="2543"/>
      <c r="H6" s="2543"/>
      <c r="I6" s="2540">
        <f>S5&amp;".1"</f>
      </c>
      <c r="J6" s="1647"/>
      <c r="K6" s="1647"/>
      <c r="L6" s="1648" t="s">
        <v>463</v>
      </c>
      <c r="M6" s="821"/>
      <c r="P6" s="2541">
        <v>1</v>
      </c>
      <c r="Q6" s="1615"/>
      <c r="R6" s="640"/>
      <c r="S6" s="1620">
        <f>$I6</f>
      </c>
      <c r="T6" s="569" t="s">
        <v>464</v>
      </c>
      <c r="U6" s="584"/>
      <c r="V6" s="2529"/>
      <c r="W6" s="2530"/>
      <c r="X6" s="2530"/>
      <c r="Y6" s="2530"/>
      <c r="Z6" s="2530"/>
      <c r="AA6" s="2530"/>
      <c r="AB6" s="2530"/>
      <c r="AC6" s="2531"/>
      <c r="AD6" s="2529"/>
      <c r="AE6" s="2530"/>
      <c r="AF6" s="2530"/>
      <c r="AG6" s="2530"/>
      <c r="AH6" s="2530"/>
      <c r="AI6" s="2530"/>
      <c r="AJ6" s="2530"/>
      <c r="AK6" s="2530"/>
      <c r="AL6" s="2531"/>
      <c r="AM6" s="1542" t="s">
        <v>465</v>
      </c>
      <c r="AO6" s="784"/>
      <c r="AP6" s="784" t="str">
        <f>IF(T6="","",T6)</f>
        <v>Схема подключения теплопотребляющей установки к коллектору источника тепловой энергии</v>
      </c>
      <c r="AQ6" s="784"/>
      <c r="AR6" s="784"/>
      <c r="AS6" s="1439">
        <v>0</v>
      </c>
    </row>
    <row customHeight="1" ht="21" hidden="1">
      <c r="A7" s="1647"/>
      <c r="B7" s="1647"/>
      <c r="C7" s="1647"/>
      <c r="D7" s="1647"/>
      <c r="E7" s="2543"/>
      <c r="F7" s="2543"/>
      <c r="G7" s="2543"/>
      <c r="H7" s="2543"/>
      <c r="I7" s="2570"/>
      <c r="J7" s="2540">
        <f>I6&amp;".1"</f>
      </c>
      <c r="K7" s="1647"/>
      <c r="L7" s="1648" t="s">
        <v>466</v>
      </c>
      <c r="M7" s="821"/>
      <c r="N7" s="1650"/>
      <c r="P7" s="2541"/>
      <c r="Q7" s="2541">
        <v>1</v>
      </c>
      <c r="R7" s="641"/>
      <c r="S7" s="1620">
        <f>$J7</f>
      </c>
      <c r="T7" s="570" t="s">
        <v>467</v>
      </c>
      <c r="U7" s="584"/>
      <c r="V7" s="2529"/>
      <c r="W7" s="2530"/>
      <c r="X7" s="2530"/>
      <c r="Y7" s="2530"/>
      <c r="Z7" s="2530"/>
      <c r="AA7" s="2530"/>
      <c r="AB7" s="2530"/>
      <c r="AC7" s="2531"/>
      <c r="AD7" s="2529"/>
      <c r="AE7" s="2530"/>
      <c r="AF7" s="2530"/>
      <c r="AG7" s="2530"/>
      <c r="AH7" s="2530"/>
      <c r="AI7" s="2530"/>
      <c r="AJ7" s="2530"/>
      <c r="AK7" s="2530"/>
      <c r="AL7" s="2531"/>
      <c r="AM7" s="1542" t="s">
        <v>468</v>
      </c>
      <c r="AO7" s="784"/>
      <c r="AP7" s="784" t="str">
        <f>IF(T7="","",T7)</f>
        <v>Группа потребителей</v>
      </c>
      <c r="AQ7" s="784"/>
      <c r="AR7" s="784"/>
      <c r="AS7" s="1439">
        <v>0</v>
      </c>
    </row>
    <row customHeight="1" ht="21" hidden="1">
      <c r="A8" s="1647"/>
      <c r="B8" s="1647"/>
      <c r="C8" s="1647"/>
      <c r="D8" s="1647"/>
      <c r="E8" s="2543"/>
      <c r="F8" s="2543"/>
      <c r="G8" s="2543"/>
      <c r="H8" s="2543"/>
      <c r="I8" s="2570"/>
      <c r="J8" s="2570"/>
      <c r="K8" s="2540">
        <f>J7&amp;".1"</f>
      </c>
      <c r="L8" s="1648" t="s">
        <v>469</v>
      </c>
      <c r="M8" s="821"/>
      <c r="N8" s="1650"/>
      <c r="O8" s="1650"/>
      <c r="P8" s="2541"/>
      <c r="Q8" s="2541"/>
      <c r="R8" s="641">
        <v>1</v>
      </c>
      <c r="S8" s="1620">
        <f>$K8</f>
      </c>
      <c r="T8" s="1631"/>
      <c r="U8" s="584"/>
      <c r="V8" s="609"/>
      <c r="W8" s="1035"/>
      <c r="X8" s="609"/>
      <c r="Y8" s="668"/>
      <c r="Z8" s="2549"/>
      <c r="AA8" s="2391" t="s">
        <v>64</v>
      </c>
      <c r="AB8" s="2549"/>
      <c r="AC8" s="2391" t="s">
        <v>64</v>
      </c>
      <c r="AD8" s="609"/>
      <c r="AE8" s="1035"/>
      <c r="AF8" s="609"/>
      <c r="AG8" s="668"/>
      <c r="AH8" s="2549"/>
      <c r="AI8" s="2391" t="s">
        <v>64</v>
      </c>
      <c r="AJ8" s="2549"/>
      <c r="AK8" s="2391" t="s">
        <v>64</v>
      </c>
      <c r="AL8" s="609"/>
      <c r="AM8" s="2537" t="s">
        <v>470</v>
      </c>
      <c r="AN8" s="795">
        <f>STRCHECKDATE(V9:AL9)</f>
      </c>
      <c r="AO8" s="784"/>
      <c r="AP8" s="784" t="str">
        <f>IF(T8="","",T8)</f>
        <v/>
      </c>
      <c r="AQ8" s="784"/>
      <c r="AR8" s="784"/>
      <c r="AS8" s="1439">
        <v>0</v>
      </c>
    </row>
    <row customHeight="1" ht="0.75" hidden="1">
      <c r="A9" s="1647"/>
      <c r="B9" s="1647"/>
      <c r="C9" s="1647"/>
      <c r="D9" s="1647"/>
      <c r="E9" s="2543"/>
      <c r="F9" s="2543"/>
      <c r="G9" s="2543"/>
      <c r="H9" s="2543"/>
      <c r="I9" s="2570"/>
      <c r="J9" s="2570"/>
      <c r="K9" s="2540"/>
      <c r="L9" s="1648"/>
      <c r="M9" s="821"/>
      <c r="N9" s="1650"/>
      <c r="O9" s="1650"/>
      <c r="P9" s="2541"/>
      <c r="Q9" s="2541"/>
      <c r="R9" s="641"/>
      <c r="S9" s="1626"/>
      <c r="T9" s="584"/>
      <c r="U9" s="584"/>
      <c r="V9" s="609"/>
      <c r="W9" s="609"/>
      <c r="X9" s="609"/>
      <c r="Y9" s="612" t="str">
        <f>Z8&amp;"-"&amp;AB8</f>
        <v>-</v>
      </c>
      <c r="Z9" s="2550"/>
      <c r="AA9" s="2391"/>
      <c r="AB9" s="2550"/>
      <c r="AC9" s="2391"/>
      <c r="AD9" s="609"/>
      <c r="AE9" s="609"/>
      <c r="AF9" s="609"/>
      <c r="AG9" s="612" t="str">
        <f>AH8&amp;"-"&amp;AJ8</f>
        <v>-</v>
      </c>
      <c r="AH9" s="2550"/>
      <c r="AI9" s="2391"/>
      <c r="AJ9" s="2550"/>
      <c r="AK9" s="2391"/>
      <c r="AL9" s="609"/>
      <c r="AM9" s="2538"/>
      <c r="AO9" s="784"/>
      <c r="AP9" s="784" t="str">
        <f>IF(T9="","",T9)</f>
        <v/>
      </c>
      <c r="AQ9" s="784"/>
      <c r="AR9" s="784"/>
      <c r="AS9" s="1439">
        <v>0</v>
      </c>
    </row>
    <row customHeight="1" ht="15" hidden="1">
      <c r="A10" s="1647"/>
      <c r="B10" s="1647"/>
      <c r="C10" s="1647"/>
      <c r="D10" s="1647"/>
      <c r="E10" s="2543"/>
      <c r="F10" s="2543"/>
      <c r="G10" s="2543"/>
      <c r="H10" s="2543"/>
      <c r="I10" s="2570"/>
      <c r="J10" s="2540"/>
      <c r="K10" s="1647"/>
      <c r="L10" s="1648"/>
      <c r="M10" s="821"/>
      <c r="N10" s="1650"/>
      <c r="P10" s="2541"/>
      <c r="Q10" s="2541"/>
      <c r="R10" s="640"/>
      <c r="S10" s="1562"/>
      <c r="T10" s="572" t="s">
        <v>471</v>
      </c>
      <c r="U10" s="651"/>
      <c r="V10" s="651"/>
      <c r="W10" s="651"/>
      <c r="X10" s="651"/>
      <c r="Y10" s="651"/>
      <c r="Z10" s="651"/>
      <c r="AA10" s="651"/>
      <c r="AB10" s="651"/>
      <c r="AC10" s="651"/>
      <c r="AD10" s="651"/>
      <c r="AE10" s="651"/>
      <c r="AF10" s="651"/>
      <c r="AG10" s="651"/>
      <c r="AH10" s="651"/>
      <c r="AI10" s="651"/>
      <c r="AJ10" s="651"/>
      <c r="AK10" s="651"/>
      <c r="AL10" s="608"/>
      <c r="AM10" s="2539"/>
      <c r="AO10" s="784"/>
      <c r="AP10" s="784" t="str">
        <f>IF(T10="","",T10)</f>
        <v>Добавить вид теплоносителя (параметры теплоносителя)</v>
      </c>
      <c r="AQ10" s="784"/>
      <c r="AR10" s="784"/>
      <c r="AS10" s="1439">
        <v>0</v>
      </c>
    </row>
    <row customHeight="1" ht="15" hidden="1">
      <c r="A11" s="1647"/>
      <c r="B11" s="1647"/>
      <c r="C11" s="1647"/>
      <c r="D11" s="1647"/>
      <c r="E11" s="2543"/>
      <c r="F11" s="2543"/>
      <c r="G11" s="2543"/>
      <c r="H11" s="2543"/>
      <c r="I11" s="2540"/>
      <c r="J11" s="1647"/>
      <c r="K11" s="1647"/>
      <c r="L11" s="1648"/>
      <c r="M11" s="821"/>
      <c r="P11" s="2541"/>
      <c r="Q11" s="1615"/>
      <c r="R11" s="640"/>
      <c r="S11" s="1562"/>
      <c r="T11" s="571" t="s">
        <v>472</v>
      </c>
      <c r="U11" s="651"/>
      <c r="V11" s="651"/>
      <c r="W11" s="651"/>
      <c r="X11" s="651"/>
      <c r="Y11" s="651"/>
      <c r="Z11" s="651"/>
      <c r="AA11" s="651"/>
      <c r="AB11" s="651"/>
      <c r="AC11" s="650"/>
      <c r="AD11" s="651"/>
      <c r="AE11" s="651"/>
      <c r="AF11" s="651"/>
      <c r="AG11" s="651"/>
      <c r="AH11" s="651"/>
      <c r="AI11" s="651"/>
      <c r="AJ11" s="651"/>
      <c r="AK11" s="650"/>
      <c r="AL11" s="651"/>
      <c r="AM11" s="587"/>
      <c r="AO11" s="784"/>
      <c r="AP11" s="784" t="str">
        <f>IF(T11="","",T11)</f>
        <v>Добавить группу потребителей</v>
      </c>
      <c r="AQ11" s="784"/>
      <c r="AR11" s="784"/>
      <c r="AS11" s="1439">
        <v>0</v>
      </c>
    </row>
    <row customHeight="1" ht="14.25" hidden="1">
      <c r="A12" s="1647"/>
      <c r="B12" s="1647"/>
      <c r="C12" s="1647"/>
      <c r="D12" s="1647"/>
      <c r="E12" s="2543"/>
      <c r="F12" s="2543"/>
      <c r="G12" s="2543"/>
      <c r="H12" s="2542"/>
      <c r="I12" s="1647"/>
      <c r="J12" s="1647"/>
      <c r="K12" s="1647"/>
      <c r="L12" s="1648"/>
      <c r="M12" s="1649"/>
      <c r="N12" s="1649"/>
      <c r="O12" s="821"/>
      <c r="P12" s="644"/>
      <c r="Q12" s="659"/>
      <c r="R12" s="639"/>
      <c r="S12" s="1562"/>
      <c r="T12" s="649" t="s">
        <v>473</v>
      </c>
      <c r="U12" s="651"/>
      <c r="V12" s="651"/>
      <c r="W12" s="651"/>
      <c r="X12" s="651"/>
      <c r="Y12" s="651"/>
      <c r="Z12" s="651"/>
      <c r="AA12" s="651"/>
      <c r="AB12" s="651"/>
      <c r="AC12" s="650"/>
      <c r="AD12" s="651"/>
      <c r="AE12" s="651"/>
      <c r="AF12" s="651"/>
      <c r="AG12" s="651"/>
      <c r="AH12" s="651"/>
      <c r="AI12" s="651"/>
      <c r="AJ12" s="651"/>
      <c r="AK12" s="650"/>
      <c r="AL12" s="651"/>
      <c r="AM12" s="587"/>
      <c r="AO12" s="784"/>
      <c r="AP12" s="784" t="str">
        <f>IF(T12="","",T12)</f>
        <v>Добавить схему подключения</v>
      </c>
      <c r="AQ12" s="784"/>
      <c r="AR12" s="784"/>
      <c r="AS12" s="1439">
        <v>0</v>
      </c>
    </row>
    <row s="30621" customFormat="1" customHeight="1" ht="0.75" hidden="1">
      <c r="A13" s="1598"/>
      <c r="B13" s="1598"/>
      <c r="C13" s="1598"/>
      <c r="D13" s="1598"/>
      <c r="E13" s="2543"/>
      <c r="F13" s="2543"/>
      <c r="G13" s="2542"/>
      <c r="H13" s="1598"/>
      <c r="I13" s="1598"/>
      <c r="J13" s="1598"/>
      <c r="K13" s="1598"/>
      <c r="L13" s="1623"/>
      <c r="M13" s="1599"/>
      <c r="N13" s="1599"/>
      <c r="P13" s="1600"/>
      <c r="Q13" s="1601"/>
      <c r="R13" s="1600"/>
      <c r="S13" s="1602"/>
      <c r="T13" s="1603" t="s">
        <v>213</v>
      </c>
      <c r="U13" s="1604"/>
      <c r="V13" s="1604"/>
      <c r="W13" s="1604"/>
      <c r="X13" s="1604"/>
      <c r="Y13" s="1604"/>
      <c r="Z13" s="1604"/>
      <c r="AA13" s="1604"/>
      <c r="AB13" s="1604"/>
      <c r="AC13" s="1604"/>
      <c r="AD13" s="1604"/>
      <c r="AE13" s="1604"/>
      <c r="AF13" s="1604"/>
      <c r="AG13" s="1604"/>
      <c r="AH13" s="1604"/>
      <c r="AI13" s="1604"/>
      <c r="AJ13" s="1604"/>
      <c r="AK13" s="1604"/>
      <c r="AL13" s="1604"/>
      <c r="AM13" s="1604"/>
      <c r="AO13" s="1073"/>
      <c r="AP13" s="1073" t="str">
        <f>IF(T13="","",T13)</f>
        <v>Добавить источник для дифференциации</v>
      </c>
      <c r="AQ13" s="1073"/>
      <c r="AR13" s="1073"/>
      <c r="AS13" s="802">
        <v>0</v>
      </c>
    </row>
    <row s="30621" customFormat="1" customHeight="1" ht="0.75" hidden="1">
      <c r="A14" s="1598"/>
      <c r="B14" s="1598"/>
      <c r="C14" s="1598"/>
      <c r="D14" s="1598"/>
      <c r="E14" s="2543"/>
      <c r="F14" s="2542"/>
      <c r="G14" s="1598"/>
      <c r="H14" s="1598"/>
      <c r="I14" s="1598"/>
      <c r="J14" s="1598"/>
      <c r="K14" s="1598"/>
      <c r="L14" s="1623"/>
      <c r="M14" s="1605"/>
      <c r="N14" s="1605"/>
      <c r="P14" s="1600"/>
      <c r="Q14" s="1601"/>
      <c r="R14" s="1600"/>
      <c r="S14" s="1606"/>
      <c r="T14" s="1607" t="s">
        <v>214</v>
      </c>
      <c r="U14" s="1608"/>
      <c r="V14" s="1608"/>
      <c r="W14" s="1608"/>
      <c r="X14" s="1608"/>
      <c r="Y14" s="1608"/>
      <c r="Z14" s="1608"/>
      <c r="AA14" s="1608"/>
      <c r="AB14" s="1608"/>
      <c r="AC14" s="1608"/>
      <c r="AD14" s="1608"/>
      <c r="AE14" s="1608"/>
      <c r="AF14" s="1608"/>
      <c r="AG14" s="1608"/>
      <c r="AH14" s="1608"/>
      <c r="AI14" s="1608"/>
      <c r="AJ14" s="1608"/>
      <c r="AK14" s="1608"/>
      <c r="AL14" s="1608"/>
      <c r="AM14" s="1608"/>
      <c r="AO14" s="1073"/>
      <c r="AP14" s="1073" t="str">
        <f>IF(T14="","",T14)</f>
        <v>Добавить централизованную систему для дифференциации</v>
      </c>
      <c r="AQ14" s="1073"/>
      <c r="AR14" s="1073"/>
      <c r="AS14" s="802">
        <v>0</v>
      </c>
    </row>
    <row s="30621" customFormat="1" customHeight="1" ht="0.75" hidden="1">
      <c r="A15" s="1598"/>
      <c r="B15" s="1598"/>
      <c r="C15" s="1598"/>
      <c r="D15" s="1598"/>
      <c r="E15" s="2542"/>
      <c r="F15" s="1598"/>
      <c r="G15" s="1598"/>
      <c r="H15" s="1598"/>
      <c r="I15" s="1598"/>
      <c r="J15" s="1598"/>
      <c r="K15" s="1598"/>
      <c r="L15" s="1623"/>
      <c r="M15" s="1605"/>
      <c r="N15" s="1605"/>
      <c r="P15" s="1600"/>
      <c r="Q15" s="1601"/>
      <c r="R15" s="1600"/>
      <c r="S15" s="1606"/>
      <c r="T15" s="1609" t="s">
        <v>230</v>
      </c>
      <c r="U15" s="1608"/>
      <c r="V15" s="1608"/>
      <c r="W15" s="1608"/>
      <c r="X15" s="1608"/>
      <c r="Y15" s="1608"/>
      <c r="Z15" s="1608"/>
      <c r="AA15" s="1608"/>
      <c r="AB15" s="1608"/>
      <c r="AC15" s="1608"/>
      <c r="AD15" s="1608"/>
      <c r="AE15" s="1608"/>
      <c r="AF15" s="1608"/>
      <c r="AG15" s="1608"/>
      <c r="AH15" s="1608"/>
      <c r="AI15" s="1608"/>
      <c r="AJ15" s="1608"/>
      <c r="AK15" s="1608"/>
      <c r="AL15" s="1608"/>
      <c r="AM15" s="1608"/>
      <c r="AO15" s="1073"/>
      <c r="AP15" s="1073" t="str">
        <f>IF(T15="","",T15)</f>
        <v>Добавить территорию для дифференциации</v>
      </c>
      <c r="AQ15" s="1073"/>
      <c r="AR15" s="1073"/>
      <c r="AS15" s="802">
        <v>0</v>
      </c>
    </row>
    <row customHeight="1" ht="14.25" hidden="1">
      <c r="AC16" s="611"/>
      <c r="AK16" s="611"/>
      <c r="AS16" s="1439">
        <v>0</v>
      </c>
    </row>
    <row customHeight="1" ht="14.25" hidden="1">
      <c r="AD17" s="1644"/>
      <c r="AE17" s="1644"/>
      <c r="AF17" s="1644"/>
      <c r="AG17" s="1645"/>
      <c r="AH17" s="2551"/>
      <c r="AI17" s="2552" t="s">
        <v>64</v>
      </c>
      <c r="AJ17" s="2551"/>
      <c r="AK17" s="2552" t="s">
        <v>64</v>
      </c>
      <c r="AS17" s="1439">
        <v>0</v>
      </c>
    </row>
    <row customHeight="1" ht="14.25" hidden="1">
      <c r="AD18" s="1644"/>
      <c r="AE18" s="1644"/>
      <c r="AF18" s="1644"/>
      <c r="AG18" s="612" t="str">
        <f>AH17&amp;"-"&amp;AJ17</f>
        <v>-</v>
      </c>
      <c r="AH18" s="2552"/>
      <c r="AI18" s="2552"/>
      <c r="AJ18" s="2552"/>
      <c r="AK18" s="2552"/>
      <c r="AS18" s="1439">
        <v>0</v>
      </c>
    </row>
    <row customHeight="1" ht="14.25" hidden="1">
      <c r="AK19" s="611"/>
      <c r="AS19" s="1439">
        <v>0</v>
      </c>
    </row>
    <row s="30620" customFormat="1" customHeight="1" ht="22.5" hidden="1">
      <c r="L20" s="1613"/>
      <c r="M20" s="1646"/>
      <c r="N20" s="1646"/>
      <c r="O20" s="1651" t="s">
        <v>474</v>
      </c>
      <c r="P20" s="1646"/>
      <c r="Q20" s="1655"/>
      <c r="R20" s="1655"/>
      <c r="S20" s="1013"/>
      <c r="Z20" s="1651"/>
      <c r="AB20" s="1651"/>
      <c r="AC20" s="1650"/>
      <c r="AH20" s="1651"/>
      <c r="AJ20" s="1651"/>
      <c r="AK20" s="1650"/>
      <c r="AN20" s="795"/>
      <c r="AO20" s="795"/>
      <c r="AP20" s="795"/>
      <c r="AQ20" s="795"/>
      <c r="AR20" s="795"/>
      <c r="AS20" s="1444">
        <v>0</v>
      </c>
    </row>
    <row s="30620" customFormat="1" customHeight="1" ht="14.25" hidden="1">
      <c r="L21" s="1613"/>
      <c r="M21" s="1646"/>
      <c r="N21" s="1646"/>
      <c r="O21" s="1646"/>
      <c r="P21" s="1646"/>
      <c r="Q21" s="1655"/>
      <c r="R21" s="1655"/>
      <c r="S21" s="1013"/>
      <c r="AC21" s="1650"/>
      <c r="AK21" s="1650"/>
      <c r="AN21" s="795"/>
      <c r="AO21" s="795"/>
      <c r="AP21" s="795"/>
      <c r="AQ21" s="795"/>
      <c r="AR21" s="795"/>
      <c r="AS21" s="1444">
        <v>0</v>
      </c>
    </row>
    <row s="30620" customFormat="1" customHeight="1" ht="33.75" hidden="1">
      <c r="L22" s="1613"/>
      <c r="M22" s="1646"/>
      <c r="N22" s="1646"/>
      <c r="O22" s="1648" t="s">
        <v>475</v>
      </c>
      <c r="P22" s="1646"/>
      <c r="Q22" s="1655"/>
      <c r="R22" s="1655"/>
      <c r="S22" s="1013"/>
      <c r="T22" s="1444" t="s">
        <v>476</v>
      </c>
      <c r="AA22" s="470" t="s">
        <v>477</v>
      </c>
      <c r="AC22" s="470" t="s">
        <v>478</v>
      </c>
      <c r="AD22" s="1444" t="s">
        <v>476</v>
      </c>
      <c r="AI22" s="470" t="s">
        <v>479</v>
      </c>
      <c r="AK22" s="470" t="s">
        <v>478</v>
      </c>
      <c r="AN22" s="795"/>
      <c r="AO22" s="795"/>
      <c r="AP22" s="795"/>
      <c r="AQ22" s="795"/>
      <c r="AR22" s="795"/>
      <c r="AS22" s="1444">
        <v>0</v>
      </c>
    </row>
    <row customHeight="1" ht="14.25" hidden="1">
      <c r="O23" s="1648"/>
      <c r="AS23" s="1439">
        <v>0</v>
      </c>
    </row>
    <row customHeight="1" ht="14.25" hidden="1">
      <c r="O24" s="1648"/>
      <c r="AS24" s="1439">
        <v>0</v>
      </c>
    </row>
    <row customHeight="1" ht="14.699999999999998">
      <c r="Q25" s="660"/>
      <c r="R25" s="660"/>
      <c r="S25" s="1559"/>
      <c r="T25" s="647"/>
      <c r="U25" s="647"/>
      <c r="V25" s="793"/>
      <c r="W25" s="793"/>
      <c r="X25" s="793"/>
      <c r="Y25" s="793"/>
      <c r="Z25" s="793"/>
      <c r="AA25" s="793"/>
      <c r="AB25" s="793"/>
      <c r="AC25" s="793"/>
      <c r="AD25" s="793"/>
      <c r="AE25" s="793"/>
      <c r="AF25" s="793"/>
      <c r="AG25" s="793"/>
      <c r="AH25" s="793"/>
      <c r="AI25" s="793"/>
      <c r="AJ25" s="793"/>
      <c r="AK25" s="793"/>
      <c r="AS25" s="1439">
        <v>14</v>
      </c>
    </row>
    <row customHeight="1" ht="29.25">
      <c r="Q26" s="660"/>
      <c r="R26" s="660"/>
      <c r="S26" s="253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32"/>
      <c r="U26" s="2532"/>
      <c r="V26" s="2532"/>
      <c r="W26" s="2532"/>
      <c r="X26" s="2532"/>
      <c r="Y26" s="2532"/>
      <c r="Z26" s="2532"/>
      <c r="AA26" s="2532"/>
      <c r="AB26" s="2532"/>
      <c r="AC26" s="2532"/>
      <c r="AD26" s="2532"/>
      <c r="AE26" s="2532"/>
      <c r="AF26" s="2532"/>
      <c r="AG26" s="2532"/>
      <c r="AH26" s="2532"/>
      <c r="AI26" s="2532"/>
      <c r="AJ26" s="2532"/>
      <c r="AK26" s="1527"/>
      <c r="AS26" s="1439">
        <v>28</v>
      </c>
    </row>
    <row customHeight="1" ht="14.699999999999998">
      <c r="Q27" s="660"/>
      <c r="R27" s="660"/>
      <c r="S27" s="2533" t="str">
        <f>IF(org=0,"Не определено",org)</f>
        <v>АО "ДГК"</v>
      </c>
      <c r="T27" s="2533"/>
      <c r="U27" s="2533"/>
      <c r="V27" s="2533"/>
      <c r="W27" s="2533"/>
      <c r="X27" s="2533"/>
      <c r="Y27" s="2533"/>
      <c r="Z27" s="2533"/>
      <c r="AA27" s="2533"/>
      <c r="AB27" s="2533"/>
      <c r="AC27" s="2533"/>
      <c r="AD27" s="2533"/>
      <c r="AE27" s="2533"/>
      <c r="AF27" s="2533"/>
      <c r="AG27" s="2533"/>
      <c r="AH27" s="2533"/>
      <c r="AI27" s="2533"/>
      <c r="AJ27" s="2533"/>
      <c r="AK27" s="1527"/>
      <c r="AS27" s="1439">
        <v>14</v>
      </c>
    </row>
    <row customHeight="1" ht="14.25">
      <c r="Q28" s="660"/>
      <c r="R28" s="660"/>
      <c r="S28" s="1559"/>
      <c r="T28" s="647"/>
      <c r="U28" s="647"/>
      <c r="V28" s="606"/>
      <c r="W28" s="606"/>
      <c r="X28" s="606"/>
      <c r="Y28" s="606"/>
      <c r="Z28" s="606"/>
      <c r="AA28" s="606"/>
      <c r="AB28" s="606"/>
      <c r="AC28" s="606"/>
      <c r="AD28" s="606"/>
      <c r="AE28" s="606"/>
      <c r="AF28" s="606"/>
      <c r="AG28" s="606"/>
      <c r="AH28" s="606"/>
      <c r="AI28" s="606"/>
      <c r="AJ28" s="606"/>
      <c r="AK28" s="606"/>
      <c r="AL28" s="793"/>
      <c r="AS28" s="1439">
        <v>0</v>
      </c>
    </row>
    <row s="30764" customFormat="1" customHeight="1" ht="25.5">
      <c r="A29" s="1652"/>
      <c r="B29" s="1652"/>
      <c r="C29" s="1652"/>
      <c r="D29" s="1652"/>
      <c r="E29" s="1652"/>
      <c r="F29" s="1652"/>
      <c r="G29" s="1652"/>
      <c r="H29" s="1652"/>
      <c r="I29" s="1652"/>
      <c r="J29" s="1652"/>
      <c r="K29" s="1652"/>
      <c r="L29" s="1653"/>
      <c r="M29" s="1652"/>
      <c r="N29" s="1652"/>
      <c r="O29" s="1652"/>
      <c r="S29" s="2534" t="s">
        <v>42</v>
      </c>
      <c r="T29" s="2534"/>
      <c r="U29" s="1656"/>
      <c r="V29" s="2535" t="str">
        <f>IF(TITLE_NAME_OR_PR_CHANGE="",IF(TITLE_NAME_OR_PR="","",TITLE_NAME_OR_PR),TITLE_NAME_OR_PR_CHANGE)</f>
        <v>Комитет по ценам и тарифам Правительства Хабаровского края</v>
      </c>
      <c r="W29" s="2535"/>
      <c r="X29" s="2535"/>
      <c r="Y29" s="2535"/>
      <c r="Z29" s="2535"/>
      <c r="AA29" s="2535"/>
      <c r="AB29" s="2535"/>
      <c r="AC29" s="610"/>
      <c r="AD29" s="2535" t="str">
        <f>IF(TITLE_NAME_OR_PR_CHANGE="",IF(TITLE_NAME_OR_PR="","",TITLE_NAME_OR_PR),TITLE_NAME_OR_PR_CHANGE)</f>
        <v>Комитет по ценам и тарифам Правительства Хабаровского края</v>
      </c>
      <c r="AE29" s="2535"/>
      <c r="AF29" s="2535"/>
      <c r="AG29" s="2535"/>
      <c r="AH29" s="2535"/>
      <c r="AI29" s="2535"/>
      <c r="AJ29" s="2535"/>
      <c r="AK29" s="610"/>
      <c r="AL29" s="610"/>
      <c r="AM29" s="564"/>
      <c r="AN29" s="652"/>
      <c r="AO29" s="652"/>
      <c r="AP29" s="652"/>
      <c r="AQ29" s="652"/>
      <c r="AR29" s="652"/>
      <c r="AS29" s="702">
        <v>0</v>
      </c>
    </row>
    <row s="30764" customFormat="1" customHeight="1" ht="18.75">
      <c r="A30" s="1652"/>
      <c r="B30" s="1652"/>
      <c r="C30" s="1652"/>
      <c r="D30" s="1652"/>
      <c r="E30" s="1652"/>
      <c r="F30" s="1652"/>
      <c r="G30" s="1652"/>
      <c r="H30" s="1652"/>
      <c r="I30" s="1652"/>
      <c r="J30" s="1652"/>
      <c r="K30" s="1652"/>
      <c r="L30" s="1653"/>
      <c r="M30" s="1652"/>
      <c r="N30" s="1652"/>
      <c r="O30" s="1652"/>
      <c r="S30" s="2534" t="s">
        <v>480</v>
      </c>
      <c r="T30" s="2534"/>
      <c r="U30" s="1656"/>
      <c r="V30" s="2548" t="str">
        <f>IF(TITLE_DATE_PR_CHANGE="",IF(TITLE_DATE_PR="","",TITLE_DATE_PR),TITLE_DATE_PR_CHANGE)</f>
        <v>45645</v>
      </c>
      <c r="W30" s="2548"/>
      <c r="X30" s="2548"/>
      <c r="Y30" s="2548"/>
      <c r="Z30" s="2548"/>
      <c r="AA30" s="2548"/>
      <c r="AB30" s="2548"/>
      <c r="AC30" s="610"/>
      <c r="AD30" s="2548" t="str">
        <f>IF(TITLE_DATE_PR_CHANGE="",IF(TITLE_DATE_PR="","",TITLE_DATE_PR),TITLE_DATE_PR_CHANGE)</f>
        <v>45645</v>
      </c>
      <c r="AE30" s="2548"/>
      <c r="AF30" s="2548"/>
      <c r="AG30" s="2548"/>
      <c r="AH30" s="2548"/>
      <c r="AI30" s="2548"/>
      <c r="AJ30" s="2548"/>
      <c r="AK30" s="610"/>
      <c r="AL30" s="610"/>
      <c r="AM30" s="564"/>
      <c r="AN30" s="652"/>
      <c r="AO30" s="652"/>
      <c r="AP30" s="652"/>
      <c r="AQ30" s="652"/>
      <c r="AR30" s="652"/>
      <c r="AS30" s="702">
        <v>0</v>
      </c>
    </row>
    <row s="30764" customFormat="1" customHeight="1" ht="18.75">
      <c r="A31" s="1652"/>
      <c r="B31" s="1652"/>
      <c r="C31" s="1652"/>
      <c r="D31" s="1652"/>
      <c r="E31" s="1652"/>
      <c r="F31" s="1652"/>
      <c r="G31" s="1652"/>
      <c r="H31" s="1652"/>
      <c r="I31" s="1652"/>
      <c r="J31" s="1652"/>
      <c r="K31" s="1652"/>
      <c r="L31" s="1653"/>
      <c r="M31" s="1652"/>
      <c r="N31" s="1652"/>
      <c r="O31" s="1652"/>
      <c r="S31" s="2534" t="s">
        <v>481</v>
      </c>
      <c r="T31" s="2534"/>
      <c r="U31" s="1656"/>
      <c r="V31" s="2535" t="str">
        <f>IF(TITLE_NUMBER_PR_CHANGE="",IF(TITLE_NUMBER_PR="","",TITLE_NUMBER_PR),TITLE_NUMBER_PR_CHANGE)</f>
        <v>№ 40/8</v>
      </c>
      <c r="W31" s="2535"/>
      <c r="X31" s="2535"/>
      <c r="Y31" s="2535"/>
      <c r="Z31" s="2535"/>
      <c r="AA31" s="2535"/>
      <c r="AB31" s="2535"/>
      <c r="AC31" s="610"/>
      <c r="AD31" s="2535" t="str">
        <f>IF(TITLE_NUMBER_PR_CHANGE="",IF(TITLE_NUMBER_PR="","",TITLE_NUMBER_PR),TITLE_NUMBER_PR_CHANGE)</f>
        <v>№ 40/8</v>
      </c>
      <c r="AE31" s="2535"/>
      <c r="AF31" s="2535"/>
      <c r="AG31" s="2535"/>
      <c r="AH31" s="2535"/>
      <c r="AI31" s="2535"/>
      <c r="AJ31" s="2535"/>
      <c r="AK31" s="610"/>
      <c r="AL31" s="610"/>
      <c r="AM31" s="564"/>
      <c r="AN31" s="652"/>
      <c r="AO31" s="652"/>
      <c r="AP31" s="652"/>
      <c r="AQ31" s="652"/>
      <c r="AR31" s="652"/>
      <c r="AS31" s="702">
        <v>0</v>
      </c>
    </row>
    <row s="30764" customFormat="1" customHeight="1" ht="18.75">
      <c r="A32" s="1652"/>
      <c r="B32" s="1652"/>
      <c r="C32" s="1652"/>
      <c r="D32" s="1652"/>
      <c r="E32" s="1652"/>
      <c r="F32" s="1652"/>
      <c r="G32" s="1652"/>
      <c r="H32" s="1652"/>
      <c r="I32" s="1652"/>
      <c r="J32" s="1652"/>
      <c r="K32" s="1652"/>
      <c r="L32" s="1653"/>
      <c r="M32" s="1652"/>
      <c r="N32" s="1652"/>
      <c r="O32" s="1652"/>
      <c r="S32" s="2534" t="s">
        <v>44</v>
      </c>
      <c r="T32" s="2534"/>
      <c r="U32" s="1656"/>
      <c r="V32" s="2535" t="str">
        <f>IF(TITLE_IST_PUB_CHANGE="",IF(TITLE_IST_PUB="","",TITLE_IST_PUB),TITLE_IST_PUB_CHANGE)</f>
        <v>Официальный интернет - портал нормативных правовых актов Хабаровского края https://laws.khv.gov.ru/</v>
      </c>
      <c r="W32" s="2535"/>
      <c r="X32" s="2535"/>
      <c r="Y32" s="2535"/>
      <c r="Z32" s="2535"/>
      <c r="AA32" s="2535"/>
      <c r="AB32" s="2535"/>
      <c r="AC32" s="610"/>
      <c r="AD32" s="2535" t="str">
        <f>IF(TITLE_IST_PUB_CHANGE="",IF(TITLE_IST_PUB="","",TITLE_IST_PUB),TITLE_IST_PUB_CHANGE)</f>
        <v>Официальный интернет - портал нормативных правовых актов Хабаровского края https://laws.khv.gov.ru/</v>
      </c>
      <c r="AE32" s="2535"/>
      <c r="AF32" s="2535"/>
      <c r="AG32" s="2535"/>
      <c r="AH32" s="2535"/>
      <c r="AI32" s="2535"/>
      <c r="AJ32" s="2535"/>
      <c r="AK32" s="610"/>
      <c r="AL32" s="610"/>
      <c r="AM32" s="564"/>
      <c r="AN32" s="652"/>
      <c r="AO32" s="652"/>
      <c r="AP32" s="652"/>
      <c r="AQ32" s="652"/>
      <c r="AR32" s="652"/>
      <c r="AS32" s="702">
        <v>0</v>
      </c>
    </row>
    <row customHeight="1" ht="14.25" hidden="1">
      <c r="Q33" s="660"/>
      <c r="R33" s="660"/>
      <c r="S33" s="1559"/>
      <c r="T33" s="647"/>
      <c r="U33" s="647"/>
      <c r="V33" s="606"/>
      <c r="W33" s="606"/>
      <c r="X33" s="606"/>
      <c r="Y33" s="606"/>
      <c r="Z33" s="606"/>
      <c r="AA33" s="606"/>
      <c r="AB33" s="606"/>
      <c r="AC33" s="606"/>
      <c r="AD33" s="606"/>
      <c r="AE33" s="606"/>
      <c r="AF33" s="606"/>
      <c r="AG33" s="606"/>
      <c r="AH33" s="606"/>
      <c r="AI33" s="606"/>
      <c r="AJ33" s="606"/>
      <c r="AK33" s="606"/>
      <c r="AL33" s="793"/>
      <c r="AS33" s="1439">
        <v>0</v>
      </c>
    </row>
    <row s="30764" customFormat="1" customHeight="1" ht="18.75" hidden="1">
      <c r="A34" s="1652"/>
      <c r="B34" s="1652"/>
      <c r="C34" s="1652"/>
      <c r="D34" s="1652"/>
      <c r="E34" s="1652"/>
      <c r="F34" s="1652"/>
      <c r="G34" s="1652"/>
      <c r="H34" s="1652"/>
      <c r="I34" s="1652"/>
      <c r="J34" s="1652"/>
      <c r="K34" s="1652"/>
      <c r="L34" s="1653"/>
      <c r="M34" s="1652"/>
      <c r="N34" s="1652"/>
      <c r="O34" s="1652"/>
      <c r="S34" s="2534" t="s">
        <v>482</v>
      </c>
      <c r="T34" s="2534"/>
      <c r="U34" s="1656"/>
      <c r="V34" s="2548" t="str">
        <f>IF(TITLE_DATE_PR_CHANGE="",IF(TITLE_DATE_PR="","",TITLE_DATE_PR),TITLE_DATE_PR_CHANGE)</f>
        <v>45645</v>
      </c>
      <c r="W34" s="2548"/>
      <c r="X34" s="2548"/>
      <c r="Y34" s="2548"/>
      <c r="Z34" s="2548"/>
      <c r="AA34" s="2548"/>
      <c r="AB34" s="2548"/>
      <c r="AC34" s="610"/>
      <c r="AD34" s="2548" t="str">
        <f>IF(TITLE_DATE_PR_CHANGE="",IF(TITLE_DATE_PR="","",TITLE_DATE_PR),TITLE_DATE_PR_CHANGE)</f>
        <v>45645</v>
      </c>
      <c r="AE34" s="2548"/>
      <c r="AF34" s="2548"/>
      <c r="AG34" s="2548"/>
      <c r="AH34" s="2548"/>
      <c r="AI34" s="2548"/>
      <c r="AJ34" s="2548"/>
      <c r="AK34" s="610"/>
      <c r="AL34" s="610"/>
      <c r="AM34" s="564"/>
      <c r="AN34" s="652"/>
      <c r="AO34" s="652"/>
      <c r="AP34" s="652"/>
      <c r="AQ34" s="652"/>
      <c r="AR34" s="652"/>
      <c r="AS34" s="702">
        <v>0</v>
      </c>
    </row>
    <row s="30764" customFormat="1" customHeight="1" ht="18.75" hidden="1">
      <c r="A35" s="1652"/>
      <c r="B35" s="1652"/>
      <c r="C35" s="1652"/>
      <c r="D35" s="1652"/>
      <c r="E35" s="1652"/>
      <c r="F35" s="1652"/>
      <c r="G35" s="1652"/>
      <c r="H35" s="1652"/>
      <c r="I35" s="1652"/>
      <c r="J35" s="1652"/>
      <c r="K35" s="1652"/>
      <c r="L35" s="1653"/>
      <c r="M35" s="1652"/>
      <c r="N35" s="1652"/>
      <c r="O35" s="1652"/>
      <c r="S35" s="2534" t="s">
        <v>483</v>
      </c>
      <c r="T35" s="2534"/>
      <c r="U35" s="1656"/>
      <c r="V35" s="2535" t="str">
        <f>IF(TITLE_NUMBER_PR_CHANGE="",IF(TITLE_NUMBER_PR="","",TITLE_NUMBER_PR),TITLE_NUMBER_PR_CHANGE)</f>
        <v>№ 40/8</v>
      </c>
      <c r="W35" s="2535"/>
      <c r="X35" s="2535"/>
      <c r="Y35" s="2535"/>
      <c r="Z35" s="2535"/>
      <c r="AA35" s="2535"/>
      <c r="AB35" s="2535"/>
      <c r="AC35" s="610"/>
      <c r="AD35" s="2535" t="str">
        <f>IF(TITLE_NUMBER_PR_CHANGE="",IF(TITLE_NUMBER_PR="","",TITLE_NUMBER_PR),TITLE_NUMBER_PR_CHANGE)</f>
        <v>№ 40/8</v>
      </c>
      <c r="AE35" s="2535"/>
      <c r="AF35" s="2535"/>
      <c r="AG35" s="2535"/>
      <c r="AH35" s="2535"/>
      <c r="AI35" s="2535"/>
      <c r="AJ35" s="2535"/>
      <c r="AK35" s="610"/>
      <c r="AL35" s="610"/>
      <c r="AM35" s="564"/>
      <c r="AN35" s="652"/>
      <c r="AO35" s="652"/>
      <c r="AP35" s="652"/>
      <c r="AQ35" s="652"/>
      <c r="AR35" s="652"/>
      <c r="AS35" s="702">
        <v>0</v>
      </c>
    </row>
    <row s="30764" customFormat="1" customHeight="1" ht="0">
      <c r="A36" s="1652"/>
      <c r="B36" s="1652"/>
      <c r="C36" s="1652"/>
      <c r="D36" s="1652"/>
      <c r="E36" s="1652"/>
      <c r="F36" s="1652"/>
      <c r="G36" s="1652"/>
      <c r="H36" s="1652"/>
      <c r="I36" s="1652"/>
      <c r="J36" s="1652"/>
      <c r="K36" s="1652"/>
      <c r="L36" s="1653"/>
      <c r="M36" s="1652"/>
      <c r="N36" s="1652"/>
      <c r="O36" s="1652"/>
      <c r="S36" s="607"/>
      <c r="T36" s="607"/>
      <c r="U36" s="1624"/>
      <c r="V36" s="610"/>
      <c r="W36" s="610"/>
      <c r="X36" s="610"/>
      <c r="Y36" s="610"/>
      <c r="Z36" s="610"/>
      <c r="AA36" s="610"/>
      <c r="AB36" s="610"/>
      <c r="AC36" s="562" t="s">
        <v>484</v>
      </c>
      <c r="AD36" s="610"/>
      <c r="AE36" s="610"/>
      <c r="AF36" s="610"/>
      <c r="AG36" s="610"/>
      <c r="AH36" s="610"/>
      <c r="AI36" s="610"/>
      <c r="AJ36" s="610"/>
      <c r="AK36" s="562" t="s">
        <v>484</v>
      </c>
      <c r="AN36" s="652"/>
      <c r="AO36" s="652"/>
      <c r="AP36" s="652"/>
      <c r="AQ36" s="652"/>
      <c r="AR36" s="652"/>
      <c r="AS36" s="702">
        <v>0</v>
      </c>
    </row>
    <row customHeight="1" ht="14.699999999999998">
      <c r="Q37" s="660"/>
      <c r="R37" s="660"/>
      <c r="S37" s="1559"/>
      <c r="T37" s="647"/>
      <c r="U37" s="1528"/>
      <c r="V37" s="2536"/>
      <c r="W37" s="2536"/>
      <c r="X37" s="2536"/>
      <c r="Y37" s="2536"/>
      <c r="Z37" s="2536"/>
      <c r="AA37" s="2536"/>
      <c r="AB37" s="2536"/>
      <c r="AC37" s="2536"/>
      <c r="AD37" s="2536"/>
      <c r="AE37" s="2536"/>
      <c r="AF37" s="2536"/>
      <c r="AG37" s="2536"/>
      <c r="AH37" s="2536"/>
      <c r="AI37" s="2536"/>
      <c r="AJ37" s="2536"/>
      <c r="AK37" s="2536"/>
      <c r="AS37" s="1439">
        <v>14</v>
      </c>
    </row>
    <row customHeight="1" ht="14.699999999999998">
      <c r="Q38" s="660"/>
      <c r="R38" s="660"/>
      <c r="S38" s="2411" t="s">
        <v>360</v>
      </c>
      <c r="T38" s="2411"/>
      <c r="U38" s="2411"/>
      <c r="V38" s="2411"/>
      <c r="W38" s="2411"/>
      <c r="X38" s="2411"/>
      <c r="Y38" s="2411"/>
      <c r="Z38" s="2411"/>
      <c r="AA38" s="2411"/>
      <c r="AB38" s="2411"/>
      <c r="AC38" s="2411"/>
      <c r="AD38" s="2411"/>
      <c r="AE38" s="2411"/>
      <c r="AF38" s="2411"/>
      <c r="AG38" s="2411"/>
      <c r="AH38" s="2411"/>
      <c r="AI38" s="2411"/>
      <c r="AJ38" s="2411"/>
      <c r="AK38" s="2411"/>
      <c r="AL38" s="2411"/>
      <c r="AM38" s="2411" t="s">
        <v>361</v>
      </c>
      <c r="AS38" s="1439">
        <v>14</v>
      </c>
    </row>
    <row customHeight="1" ht="14.699999999999998">
      <c r="Q39" s="660"/>
      <c r="R39" s="660"/>
      <c r="S39" s="2557" t="s">
        <v>91</v>
      </c>
      <c r="T39" s="2493" t="s">
        <v>485</v>
      </c>
      <c r="U39" s="585"/>
      <c r="V39" s="2558" t="s">
        <v>486</v>
      </c>
      <c r="W39" s="2559"/>
      <c r="X39" s="2575"/>
      <c r="Y39" s="2575"/>
      <c r="Z39" s="2559"/>
      <c r="AA39" s="2559"/>
      <c r="AB39" s="2560"/>
      <c r="AC39" s="2561" t="s">
        <v>487</v>
      </c>
      <c r="AD39" s="2558" t="s">
        <v>486</v>
      </c>
      <c r="AE39" s="2559"/>
      <c r="AF39" s="2575"/>
      <c r="AG39" s="2575"/>
      <c r="AH39" s="2559"/>
      <c r="AI39" s="2559"/>
      <c r="AJ39" s="2560"/>
      <c r="AK39" s="2561" t="s">
        <v>488</v>
      </c>
      <c r="AL39" s="2564" t="s">
        <v>489</v>
      </c>
      <c r="AM39" s="2411"/>
      <c r="AS39" s="1439">
        <v>14</v>
      </c>
    </row>
    <row customHeight="1" ht="24">
      <c r="Q40" s="660"/>
      <c r="R40" s="660"/>
      <c r="S40" s="2557"/>
      <c r="T40" s="2493"/>
      <c r="U40" s="1315"/>
      <c r="V40" s="2576" t="s">
        <v>490</v>
      </c>
      <c r="W40" s="2578" t="s">
        <v>491</v>
      </c>
      <c r="X40" s="1660" t="s">
        <v>492</v>
      </c>
      <c r="Y40" s="1660"/>
      <c r="Z40" s="2553" t="s">
        <v>493</v>
      </c>
      <c r="AA40" s="2553"/>
      <c r="AB40" s="2547"/>
      <c r="AC40" s="2562"/>
      <c r="AD40" s="2576" t="s">
        <v>490</v>
      </c>
      <c r="AE40" s="2578" t="s">
        <v>491</v>
      </c>
      <c r="AF40" s="1660" t="s">
        <v>492</v>
      </c>
      <c r="AG40" s="1660"/>
      <c r="AH40" s="2553" t="s">
        <v>493</v>
      </c>
      <c r="AI40" s="2553"/>
      <c r="AJ40" s="2547"/>
      <c r="AK40" s="2562"/>
      <c r="AL40" s="2565"/>
      <c r="AM40" s="2411"/>
      <c r="AS40" s="1439">
        <v>23</v>
      </c>
    </row>
    <row s="30816" customFormat="1" customHeight="1" ht="24">
      <c r="A41" s="1654"/>
      <c r="B41" s="1654" t="s">
        <v>165</v>
      </c>
      <c r="C41" s="1654" t="s">
        <v>166</v>
      </c>
      <c r="D41" s="1654" t="s">
        <v>167</v>
      </c>
      <c r="E41" s="1648" t="s">
        <v>494</v>
      </c>
      <c r="F41" s="1648" t="s">
        <v>495</v>
      </c>
      <c r="G41" s="1648" t="s">
        <v>496</v>
      </c>
      <c r="H41" s="1648" t="s">
        <v>497</v>
      </c>
      <c r="I41" s="1648" t="s">
        <v>498</v>
      </c>
      <c r="J41" s="1648" t="s">
        <v>499</v>
      </c>
      <c r="K41" s="1648" t="s">
        <v>500</v>
      </c>
      <c r="L41" s="1648" t="s">
        <v>475</v>
      </c>
      <c r="M41" s="1646"/>
      <c r="N41" s="1646"/>
      <c r="O41" s="1646"/>
      <c r="P41" s="1612"/>
      <c r="Q41" s="660"/>
      <c r="R41" s="660"/>
      <c r="S41" s="2557"/>
      <c r="T41" s="2493"/>
      <c r="U41" s="586"/>
      <c r="V41" s="2577"/>
      <c r="W41" s="2579"/>
      <c r="X41" s="1657" t="s">
        <v>501</v>
      </c>
      <c r="Y41" s="1657" t="s">
        <v>502</v>
      </c>
      <c r="Z41" s="1618" t="s">
        <v>503</v>
      </c>
      <c r="AA41" s="2554" t="s">
        <v>504</v>
      </c>
      <c r="AB41" s="2555"/>
      <c r="AC41" s="2563"/>
      <c r="AD41" s="2577"/>
      <c r="AE41" s="2579"/>
      <c r="AF41" s="1657" t="s">
        <v>501</v>
      </c>
      <c r="AG41" s="1657" t="s">
        <v>502</v>
      </c>
      <c r="AH41" s="1618" t="s">
        <v>503</v>
      </c>
      <c r="AI41" s="2554" t="s">
        <v>504</v>
      </c>
      <c r="AJ41" s="2555"/>
      <c r="AK41" s="2563"/>
      <c r="AL41" s="2566"/>
      <c r="AM41" s="2411"/>
      <c r="AN41" s="795"/>
      <c r="AO41" s="784"/>
      <c r="AP41" s="784"/>
      <c r="AQ41" s="784"/>
      <c r="AR41" s="784"/>
      <c r="AS41" s="866">
        <v>23</v>
      </c>
    </row>
    <row s="31261" customFormat="1" customHeight="1" ht="11.25" hidden="1">
      <c r="A42" s="1654"/>
      <c r="B42" s="1654"/>
      <c r="C42" s="1654"/>
      <c r="D42" s="1654"/>
      <c r="E42" s="1654"/>
      <c r="F42" s="1654"/>
      <c r="G42" s="1654"/>
      <c r="H42" s="1654"/>
      <c r="I42" s="1654"/>
      <c r="J42" s="1654"/>
      <c r="K42" s="1654"/>
      <c r="L42" s="1648"/>
      <c r="M42" s="1646"/>
      <c r="N42" s="1646"/>
      <c r="O42" s="1646"/>
      <c r="P42" s="1530"/>
      <c r="Q42" s="1531"/>
      <c r="R42" s="1538">
        <v>1</v>
      </c>
      <c r="S42" s="1561" t="s">
        <v>141</v>
      </c>
      <c r="T42" s="1539" t="s">
        <v>105</v>
      </c>
      <c r="U42" s="1529" t="str">
        <f>OFFSET(U42,0,-1)</f>
        <v>2</v>
      </c>
      <c r="V42" s="1619">
        <f>OFFSET(V42,0,-1)+1</f>
        <v>3</v>
      </c>
      <c r="W42" s="1619"/>
      <c r="X42" s="1625">
        <f>OFFSET(X42,0,-1)+1</f>
        <v>1</v>
      </c>
      <c r="Y42" s="1625">
        <f>OFFSET(Y42,0,-1)+1</f>
        <v>2</v>
      </c>
      <c r="Z42" s="1619">
        <f>OFFSET(Z42,0,-1)+1</f>
        <v>3</v>
      </c>
      <c r="AA42" s="2556">
        <f>OFFSET(AA42,0,-1)+1</f>
        <v>4</v>
      </c>
      <c r="AB42" s="2556"/>
      <c r="AC42" s="1619">
        <f>OFFSET(AC42,0,-2)+1</f>
        <v>5</v>
      </c>
      <c r="AD42" s="1619">
        <f>OFFSET(AD42,0,-1)+1</f>
        <v>6</v>
      </c>
      <c r="AE42" s="1619"/>
      <c r="AF42" s="1625">
        <f>OFFSET(AF42,0,-1)+1</f>
        <v>1</v>
      </c>
      <c r="AG42" s="1625">
        <f>OFFSET(AG42,0,-1)+1</f>
        <v>2</v>
      </c>
      <c r="AH42" s="1619">
        <f>OFFSET(AH42,0,-1)+1</f>
        <v>3</v>
      </c>
      <c r="AI42" s="2556">
        <f>OFFSET(AI42,0,-1)+1</f>
        <v>4</v>
      </c>
      <c r="AJ42" s="2556"/>
      <c r="AK42" s="1619">
        <f>OFFSET(AK42,0,-2)+1</f>
        <v>5</v>
      </c>
      <c r="AL42" s="1529">
        <f>OFFSET(AL42,0,-1)</f>
        <v>5</v>
      </c>
      <c r="AM42" s="1619">
        <f>OFFSET(AM42,0,-1)+1</f>
        <v>6</v>
      </c>
      <c r="AN42" s="795"/>
      <c r="AO42" s="795"/>
      <c r="AP42" s="795"/>
      <c r="AQ42" s="795"/>
      <c r="AR42" s="795"/>
      <c r="AS42" s="780">
        <v>0</v>
      </c>
    </row>
    <row customHeight="1" ht="22.049999999999997">
      <c r="A43" s="1647" t="s">
        <v>254</v>
      </c>
      <c r="B43" s="1647"/>
      <c r="C43" s="1647"/>
      <c r="D43" s="1647"/>
      <c r="E43" s="2542">
        <v>1</v>
      </c>
      <c r="F43" s="1647"/>
      <c r="G43" s="1647"/>
      <c r="H43" s="1647"/>
      <c r="I43" s="1647"/>
      <c r="J43" s="1647"/>
      <c r="K43" s="1647"/>
      <c r="L43" s="1648"/>
      <c r="M43" s="1649"/>
      <c r="N43" s="1649"/>
      <c r="O43" s="1649"/>
      <c r="P43" s="645"/>
      <c r="Q43" s="644"/>
      <c r="R43" s="639"/>
      <c r="S43" s="1620">
        <f>INDEX(PT_DIFFERENTIATION_NUM_NTAR,MATCH(A43,PT_DIFFERENTIATION_NTAR_ID,0))</f>
        <v>0</v>
      </c>
      <c r="T43" s="582" t="s">
        <v>153</v>
      </c>
      <c r="U43" s="584"/>
      <c r="V43" s="2526"/>
      <c r="W43" s="2527"/>
      <c r="X43" s="2527"/>
      <c r="Y43" s="2527"/>
      <c r="Z43" s="2527"/>
      <c r="AA43" s="2527"/>
      <c r="AB43" s="2527"/>
      <c r="AC43" s="2528"/>
      <c r="AD43" s="2526" t="str">
        <f>INDEX(PT_DIFFERENTIATION_NTAR,MATCH(A43,PT_DIFFERENTIATION_NTAR_ID,0))</f>
        <v/>
      </c>
      <c r="AE43" s="2527"/>
      <c r="AF43" s="2527"/>
      <c r="AG43" s="2527"/>
      <c r="AH43" s="2527"/>
      <c r="AI43" s="2527"/>
      <c r="AJ43" s="2527"/>
      <c r="AK43" s="2527"/>
      <c r="AL43" s="2528"/>
      <c r="AM43" s="154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784"/>
      <c r="AP43" s="784" t="str">
        <f>IF(T43="","",T43)</f>
        <v>Наименование тарифа</v>
      </c>
      <c r="AQ43" s="784"/>
      <c r="AR43" s="784"/>
      <c r="AS43" s="1439">
        <v>21</v>
      </c>
    </row>
    <row customHeight="1" ht="22.049999999999997">
      <c r="A44" s="1647" t="s">
        <v>254</v>
      </c>
      <c r="B44" s="1647" t="s">
        <v>255</v>
      </c>
      <c r="C44" s="1647"/>
      <c r="D44" s="1647"/>
      <c r="E44" s="2543"/>
      <c r="F44" s="2542">
        <v>1</v>
      </c>
      <c r="G44" s="1647"/>
      <c r="H44" s="1647"/>
      <c r="I44" s="1647"/>
      <c r="J44" s="1647"/>
      <c r="K44" s="1647"/>
      <c r="L44" s="1648"/>
      <c r="M44" s="1649"/>
      <c r="N44" s="1649"/>
      <c r="O44" s="1649"/>
      <c r="P44" s="1616"/>
      <c r="Q44" s="636"/>
      <c r="R44" s="637"/>
      <c r="S44" s="1620" t="str">
        <f>INDEX(PT_DIFFERENTIATION_NUM_TER,MATCH(B44,PT_DIFFERENTIATION_TER_ID,0))</f>
        <v>.</v>
      </c>
      <c r="T44" s="592" t="s">
        <v>457</v>
      </c>
      <c r="U44" s="584"/>
      <c r="V44" s="2526"/>
      <c r="W44" s="2527"/>
      <c r="X44" s="2527"/>
      <c r="Y44" s="2527"/>
      <c r="Z44" s="2527"/>
      <c r="AA44" s="2527"/>
      <c r="AB44" s="2527"/>
      <c r="AC44" s="2528"/>
      <c r="AD44" s="2526" t="str">
        <f>INDEX(PT_DIFFERENTIATION_TER,MATCH(B44,PT_DIFFERENTIATION_TER_ID,0))</f>
        <v/>
      </c>
      <c r="AE44" s="2527"/>
      <c r="AF44" s="2527"/>
      <c r="AG44" s="2527"/>
      <c r="AH44" s="2527"/>
      <c r="AI44" s="2527"/>
      <c r="AJ44" s="2527"/>
      <c r="AK44" s="2527"/>
      <c r="AL44" s="2528"/>
      <c r="AM44" s="1542" t="s">
        <v>458</v>
      </c>
      <c r="AO44" s="784"/>
      <c r="AP44" s="784" t="str">
        <f>IF(T44="","",T44)</f>
        <v>Территория действия тарифа</v>
      </c>
      <c r="AQ44" s="784"/>
      <c r="AR44" s="784"/>
      <c r="AS44" s="1439">
        <v>21</v>
      </c>
    </row>
    <row customHeight="1" ht="24">
      <c r="A45" s="1647" t="s">
        <v>254</v>
      </c>
      <c r="B45" s="1647" t="s">
        <v>255</v>
      </c>
      <c r="C45" s="1647" t="s">
        <v>256</v>
      </c>
      <c r="D45" s="1647"/>
      <c r="E45" s="2543"/>
      <c r="F45" s="2543"/>
      <c r="G45" s="2542">
        <v>1</v>
      </c>
      <c r="H45" s="1647"/>
      <c r="I45" s="1647"/>
      <c r="J45" s="1647"/>
      <c r="K45" s="1647"/>
      <c r="L45" s="1648"/>
      <c r="M45" s="1649"/>
      <c r="N45" s="1649"/>
      <c r="O45" s="1649"/>
      <c r="P45" s="638"/>
      <c r="Q45" s="636"/>
      <c r="R45" s="637"/>
      <c r="S45" s="1620" t="str">
        <f>INDEX(PT_DIFFERENTIATION_NUM_CS,MATCH(C45,PT_DIFFERENTIATION_CS_ID,0))</f>
        <v>..</v>
      </c>
      <c r="T45" s="593" t="s">
        <v>459</v>
      </c>
      <c r="U45" s="584"/>
      <c r="V45" s="2526"/>
      <c r="W45" s="2527"/>
      <c r="X45" s="2527"/>
      <c r="Y45" s="2527"/>
      <c r="Z45" s="2527"/>
      <c r="AA45" s="2527"/>
      <c r="AB45" s="2527"/>
      <c r="AC45" s="2528"/>
      <c r="AD45" s="2526" t="str">
        <f>INDEX(PT_DIFFERENTIATION_CS,MATCH(C45,PT_DIFFERENTIATION_CS_ID,0))</f>
        <v/>
      </c>
      <c r="AE45" s="2527"/>
      <c r="AF45" s="2527"/>
      <c r="AG45" s="2527"/>
      <c r="AH45" s="2527"/>
      <c r="AI45" s="2527"/>
      <c r="AJ45" s="2527"/>
      <c r="AK45" s="2527"/>
      <c r="AL45" s="2528"/>
      <c r="AM45" s="1542" t="s">
        <v>460</v>
      </c>
      <c r="AO45" s="784"/>
      <c r="AP45" s="784" t="str">
        <f>IF(T45="","",T45)</f>
        <v>Наименование системы теплоснабжения </v>
      </c>
      <c r="AQ45" s="784"/>
      <c r="AR45" s="784"/>
      <c r="AS45" s="1439">
        <v>23</v>
      </c>
    </row>
    <row customHeight="1" ht="22.049999999999997">
      <c r="A46" s="1647" t="s">
        <v>254</v>
      </c>
      <c r="B46" s="1647" t="s">
        <v>255</v>
      </c>
      <c r="C46" s="1647" t="s">
        <v>256</v>
      </c>
      <c r="D46" s="1647" t="s">
        <v>257</v>
      </c>
      <c r="E46" s="2543"/>
      <c r="F46" s="2543"/>
      <c r="G46" s="2543"/>
      <c r="H46" s="2542">
        <v>1</v>
      </c>
      <c r="I46" s="1647"/>
      <c r="J46" s="1647"/>
      <c r="K46" s="1647"/>
      <c r="L46" s="1648"/>
      <c r="M46" s="1649"/>
      <c r="N46" s="1649"/>
      <c r="O46" s="1649"/>
      <c r="P46" s="638"/>
      <c r="Q46" s="636"/>
      <c r="R46" s="637"/>
      <c r="S46" s="1620" t="str">
        <f>INDEX(PT_DIFFERENTIATION_NUM_IST_TE,MATCH(D46,PT_DIFFERENTIATION_IST_TE_ID,0))</f>
        <v>...</v>
      </c>
      <c r="T46" s="594" t="s">
        <v>461</v>
      </c>
      <c r="U46" s="584"/>
      <c r="V46" s="2526"/>
      <c r="W46" s="2527"/>
      <c r="X46" s="2527"/>
      <c r="Y46" s="2527"/>
      <c r="Z46" s="2527"/>
      <c r="AA46" s="2527"/>
      <c r="AB46" s="2527"/>
      <c r="AC46" s="2528"/>
      <c r="AD46" s="2526" t="str">
        <f>INDEX(PT_DIFFERENTIATION_IST_TE,MATCH(D46,PT_DIFFERENTIATION_IST_TE_ID,0))</f>
        <v/>
      </c>
      <c r="AE46" s="2527"/>
      <c r="AF46" s="2527"/>
      <c r="AG46" s="2527"/>
      <c r="AH46" s="2527"/>
      <c r="AI46" s="2527"/>
      <c r="AJ46" s="2527"/>
      <c r="AK46" s="2527"/>
      <c r="AL46" s="2528"/>
      <c r="AM46" s="1542" t="s">
        <v>462</v>
      </c>
      <c r="AO46" s="784"/>
      <c r="AP46" s="784" t="str">
        <f>IF(T46="","",T46)</f>
        <v>Источник тепловой энергии  </v>
      </c>
      <c r="AQ46" s="784"/>
      <c r="AR46" s="784"/>
      <c r="AS46" s="1439">
        <v>21</v>
      </c>
    </row>
    <row customHeight="1" ht="49.5">
      <c r="A47" s="1647" t="s">
        <v>254</v>
      </c>
      <c r="B47" s="1647" t="s">
        <v>255</v>
      </c>
      <c r="C47" s="1647" t="s">
        <v>256</v>
      </c>
      <c r="D47" s="1647" t="s">
        <v>257</v>
      </c>
      <c r="E47" s="2543"/>
      <c r="F47" s="2543"/>
      <c r="G47" s="2543"/>
      <c r="H47" s="2543"/>
      <c r="I47" s="2540" t="str">
        <f>S46&amp;".1"</f>
        <v>....1</v>
      </c>
      <c r="J47" s="1647"/>
      <c r="K47" s="1647"/>
      <c r="L47" s="1648" t="s">
        <v>463</v>
      </c>
      <c r="P47" s="2541">
        <v>1</v>
      </c>
      <c r="Q47" s="1615"/>
      <c r="R47" s="640"/>
      <c r="S47" s="1620" t="str">
        <f>$I47</f>
        <v>....1</v>
      </c>
      <c r="T47" s="569" t="s">
        <v>464</v>
      </c>
      <c r="U47" s="584"/>
      <c r="V47" s="2529"/>
      <c r="W47" s="2530"/>
      <c r="X47" s="2530"/>
      <c r="Y47" s="2530"/>
      <c r="Z47" s="2530"/>
      <c r="AA47" s="2530"/>
      <c r="AB47" s="2530"/>
      <c r="AC47" s="2531"/>
      <c r="AD47" s="2529"/>
      <c r="AE47" s="2530"/>
      <c r="AF47" s="2530"/>
      <c r="AG47" s="2530"/>
      <c r="AH47" s="2530"/>
      <c r="AI47" s="2530"/>
      <c r="AJ47" s="2530"/>
      <c r="AK47" s="2530"/>
      <c r="AL47" s="2531"/>
      <c r="AM47" s="1542" t="s">
        <v>465</v>
      </c>
      <c r="AO47" s="784"/>
      <c r="AP47" s="784" t="str">
        <f>IF(T47="","",T47)</f>
        <v>Схема подключения теплопотребляющей установки к коллектору источника тепловой энергии</v>
      </c>
      <c r="AQ47" s="784"/>
      <c r="AR47" s="784"/>
      <c r="AS47" s="1439">
        <v>47</v>
      </c>
    </row>
    <row customHeight="1" ht="22.049999999999997">
      <c r="A48" s="1647" t="s">
        <v>254</v>
      </c>
      <c r="B48" s="1647" t="s">
        <v>255</v>
      </c>
      <c r="C48" s="1647" t="s">
        <v>256</v>
      </c>
      <c r="D48" s="1647" t="s">
        <v>257</v>
      </c>
      <c r="E48" s="2543"/>
      <c r="F48" s="2543"/>
      <c r="G48" s="2543"/>
      <c r="H48" s="2543"/>
      <c r="I48" s="2570"/>
      <c r="J48" s="2540" t="str">
        <f>I47&amp;".1"</f>
        <v>....1.1</v>
      </c>
      <c r="K48" s="1647"/>
      <c r="L48" s="1648" t="s">
        <v>466</v>
      </c>
      <c r="P48" s="2541"/>
      <c r="Q48" s="2541">
        <v>1</v>
      </c>
      <c r="R48" s="641"/>
      <c r="S48" s="1620" t="str">
        <f>$J48</f>
        <v>....1.1</v>
      </c>
      <c r="T48" s="570" t="s">
        <v>467</v>
      </c>
      <c r="U48" s="584"/>
      <c r="V48" s="2529"/>
      <c r="W48" s="2530"/>
      <c r="X48" s="2530"/>
      <c r="Y48" s="2530"/>
      <c r="Z48" s="2530"/>
      <c r="AA48" s="2530"/>
      <c r="AB48" s="2530"/>
      <c r="AC48" s="2531"/>
      <c r="AD48" s="2529"/>
      <c r="AE48" s="2530"/>
      <c r="AF48" s="2530"/>
      <c r="AG48" s="2530"/>
      <c r="AH48" s="2530"/>
      <c r="AI48" s="2530"/>
      <c r="AJ48" s="2530"/>
      <c r="AK48" s="2530"/>
      <c r="AL48" s="2531"/>
      <c r="AM48" s="1542" t="s">
        <v>468</v>
      </c>
      <c r="AO48" s="784"/>
      <c r="AP48" s="784" t="str">
        <f>IF(T48="","",T48)</f>
        <v>Группа потребителей</v>
      </c>
      <c r="AQ48" s="784"/>
      <c r="AR48" s="784"/>
      <c r="AS48" s="1439">
        <v>21</v>
      </c>
    </row>
    <row customHeight="1" ht="22.049999999999997">
      <c r="A49" s="1647" t="s">
        <v>254</v>
      </c>
      <c r="B49" s="1647" t="s">
        <v>255</v>
      </c>
      <c r="C49" s="1647" t="s">
        <v>256</v>
      </c>
      <c r="D49" s="1647" t="s">
        <v>257</v>
      </c>
      <c r="E49" s="2543"/>
      <c r="F49" s="2543"/>
      <c r="G49" s="2543"/>
      <c r="H49" s="2543"/>
      <c r="I49" s="2570"/>
      <c r="J49" s="2570"/>
      <c r="K49" s="2540" t="str">
        <f>J48&amp;".1"</f>
        <v>....1.1.1</v>
      </c>
      <c r="L49" s="1648" t="s">
        <v>469</v>
      </c>
      <c r="P49" s="2541"/>
      <c r="Q49" s="2541"/>
      <c r="R49" s="641">
        <v>1</v>
      </c>
      <c r="S49" s="1620" t="str">
        <f>$K49</f>
        <v>....1.1.1</v>
      </c>
      <c r="T49" s="1631"/>
      <c r="U49" s="584"/>
      <c r="V49" s="609"/>
      <c r="W49" s="1035"/>
      <c r="X49" s="609"/>
      <c r="Y49" s="668"/>
      <c r="Z49" s="2549"/>
      <c r="AA49" s="2391" t="s">
        <v>64</v>
      </c>
      <c r="AB49" s="2549"/>
      <c r="AC49" s="2391" t="s">
        <v>64</v>
      </c>
      <c r="AD49" s="609"/>
      <c r="AE49" s="1035"/>
      <c r="AF49" s="609"/>
      <c r="AG49" s="668"/>
      <c r="AH49" s="2549"/>
      <c r="AI49" s="2391" t="s">
        <v>64</v>
      </c>
      <c r="AJ49" s="2571"/>
      <c r="AK49" s="2391" t="s">
        <v>64</v>
      </c>
      <c r="AL49" s="1632"/>
      <c r="AM49" s="2537" t="s">
        <v>470</v>
      </c>
      <c r="AN49" s="795">
        <f>STRCHECKDATE(V50:AL50)</f>
      </c>
      <c r="AO49" s="784"/>
      <c r="AP49" s="784" t="str">
        <f>IF(T49="","",T49)</f>
        <v/>
      </c>
      <c r="AQ49" s="784"/>
      <c r="AR49" s="784"/>
      <c r="AS49" s="1439">
        <v>21</v>
      </c>
    </row>
    <row customHeight="1" ht="1.05">
      <c r="A50" s="1647" t="s">
        <v>254</v>
      </c>
      <c r="B50" s="1647" t="s">
        <v>255</v>
      </c>
      <c r="C50" s="1647" t="s">
        <v>256</v>
      </c>
      <c r="D50" s="1647" t="s">
        <v>257</v>
      </c>
      <c r="E50" s="2543"/>
      <c r="F50" s="2543"/>
      <c r="G50" s="2543"/>
      <c r="H50" s="2543"/>
      <c r="I50" s="2570"/>
      <c r="J50" s="2570"/>
      <c r="K50" s="2540"/>
      <c r="L50" s="1648"/>
      <c r="P50" s="2541"/>
      <c r="Q50" s="2541"/>
      <c r="R50" s="641"/>
      <c r="S50" s="1626"/>
      <c r="T50" s="584"/>
      <c r="U50" s="584"/>
      <c r="V50" s="609"/>
      <c r="W50" s="609"/>
      <c r="X50" s="609"/>
      <c r="Y50" s="612" t="str">
        <f>Z49&amp;"-"&amp;AB49</f>
        <v>-</v>
      </c>
      <c r="Z50" s="2550"/>
      <c r="AA50" s="2391"/>
      <c r="AB50" s="2550"/>
      <c r="AC50" s="2391"/>
      <c r="AD50" s="609"/>
      <c r="AE50" s="609"/>
      <c r="AF50" s="609"/>
      <c r="AG50" s="612" t="str">
        <f>AH49&amp;"-"&amp;AJ49</f>
        <v>-</v>
      </c>
      <c r="AH50" s="2550"/>
      <c r="AI50" s="2391"/>
      <c r="AJ50" s="2572"/>
      <c r="AK50" s="2391"/>
      <c r="AL50" s="1633"/>
      <c r="AM50" s="2538"/>
      <c r="AO50" s="784"/>
      <c r="AP50" s="784" t="str">
        <f>IF(T50="","",T50)</f>
        <v/>
      </c>
      <c r="AQ50" s="784"/>
      <c r="AR50" s="784"/>
      <c r="AS50" s="1439">
        <v>1</v>
      </c>
    </row>
    <row customHeight="1" ht="11.549999999999999">
      <c r="A51" s="1647" t="s">
        <v>254</v>
      </c>
      <c r="B51" s="1647" t="s">
        <v>255</v>
      </c>
      <c r="C51" s="1647" t="s">
        <v>256</v>
      </c>
      <c r="D51" s="1647" t="s">
        <v>257</v>
      </c>
      <c r="E51" s="2543"/>
      <c r="F51" s="2543"/>
      <c r="G51" s="2543"/>
      <c r="H51" s="2543"/>
      <c r="I51" s="2570"/>
      <c r="J51" s="2540"/>
      <c r="K51" s="1647"/>
      <c r="L51" s="1648"/>
      <c r="P51" s="2541"/>
      <c r="Q51" s="2541"/>
      <c r="R51" s="640"/>
      <c r="S51" s="1562"/>
      <c r="T51" s="572" t="s">
        <v>471</v>
      </c>
      <c r="U51" s="651"/>
      <c r="V51" s="651"/>
      <c r="W51" s="651"/>
      <c r="X51" s="651"/>
      <c r="Y51" s="651"/>
      <c r="Z51" s="651"/>
      <c r="AA51" s="651"/>
      <c r="AB51" s="651"/>
      <c r="AC51" s="651"/>
      <c r="AD51" s="651"/>
      <c r="AE51" s="651"/>
      <c r="AF51" s="651"/>
      <c r="AG51" s="651"/>
      <c r="AH51" s="651"/>
      <c r="AI51" s="651"/>
      <c r="AJ51" s="651"/>
      <c r="AK51" s="651"/>
      <c r="AL51" s="608"/>
      <c r="AM51" s="2539"/>
      <c r="AO51" s="784"/>
      <c r="AP51" s="784" t="str">
        <f>IF(T51="","",T51)</f>
        <v>Добавить вид теплоносителя (параметры теплоносителя)</v>
      </c>
      <c r="AQ51" s="784"/>
      <c r="AR51" s="784"/>
      <c r="AS51" s="1439">
        <v>11</v>
      </c>
    </row>
    <row customHeight="1" ht="11.549999999999999">
      <c r="A52" s="1647" t="s">
        <v>254</v>
      </c>
      <c r="B52" s="1647" t="s">
        <v>255</v>
      </c>
      <c r="C52" s="1647" t="s">
        <v>256</v>
      </c>
      <c r="D52" s="1647" t="s">
        <v>257</v>
      </c>
      <c r="E52" s="2543"/>
      <c r="F52" s="2543"/>
      <c r="G52" s="2543"/>
      <c r="H52" s="2543"/>
      <c r="I52" s="2540"/>
      <c r="J52" s="1647"/>
      <c r="K52" s="1647"/>
      <c r="L52" s="1648"/>
      <c r="P52" s="2541"/>
      <c r="Q52" s="1615"/>
      <c r="R52" s="640"/>
      <c r="S52" s="1562"/>
      <c r="T52" s="571" t="s">
        <v>472</v>
      </c>
      <c r="U52" s="651"/>
      <c r="V52" s="651"/>
      <c r="W52" s="651"/>
      <c r="X52" s="651"/>
      <c r="Y52" s="651"/>
      <c r="Z52" s="651"/>
      <c r="AA52" s="651"/>
      <c r="AB52" s="651"/>
      <c r="AC52" s="650"/>
      <c r="AD52" s="651"/>
      <c r="AE52" s="651"/>
      <c r="AF52" s="651"/>
      <c r="AG52" s="651"/>
      <c r="AH52" s="651"/>
      <c r="AI52" s="651"/>
      <c r="AJ52" s="651"/>
      <c r="AK52" s="650"/>
      <c r="AL52" s="651"/>
      <c r="AM52" s="587"/>
      <c r="AO52" s="784"/>
      <c r="AP52" s="784" t="str">
        <f>IF(T52="","",T52)</f>
        <v>Добавить группу потребителей</v>
      </c>
      <c r="AQ52" s="784"/>
      <c r="AR52" s="784"/>
      <c r="AS52" s="1439">
        <v>11</v>
      </c>
    </row>
    <row customHeight="1" ht="14.699999999999998">
      <c r="A53" s="1647" t="s">
        <v>254</v>
      </c>
      <c r="B53" s="1647" t="s">
        <v>255</v>
      </c>
      <c r="C53" s="1647" t="s">
        <v>256</v>
      </c>
      <c r="D53" s="1647" t="s">
        <v>257</v>
      </c>
      <c r="E53" s="2543"/>
      <c r="F53" s="2543"/>
      <c r="G53" s="2543"/>
      <c r="H53" s="2542"/>
      <c r="I53" s="1647"/>
      <c r="J53" s="1647"/>
      <c r="K53" s="1647"/>
      <c r="L53" s="1648"/>
      <c r="M53" s="1649"/>
      <c r="N53" s="1649"/>
      <c r="O53" s="821"/>
      <c r="P53" s="644"/>
      <c r="Q53" s="659"/>
      <c r="R53" s="639"/>
      <c r="S53" s="1562"/>
      <c r="T53" s="649" t="s">
        <v>473</v>
      </c>
      <c r="U53" s="651"/>
      <c r="V53" s="651"/>
      <c r="W53" s="651"/>
      <c r="X53" s="651"/>
      <c r="Y53" s="651"/>
      <c r="Z53" s="651"/>
      <c r="AA53" s="651"/>
      <c r="AB53" s="651"/>
      <c r="AC53" s="650"/>
      <c r="AD53" s="651"/>
      <c r="AE53" s="651"/>
      <c r="AF53" s="651"/>
      <c r="AG53" s="651"/>
      <c r="AH53" s="651"/>
      <c r="AI53" s="651"/>
      <c r="AJ53" s="651"/>
      <c r="AK53" s="650"/>
      <c r="AL53" s="651"/>
      <c r="AM53" s="587"/>
      <c r="AO53" s="784"/>
      <c r="AP53" s="784" t="str">
        <f>IF(T53="","",T53)</f>
        <v>Добавить схему подключения</v>
      </c>
      <c r="AQ53" s="784"/>
      <c r="AR53" s="784"/>
      <c r="AS53" s="1439">
        <v>14</v>
      </c>
    </row>
    <row s="30621" customFormat="1" customHeight="1" ht="1.05">
      <c r="A54" s="1627" t="s">
        <v>254</v>
      </c>
      <c r="B54" s="1627" t="s">
        <v>255</v>
      </c>
      <c r="C54" s="1627" t="s">
        <v>256</v>
      </c>
      <c r="D54" s="1598"/>
      <c r="E54" s="2543"/>
      <c r="F54" s="2543"/>
      <c r="G54" s="2542"/>
      <c r="H54" s="1598"/>
      <c r="I54" s="1598"/>
      <c r="J54" s="1598"/>
      <c r="K54" s="1598"/>
      <c r="L54" s="1623"/>
      <c r="M54" s="1599"/>
      <c r="N54" s="1599"/>
      <c r="P54" s="1600"/>
      <c r="Q54" s="1601"/>
      <c r="R54" s="1600"/>
      <c r="S54" s="1606"/>
      <c r="T54" s="1609" t="s">
        <v>213</v>
      </c>
      <c r="U54" s="1608"/>
      <c r="V54" s="1608"/>
      <c r="W54" s="1608"/>
      <c r="X54" s="1608"/>
      <c r="Y54" s="1608"/>
      <c r="Z54" s="1608"/>
      <c r="AA54" s="1608"/>
      <c r="AB54" s="1608"/>
      <c r="AC54" s="1608"/>
      <c r="AD54" s="1608"/>
      <c r="AE54" s="1608"/>
      <c r="AF54" s="1608"/>
      <c r="AG54" s="1608"/>
      <c r="AH54" s="1608"/>
      <c r="AI54" s="1608"/>
      <c r="AJ54" s="1608"/>
      <c r="AK54" s="1608"/>
      <c r="AL54" s="1608"/>
      <c r="AM54" s="1608"/>
      <c r="AO54" s="1073"/>
      <c r="AP54" s="1073" t="str">
        <f>IF(T54="","",T54)</f>
        <v>Добавить источник для дифференциации</v>
      </c>
      <c r="AQ54" s="1073"/>
      <c r="AR54" s="1073"/>
      <c r="AS54" s="802">
        <v>1</v>
      </c>
    </row>
    <row s="30621" customFormat="1" customHeight="1" ht="1.05">
      <c r="A55" s="1627" t="s">
        <v>254</v>
      </c>
      <c r="B55" s="1627" t="s">
        <v>255</v>
      </c>
      <c r="C55" s="1598"/>
      <c r="D55" s="1598"/>
      <c r="E55" s="2543"/>
      <c r="F55" s="2542"/>
      <c r="G55" s="1598"/>
      <c r="H55" s="1598"/>
      <c r="I55" s="1598"/>
      <c r="J55" s="1598"/>
      <c r="K55" s="1598"/>
      <c r="L55" s="1623"/>
      <c r="M55" s="1605"/>
      <c r="N55" s="1605"/>
      <c r="P55" s="1600"/>
      <c r="Q55" s="1601"/>
      <c r="R55" s="1600"/>
      <c r="S55" s="1606"/>
      <c r="T55" s="1609" t="s">
        <v>214</v>
      </c>
      <c r="U55" s="1608"/>
      <c r="V55" s="1608"/>
      <c r="W55" s="1608"/>
      <c r="X55" s="1608"/>
      <c r="Y55" s="1608"/>
      <c r="Z55" s="1608"/>
      <c r="AA55" s="1608"/>
      <c r="AB55" s="1608"/>
      <c r="AC55" s="1608"/>
      <c r="AD55" s="1608"/>
      <c r="AE55" s="1608"/>
      <c r="AF55" s="1608"/>
      <c r="AG55" s="1608"/>
      <c r="AH55" s="1608"/>
      <c r="AI55" s="1608"/>
      <c r="AJ55" s="1608"/>
      <c r="AK55" s="1608"/>
      <c r="AL55" s="1608"/>
      <c r="AM55" s="1608"/>
      <c r="AO55" s="1073"/>
      <c r="AP55" s="1073" t="str">
        <f>IF(T55="","",T55)</f>
        <v>Добавить централизованную систему для дифференциации</v>
      </c>
      <c r="AQ55" s="1073"/>
      <c r="AR55" s="1073"/>
      <c r="AS55" s="802">
        <v>1</v>
      </c>
    </row>
    <row s="30621" customFormat="1" customHeight="1" ht="1.05">
      <c r="A56" s="1627" t="s">
        <v>254</v>
      </c>
      <c r="B56" s="1627"/>
      <c r="C56" s="1627"/>
      <c r="D56" s="1627"/>
      <c r="E56" s="2542"/>
      <c r="F56" s="1627"/>
      <c r="G56" s="1627"/>
      <c r="H56" s="1627"/>
      <c r="I56" s="1627"/>
      <c r="J56" s="1627"/>
      <c r="K56" s="1627"/>
      <c r="L56" s="1630"/>
      <c r="M56" s="1605"/>
      <c r="N56" s="1605"/>
      <c r="O56" s="802"/>
      <c r="P56" s="664"/>
      <c r="Q56" s="1628"/>
      <c r="R56" s="664"/>
      <c r="S56" s="1606"/>
      <c r="T56" s="1609" t="s">
        <v>230</v>
      </c>
      <c r="U56" s="1608"/>
      <c r="V56" s="1608"/>
      <c r="W56" s="1608"/>
      <c r="X56" s="1608"/>
      <c r="Y56" s="1608"/>
      <c r="Z56" s="1608"/>
      <c r="AA56" s="1608"/>
      <c r="AB56" s="1608"/>
      <c r="AC56" s="1608"/>
      <c r="AD56" s="1608"/>
      <c r="AE56" s="1608"/>
      <c r="AF56" s="1608"/>
      <c r="AG56" s="1608"/>
      <c r="AH56" s="1608"/>
      <c r="AI56" s="1608"/>
      <c r="AJ56" s="1608"/>
      <c r="AK56" s="1608"/>
      <c r="AL56" s="1608"/>
      <c r="AM56" s="1608"/>
      <c r="AO56" s="784"/>
      <c r="AP56" s="784" t="str">
        <f>IF(T56="","",T56)</f>
        <v>Добавить территорию для дифференциации</v>
      </c>
      <c r="AQ56" s="784"/>
      <c r="AR56" s="784"/>
      <c r="AS56" s="795">
        <v>1</v>
      </c>
    </row>
    <row s="30621" customFormat="1" customHeight="1" ht="1.05">
      <c r="A57" s="1598"/>
      <c r="B57" s="1598"/>
      <c r="C57" s="1598"/>
      <c r="D57" s="1598"/>
      <c r="E57" s="1627"/>
      <c r="F57" s="1598"/>
      <c r="G57" s="1598"/>
      <c r="H57" s="1598"/>
      <c r="I57" s="1598"/>
      <c r="J57" s="1598"/>
      <c r="K57" s="1598"/>
      <c r="L57" s="1623"/>
      <c r="M57" s="1605"/>
      <c r="N57" s="1605"/>
      <c r="P57" s="1600"/>
      <c r="Q57" s="1601"/>
      <c r="R57" s="1600"/>
      <c r="S57" s="1606"/>
      <c r="T57" s="1609" t="s">
        <v>239</v>
      </c>
      <c r="U57" s="1608"/>
      <c r="V57" s="1608"/>
      <c r="W57" s="1608"/>
      <c r="X57" s="1608"/>
      <c r="Y57" s="1608"/>
      <c r="Z57" s="1608"/>
      <c r="AA57" s="1608"/>
      <c r="AB57" s="1608"/>
      <c r="AC57" s="1608"/>
      <c r="AD57" s="1608"/>
      <c r="AE57" s="1608"/>
      <c r="AF57" s="1608"/>
      <c r="AG57" s="1608"/>
      <c r="AH57" s="1608"/>
      <c r="AI57" s="1608"/>
      <c r="AJ57" s="1608"/>
      <c r="AK57" s="1608"/>
      <c r="AL57" s="1608"/>
      <c r="AM57" s="1608"/>
      <c r="AO57" s="1073"/>
      <c r="AP57" s="1073" t="str">
        <f>IF(T57="","",T57)</f>
        <v>Добавить наименование тарифа</v>
      </c>
      <c r="AQ57" s="1073"/>
      <c r="AR57" s="1073"/>
      <c r="AS57" s="802">
        <v>1</v>
      </c>
    </row>
    <row customHeight="1" ht="11.549999999999999">
      <c r="M58" s="1444"/>
      <c r="N58" s="1444"/>
      <c r="O58" s="821"/>
      <c r="P58" s="1439"/>
      <c r="Q58" s="1439"/>
      <c r="R58" s="1439"/>
      <c r="S58" s="1439"/>
      <c r="AN58" s="1439"/>
      <c r="AO58" s="1439"/>
      <c r="AP58" s="1439"/>
      <c r="AQ58" s="1439"/>
      <c r="AR58" s="1439"/>
      <c r="AS58" s="1439">
        <v>11</v>
      </c>
    </row>
    <row customHeight="1" ht="28.5">
      <c r="O59" s="821"/>
      <c r="S59" s="1537"/>
      <c r="T59" s="2569"/>
      <c r="U59" s="2569"/>
      <c r="V59" s="2569"/>
      <c r="W59" s="2569"/>
      <c r="X59" s="2569"/>
      <c r="Y59" s="2569"/>
      <c r="Z59" s="2569"/>
      <c r="AA59" s="2569"/>
      <c r="AB59" s="2569"/>
      <c r="AC59" s="2569"/>
      <c r="AD59" s="2569"/>
      <c r="AE59" s="2569"/>
      <c r="AF59" s="2569"/>
      <c r="AG59" s="2569"/>
      <c r="AH59" s="2569"/>
      <c r="AI59" s="2569"/>
      <c r="AJ59" s="2569"/>
      <c r="AK59" s="2569"/>
      <c r="AL59" s="2569"/>
      <c r="AM59" s="2569"/>
      <c r="AS59" s="1439">
        <v>27</v>
      </c>
    </row>
    <row customHeight="1" ht="78.75">
      <c r="O60" s="821"/>
      <c r="T60" s="2569"/>
      <c r="U60" s="2569"/>
      <c r="V60" s="2569"/>
      <c r="W60" s="2569"/>
      <c r="X60" s="2569"/>
      <c r="Y60" s="2569"/>
      <c r="Z60" s="2569"/>
      <c r="AA60" s="2569"/>
      <c r="AB60" s="2569"/>
      <c r="AC60" s="2569"/>
      <c r="AD60" s="2569"/>
      <c r="AE60" s="2569"/>
      <c r="AF60" s="2569"/>
      <c r="AG60" s="2569"/>
      <c r="AH60" s="2569"/>
      <c r="AI60" s="2569"/>
      <c r="AJ60" s="2569"/>
      <c r="AK60" s="2569"/>
      <c r="AL60" s="2569"/>
      <c r="AM60" s="2569"/>
      <c r="AS60" s="1439">
        <v>75</v>
      </c>
    </row>
    <row customHeight="1" ht="14.699999999999998">
      <c r="O61" s="821"/>
      <c r="AS61" s="1439">
        <v>14</v>
      </c>
    </row>
    <row customHeight="1" ht="18.75">
      <c r="O62" s="821"/>
      <c r="S62" s="1537"/>
      <c r="T62" s="2569"/>
      <c r="U62" s="2569"/>
      <c r="V62" s="2569"/>
      <c r="W62" s="2569"/>
      <c r="X62" s="2569"/>
      <c r="Y62" s="2569"/>
      <c r="Z62" s="2569"/>
      <c r="AA62" s="2569"/>
      <c r="AB62" s="2569"/>
      <c r="AC62" s="2569"/>
      <c r="AD62" s="2569"/>
      <c r="AE62" s="2569"/>
      <c r="AF62" s="2569"/>
      <c r="AG62" s="2569"/>
      <c r="AH62" s="2569"/>
      <c r="AI62" s="2569"/>
      <c r="AJ62" s="2569"/>
      <c r="AK62" s="2569"/>
      <c r="AL62" s="2569"/>
      <c r="AM62" s="2569"/>
      <c r="AS62" s="1439">
        <v>18</v>
      </c>
    </row>
    <row customHeight="1" ht="18.75">
      <c r="O63" s="821"/>
      <c r="T63" s="2569"/>
      <c r="U63" s="2569"/>
      <c r="V63" s="2569"/>
      <c r="W63" s="2569"/>
      <c r="X63" s="2569"/>
      <c r="Y63" s="2569"/>
      <c r="Z63" s="2569"/>
      <c r="AA63" s="2569"/>
      <c r="AB63" s="2569"/>
      <c r="AC63" s="2569"/>
      <c r="AD63" s="2569"/>
      <c r="AE63" s="2569"/>
      <c r="AF63" s="2569"/>
      <c r="AG63" s="2569"/>
      <c r="AH63" s="2569"/>
      <c r="AI63" s="2569"/>
      <c r="AJ63" s="2569"/>
      <c r="AK63" s="2569"/>
      <c r="AL63" s="2569"/>
      <c r="AM63" s="2569"/>
      <c r="AS63" s="1439">
        <v>18</v>
      </c>
    </row>
    <row customHeight="1" ht="39.75">
      <c r="O64" s="821"/>
      <c r="S64" s="1537"/>
      <c r="T64" s="2569"/>
      <c r="U64" s="2569"/>
      <c r="V64" s="2569"/>
      <c r="W64" s="2569"/>
      <c r="X64" s="2569"/>
      <c r="Y64" s="2569"/>
      <c r="Z64" s="2569"/>
      <c r="AA64" s="2569"/>
      <c r="AB64" s="2569"/>
      <c r="AC64" s="2569"/>
      <c r="AD64" s="2569"/>
      <c r="AE64" s="2569"/>
      <c r="AF64" s="2569"/>
      <c r="AG64" s="2569"/>
      <c r="AH64" s="2569"/>
      <c r="AI64" s="2569"/>
      <c r="AJ64" s="2569"/>
      <c r="AK64" s="2569"/>
      <c r="AL64" s="2569"/>
      <c r="AM64" s="2569"/>
      <c r="AS64" s="1439">
        <v>38</v>
      </c>
    </row>
    <row customHeight="1" ht="22.5" hidden="1">
      <c r="A65" s="1444" t="s">
        <v>85</v>
      </c>
      <c r="B65" s="1444">
        <v>0</v>
      </c>
      <c r="C65" s="1444">
        <v>0</v>
      </c>
      <c r="D65" s="1444">
        <v>0</v>
      </c>
      <c r="E65" s="1444">
        <v>0</v>
      </c>
      <c r="F65" s="1444">
        <v>0</v>
      </c>
      <c r="G65" s="1444">
        <v>0</v>
      </c>
      <c r="H65" s="1444">
        <v>0</v>
      </c>
      <c r="I65" s="1444">
        <v>0</v>
      </c>
      <c r="J65" s="1444">
        <v>0</v>
      </c>
      <c r="K65" s="1444">
        <v>0</v>
      </c>
      <c r="L65" s="1613">
        <v>0</v>
      </c>
      <c r="M65" s="1646">
        <v>0</v>
      </c>
      <c r="N65" s="1646">
        <v>0</v>
      </c>
      <c r="O65" s="1646">
        <v>0</v>
      </c>
      <c r="P65" s="1612">
        <v>3</v>
      </c>
      <c r="Q65" s="628">
        <v>3</v>
      </c>
      <c r="R65" s="628">
        <v>3</v>
      </c>
      <c r="S65" s="865">
        <v>12</v>
      </c>
      <c r="T65" s="1439">
        <v>31</v>
      </c>
      <c r="U65" s="1439">
        <v>0</v>
      </c>
      <c r="V65" s="1439">
        <v>0</v>
      </c>
      <c r="W65" s="1439">
        <v>0</v>
      </c>
      <c r="X65" s="1439">
        <v>0</v>
      </c>
      <c r="Y65" s="1439">
        <v>0</v>
      </c>
      <c r="Z65" s="1439">
        <v>0</v>
      </c>
      <c r="AA65" s="1439">
        <v>0</v>
      </c>
      <c r="AB65" s="1439">
        <v>0</v>
      </c>
      <c r="AC65" s="1439">
        <v>0</v>
      </c>
      <c r="AD65" s="1439">
        <v>0</v>
      </c>
      <c r="AE65" s="1439">
        <v>24</v>
      </c>
      <c r="AF65" s="1439">
        <v>0</v>
      </c>
      <c r="AG65" s="1439">
        <v>0</v>
      </c>
      <c r="AH65" s="1439">
        <v>11</v>
      </c>
      <c r="AI65" s="1439">
        <v>3</v>
      </c>
      <c r="AJ65" s="1439">
        <v>11</v>
      </c>
      <c r="AK65" s="1439">
        <v>0</v>
      </c>
      <c r="AL65" s="1439">
        <v>4</v>
      </c>
      <c r="AM65" s="1439">
        <v>115</v>
      </c>
      <c r="AN65" s="795">
        <v>10</v>
      </c>
      <c r="AO65" s="795">
        <v>10</v>
      </c>
      <c r="AP65" s="795">
        <v>10</v>
      </c>
      <c r="AQ65" s="795">
        <v>10</v>
      </c>
      <c r="AR65" s="795">
        <v>10</v>
      </c>
      <c r="AS65" s="1439">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806557-E1E9-28FB-6B81-4BA75AB27653}" mc:Ignorable="x14ac xr xr2 xr3">
  <sheetPr>
    <tabColor theme="6" tint="0.4"/>
  </sheetPr>
  <dimension ref="A1:DM160"/>
  <sheetViews>
    <sheetView showGridLines="0" zoomScale="90" workbookViewId="0">
      <pane xSplit="29" ySplit="42" topLeftCell="AT148" activePane="bottomRight" state="frozen"/>
      <selection pane="bottomLeft" activeCell="A43" sqref="A43"/>
      <selection pane="topRight" activeCell="AD1" sqref="AD1"/>
      <selection pane="bottomRight" activeCell="BB160" sqref="BB160"/>
    </sheetView>
  </sheetViews>
  <sheetFormatPr defaultColWidth="10.57421875" customHeight="1" defaultRowHeight="14.25"/>
  <cols>
    <col min="1" max="1" style="30620" width="10.57421875" hidden="1"/>
    <col min="2" max="2" style="30620" width="11.00390625" hidden="1" customWidth="1"/>
    <col min="3" max="3" style="30620" width="10.57421875" hidden="1"/>
    <col min="4" max="4" style="30620" width="11.8515625" hidden="1" customWidth="1"/>
    <col min="5" max="5" style="30620" width="10.00390625" hidden="1" customWidth="1"/>
    <col min="6" max="6" style="30620" width="8.7109375" hidden="1" customWidth="1"/>
    <col min="7" max="7" style="30620" width="7.57421875" hidden="1" customWidth="1"/>
    <col min="8" max="8" style="30620" width="11.421875" hidden="1" customWidth="1"/>
    <col min="9" max="9" style="30620" width="12.00390625" hidden="1" customWidth="1"/>
    <col min="10" max="10" style="30620" width="9.8515625" hidden="1" customWidth="1"/>
    <col min="11" max="11" style="30620" width="11.421875" hidden="1" customWidth="1"/>
    <col min="12" max="12" style="31502" width="19.140625" hidden="1" customWidth="1"/>
    <col min="13" max="14" style="31503" width="12.28125" hidden="1" customWidth="1"/>
    <col min="15" max="15" style="31503" width="23.421875" hidden="1" customWidth="1"/>
    <col min="16" max="16" style="31504" width="3.7109375" hidden="1" customWidth="1"/>
    <col min="17" max="18" style="31505" width="3.00390625" customWidth="1"/>
    <col min="19" max="19" style="31506" width="12.00390625" customWidth="1"/>
    <col min="20" max="20" style="30541" width="31.00390625" customWidth="1"/>
    <col min="21" max="21" style="30541" width="0.140625" customWidth="1"/>
    <col min="22" max="22" style="30541" width="24.7109375" hidden="1" customWidth="1"/>
    <col min="23" max="23" style="30541" width="0.140625" hidden="1" customWidth="1"/>
    <col min="24" max="25" style="30541" width="24.7109375" hidden="1" customWidth="1"/>
    <col min="26" max="26" style="30541" width="11.7109375" hidden="1" customWidth="1"/>
    <col min="27" max="27" style="30541" width="3.7109375" hidden="1" customWidth="1"/>
    <col min="28" max="28" style="30541" width="11.7109375" hidden="1" customWidth="1"/>
    <col min="29" max="29" style="30541" width="8.57421875" hidden="1" customWidth="1"/>
    <col min="30" max="30" style="30541" width="24.7109375" customWidth="1"/>
    <col min="31" max="31" style="30541" width="0.140625" customWidth="1"/>
    <col min="32" max="33" style="30541" width="24.00390625" customWidth="1"/>
    <col min="34" max="34" style="30541" width="11.00390625" customWidth="1"/>
    <col min="35" max="35" style="30541" width="3.7109375" customWidth="1"/>
    <col min="36" max="36" style="30541" width="11.00390625" customWidth="1"/>
    <col min="37" max="37" style="30541" width="8.57421875" customWidth="1"/>
    <col min="109" max="109" style="33517" width="10.57421875" hidden="1"/>
    <col min="110" max="110" style="30541" width="4.00390625" customWidth="1"/>
    <col min="111" max="111" style="30541" width="115.00390625" customWidth="1"/>
    <col min="112" max="116" style="30621" width="10.00390625" customWidth="1"/>
    <col min="117" max="117" style="30541" width="8.421875" hidden="1" customWidth="1"/>
  </cols>
  <sheetData>
    <row customHeight="1" ht="22.5" hidden="1">
      <c r="Y1" s="611"/>
      <c r="Z1" s="611"/>
      <c r="AG1" s="611"/>
      <c r="AH1" s="611"/>
      <c r="AL1" s="3961"/>
      <c r="AM1" s="3961"/>
      <c r="AN1" s="3961"/>
      <c r="AO1" s="3961"/>
      <c r="AP1" s="3961"/>
      <c r="AQ1" s="3961"/>
      <c r="AR1" s="3961"/>
      <c r="AS1" s="3961"/>
      <c r="AT1" s="3961"/>
      <c r="AU1" s="3961"/>
      <c r="AV1" s="3961"/>
      <c r="AW1" s="3961"/>
      <c r="AX1" s="3961"/>
      <c r="AY1" s="3961"/>
      <c r="AZ1" s="3961"/>
      <c r="BA1" s="3961"/>
      <c r="BB1" s="3961"/>
      <c r="BC1" s="3961"/>
      <c r="BD1" s="3961"/>
      <c r="BE1" s="3961"/>
      <c r="BF1" s="3961"/>
      <c r="BG1" s="3961"/>
      <c r="BH1" s="3961"/>
      <c r="BI1" s="3961"/>
      <c r="BJ1" s="3961"/>
      <c r="BK1" s="3961"/>
      <c r="BL1" s="3961"/>
      <c r="BM1" s="3961"/>
      <c r="BN1" s="3961"/>
      <c r="BO1" s="3961"/>
      <c r="BP1" s="3961"/>
      <c r="BQ1" s="3961"/>
      <c r="BR1" s="3961"/>
      <c r="BS1" s="3961"/>
      <c r="BT1" s="3961"/>
      <c r="BU1" s="3961"/>
      <c r="BV1" s="3961"/>
      <c r="BW1" s="3961"/>
      <c r="BX1" s="3961"/>
      <c r="BY1" s="3961"/>
      <c r="BZ1" s="3961"/>
      <c r="CA1" s="3961"/>
      <c r="CB1" s="3961"/>
      <c r="CC1" s="3961"/>
      <c r="CD1" s="3961"/>
      <c r="CE1" s="3961"/>
      <c r="CF1" s="3961"/>
      <c r="CG1" s="3961"/>
      <c r="CH1" s="3961"/>
      <c r="CI1" s="3961"/>
      <c r="CJ1" s="3961"/>
      <c r="CK1" s="3961"/>
      <c r="CL1" s="3961"/>
      <c r="CM1" s="3961"/>
      <c r="CN1" s="3961"/>
      <c r="CO1" s="3961"/>
      <c r="CP1" s="3961"/>
      <c r="CQ1" s="3961"/>
      <c r="CR1" s="3961"/>
      <c r="CS1" s="3961"/>
      <c r="CT1" s="3961"/>
      <c r="CU1" s="3961"/>
      <c r="CV1" s="3961"/>
      <c r="CW1" s="3961"/>
      <c r="CX1" s="3961"/>
      <c r="CY1" s="3961"/>
      <c r="CZ1" s="3961"/>
      <c r="DA1" s="3961"/>
      <c r="DB1" s="3961"/>
      <c r="DC1" s="3961"/>
      <c r="DD1" s="3961"/>
      <c r="DE1" s="3961"/>
      <c r="DM1" s="1439" t="s">
        <v>14</v>
      </c>
    </row>
    <row customHeight="1" ht="21" hidden="1">
      <c r="A2" s="1647"/>
      <c r="B2" s="1647"/>
      <c r="C2" s="1647"/>
      <c r="D2" s="1647"/>
      <c r="E2" s="2542">
        <v>1</v>
      </c>
      <c r="F2" s="1647"/>
      <c r="G2" s="1647"/>
      <c r="H2" s="1647"/>
      <c r="I2" s="1647"/>
      <c r="J2" s="1647"/>
      <c r="K2" s="1647"/>
      <c r="L2" s="1648"/>
      <c r="M2" s="1649"/>
      <c r="N2" s="1649"/>
      <c r="O2" s="1649"/>
      <c r="P2" s="645"/>
      <c r="Q2" s="644"/>
      <c r="R2" s="639"/>
      <c r="S2" s="1620">
        <f>INDEX(PT_DIFFERENTIATION_NUM_NTAR,MATCH(A2,PT_DIFFERENTIATION_NTAR_ID,0))</f>
      </c>
      <c r="T2" s="582" t="s">
        <v>153</v>
      </c>
      <c r="U2" s="584"/>
      <c r="V2" s="2526"/>
      <c r="W2" s="2527"/>
      <c r="X2" s="2527"/>
      <c r="Y2" s="2527"/>
      <c r="Z2" s="2527"/>
      <c r="AA2" s="2527"/>
      <c r="AB2" s="2527"/>
      <c r="AC2" s="2528"/>
      <c r="AD2" s="2526">
        <f>INDEX(PT_DIFFERENTIATION_NTAR,MATCH(A2,PT_DIFFERENTIATION_NTAR_ID,0))</f>
      </c>
      <c r="AE2" s="2527"/>
      <c r="AF2" s="2527"/>
      <c r="AG2" s="2527"/>
      <c r="AH2" s="2527"/>
      <c r="AI2" s="2527"/>
      <c r="AJ2" s="2527"/>
      <c r="AK2" s="2527"/>
      <c r="AL2" s="3962"/>
      <c r="AM2" s="3963"/>
      <c r="AN2" s="3963"/>
      <c r="AO2" s="3963"/>
      <c r="AP2" s="3963"/>
      <c r="AQ2" s="3963"/>
      <c r="AR2" s="3963"/>
      <c r="AS2" s="3964"/>
      <c r="AT2" s="3962"/>
      <c r="AU2" s="3963"/>
      <c r="AV2" s="3963"/>
      <c r="AW2" s="3963"/>
      <c r="AX2" s="3963"/>
      <c r="AY2" s="3963"/>
      <c r="AZ2" s="3963"/>
      <c r="BA2" s="3964"/>
      <c r="BB2" s="3962"/>
      <c r="BC2" s="3963"/>
      <c r="BD2" s="3963"/>
      <c r="BE2" s="3963"/>
      <c r="BF2" s="3963"/>
      <c r="BG2" s="3963"/>
      <c r="BH2" s="3963"/>
      <c r="BI2" s="3964"/>
      <c r="BJ2" s="3962"/>
      <c r="BK2" s="3963"/>
      <c r="BL2" s="3963"/>
      <c r="BM2" s="3963"/>
      <c r="BN2" s="3963"/>
      <c r="BO2" s="3963"/>
      <c r="BP2" s="3963"/>
      <c r="BQ2" s="3964"/>
      <c r="BR2" s="3962"/>
      <c r="BS2" s="3963"/>
      <c r="BT2" s="3963"/>
      <c r="BU2" s="3963"/>
      <c r="BV2" s="3963"/>
      <c r="BW2" s="3963"/>
      <c r="BX2" s="3963"/>
      <c r="BY2" s="3964"/>
      <c r="BZ2" s="3962"/>
      <c r="CA2" s="3963"/>
      <c r="CB2" s="3963"/>
      <c r="CC2" s="3963"/>
      <c r="CD2" s="3963"/>
      <c r="CE2" s="3963"/>
      <c r="CF2" s="3963"/>
      <c r="CG2" s="3964"/>
      <c r="CH2" s="3962"/>
      <c r="CI2" s="3963"/>
      <c r="CJ2" s="3963"/>
      <c r="CK2" s="3963"/>
      <c r="CL2" s="3963"/>
      <c r="CM2" s="3963"/>
      <c r="CN2" s="3963"/>
      <c r="CO2" s="3964"/>
      <c r="CP2" s="3962"/>
      <c r="CQ2" s="3963"/>
      <c r="CR2" s="3963"/>
      <c r="CS2" s="3963"/>
      <c r="CT2" s="3963"/>
      <c r="CU2" s="3963"/>
      <c r="CV2" s="3963"/>
      <c r="CW2" s="3964"/>
      <c r="CX2" s="3962"/>
      <c r="CY2" s="3963"/>
      <c r="CZ2" s="3963"/>
      <c r="DA2" s="3963"/>
      <c r="DB2" s="3963"/>
      <c r="DC2" s="3963"/>
      <c r="DD2" s="3963"/>
      <c r="DE2" s="3964"/>
      <c r="DF2" s="2528"/>
      <c r="DG2" s="1542" t="s">
        <v>456</v>
      </c>
      <c r="DI2" s="784"/>
      <c r="DJ2" s="784" t="str">
        <f>IF(T2="","",T2)</f>
        <v>Наименование тарифа</v>
      </c>
      <c r="DK2" s="784"/>
      <c r="DL2" s="784"/>
      <c r="DM2" s="1439">
        <v>0</v>
      </c>
    </row>
    <row customHeight="1" ht="21" hidden="1">
      <c r="A3" s="1647"/>
      <c r="B3" s="1647"/>
      <c r="C3" s="1647"/>
      <c r="D3" s="1647"/>
      <c r="E3" s="2543"/>
      <c r="F3" s="2542">
        <v>1</v>
      </c>
      <c r="G3" s="1647"/>
      <c r="H3" s="1647"/>
      <c r="I3" s="1647"/>
      <c r="J3" s="1647"/>
      <c r="K3" s="1647"/>
      <c r="L3" s="1648"/>
      <c r="M3" s="1649"/>
      <c r="N3" s="1649"/>
      <c r="O3" s="1649"/>
      <c r="P3" s="1616"/>
      <c r="Q3" s="636"/>
      <c r="R3" s="637"/>
      <c r="S3" s="1620">
        <f>INDEX(PT_DIFFERENTIATION_NUM_TER,MATCH(B3,PT_DIFFERENTIATION_TER_ID,0))</f>
      </c>
      <c r="T3" s="592" t="s">
        <v>457</v>
      </c>
      <c r="U3" s="584"/>
      <c r="V3" s="2526"/>
      <c r="W3" s="2527"/>
      <c r="X3" s="2527"/>
      <c r="Y3" s="2527"/>
      <c r="Z3" s="2527"/>
      <c r="AA3" s="2527"/>
      <c r="AB3" s="2527"/>
      <c r="AC3" s="2528"/>
      <c r="AD3" s="2526">
        <f>INDEX(PT_DIFFERENTIATION_TER,MATCH(B3,PT_DIFFERENTIATION_TER_ID,0))</f>
      </c>
      <c r="AE3" s="2527"/>
      <c r="AF3" s="2527"/>
      <c r="AG3" s="2527"/>
      <c r="AH3" s="2527"/>
      <c r="AI3" s="2527"/>
      <c r="AJ3" s="2527"/>
      <c r="AK3" s="2527"/>
      <c r="AL3" s="3962"/>
      <c r="AM3" s="3963"/>
      <c r="AN3" s="3963"/>
      <c r="AO3" s="3963"/>
      <c r="AP3" s="3963"/>
      <c r="AQ3" s="3963"/>
      <c r="AR3" s="3963"/>
      <c r="AS3" s="3964"/>
      <c r="AT3" s="3962"/>
      <c r="AU3" s="3963"/>
      <c r="AV3" s="3963"/>
      <c r="AW3" s="3963"/>
      <c r="AX3" s="3963"/>
      <c r="AY3" s="3963"/>
      <c r="AZ3" s="3963"/>
      <c r="BA3" s="3964"/>
      <c r="BB3" s="3962"/>
      <c r="BC3" s="3963"/>
      <c r="BD3" s="3963"/>
      <c r="BE3" s="3963"/>
      <c r="BF3" s="3963"/>
      <c r="BG3" s="3963"/>
      <c r="BH3" s="3963"/>
      <c r="BI3" s="3964"/>
      <c r="BJ3" s="3962"/>
      <c r="BK3" s="3963"/>
      <c r="BL3" s="3963"/>
      <c r="BM3" s="3963"/>
      <c r="BN3" s="3963"/>
      <c r="BO3" s="3963"/>
      <c r="BP3" s="3963"/>
      <c r="BQ3" s="3964"/>
      <c r="BR3" s="3962"/>
      <c r="BS3" s="3963"/>
      <c r="BT3" s="3963"/>
      <c r="BU3" s="3963"/>
      <c r="BV3" s="3963"/>
      <c r="BW3" s="3963"/>
      <c r="BX3" s="3963"/>
      <c r="BY3" s="3964"/>
      <c r="BZ3" s="3962"/>
      <c r="CA3" s="3963"/>
      <c r="CB3" s="3963"/>
      <c r="CC3" s="3963"/>
      <c r="CD3" s="3963"/>
      <c r="CE3" s="3963"/>
      <c r="CF3" s="3963"/>
      <c r="CG3" s="3964"/>
      <c r="CH3" s="3962"/>
      <c r="CI3" s="3963"/>
      <c r="CJ3" s="3963"/>
      <c r="CK3" s="3963"/>
      <c r="CL3" s="3963"/>
      <c r="CM3" s="3963"/>
      <c r="CN3" s="3963"/>
      <c r="CO3" s="3964"/>
      <c r="CP3" s="3962"/>
      <c r="CQ3" s="3963"/>
      <c r="CR3" s="3963"/>
      <c r="CS3" s="3963"/>
      <c r="CT3" s="3963"/>
      <c r="CU3" s="3963"/>
      <c r="CV3" s="3963"/>
      <c r="CW3" s="3964"/>
      <c r="CX3" s="3962"/>
      <c r="CY3" s="3963"/>
      <c r="CZ3" s="3963"/>
      <c r="DA3" s="3963"/>
      <c r="DB3" s="3963"/>
      <c r="DC3" s="3963"/>
      <c r="DD3" s="3963"/>
      <c r="DE3" s="3964"/>
      <c r="DF3" s="2528"/>
      <c r="DG3" s="1542" t="s">
        <v>458</v>
      </c>
      <c r="DI3" s="784"/>
      <c r="DJ3" s="784" t="str">
        <f>IF(T3="","",T3)</f>
        <v>Территория действия тарифа</v>
      </c>
      <c r="DK3" s="784"/>
      <c r="DL3" s="784"/>
      <c r="DM3" s="1439">
        <v>0</v>
      </c>
    </row>
    <row customHeight="1" ht="23.25" hidden="1">
      <c r="A4" s="1647"/>
      <c r="B4" s="1647"/>
      <c r="C4" s="1647"/>
      <c r="D4" s="1647"/>
      <c r="E4" s="2543"/>
      <c r="F4" s="2543"/>
      <c r="G4" s="2542">
        <v>1</v>
      </c>
      <c r="H4" s="1647"/>
      <c r="I4" s="1647"/>
      <c r="J4" s="1647"/>
      <c r="K4" s="1647"/>
      <c r="L4" s="1648"/>
      <c r="M4" s="1649"/>
      <c r="N4" s="1649"/>
      <c r="O4" s="1649"/>
      <c r="P4" s="638"/>
      <c r="Q4" s="636"/>
      <c r="R4" s="637"/>
      <c r="S4" s="1620">
        <f>INDEX(PT_DIFFERENTIATION_NUM_CS,MATCH(C4,PT_DIFFERENTIATION_CS_ID,0))</f>
      </c>
      <c r="T4" s="593" t="s">
        <v>459</v>
      </c>
      <c r="U4" s="584"/>
      <c r="V4" s="2526"/>
      <c r="W4" s="2527"/>
      <c r="X4" s="2527"/>
      <c r="Y4" s="2527"/>
      <c r="Z4" s="2527"/>
      <c r="AA4" s="2527"/>
      <c r="AB4" s="2527"/>
      <c r="AC4" s="2528"/>
      <c r="AD4" s="2526">
        <f>INDEX(PT_DIFFERENTIATION_CS,MATCH(C4,PT_DIFFERENTIATION_CS_ID,0))</f>
      </c>
      <c r="AE4" s="2527"/>
      <c r="AF4" s="2527"/>
      <c r="AG4" s="2527"/>
      <c r="AH4" s="2527"/>
      <c r="AI4" s="2527"/>
      <c r="AJ4" s="2527"/>
      <c r="AK4" s="2527"/>
      <c r="AL4" s="3962"/>
      <c r="AM4" s="3963"/>
      <c r="AN4" s="3963"/>
      <c r="AO4" s="3963"/>
      <c r="AP4" s="3963"/>
      <c r="AQ4" s="3963"/>
      <c r="AR4" s="3963"/>
      <c r="AS4" s="3964"/>
      <c r="AT4" s="3962"/>
      <c r="AU4" s="3963"/>
      <c r="AV4" s="3963"/>
      <c r="AW4" s="3963"/>
      <c r="AX4" s="3963"/>
      <c r="AY4" s="3963"/>
      <c r="AZ4" s="3963"/>
      <c r="BA4" s="3964"/>
      <c r="BB4" s="3962"/>
      <c r="BC4" s="3963"/>
      <c r="BD4" s="3963"/>
      <c r="BE4" s="3963"/>
      <c r="BF4" s="3963"/>
      <c r="BG4" s="3963"/>
      <c r="BH4" s="3963"/>
      <c r="BI4" s="3964"/>
      <c r="BJ4" s="3962"/>
      <c r="BK4" s="3963"/>
      <c r="BL4" s="3963"/>
      <c r="BM4" s="3963"/>
      <c r="BN4" s="3963"/>
      <c r="BO4" s="3963"/>
      <c r="BP4" s="3963"/>
      <c r="BQ4" s="3964"/>
      <c r="BR4" s="3962"/>
      <c r="BS4" s="3963"/>
      <c r="BT4" s="3963"/>
      <c r="BU4" s="3963"/>
      <c r="BV4" s="3963"/>
      <c r="BW4" s="3963"/>
      <c r="BX4" s="3963"/>
      <c r="BY4" s="3964"/>
      <c r="BZ4" s="3962"/>
      <c r="CA4" s="3963"/>
      <c r="CB4" s="3963"/>
      <c r="CC4" s="3963"/>
      <c r="CD4" s="3963"/>
      <c r="CE4" s="3963"/>
      <c r="CF4" s="3963"/>
      <c r="CG4" s="3964"/>
      <c r="CH4" s="3962"/>
      <c r="CI4" s="3963"/>
      <c r="CJ4" s="3963"/>
      <c r="CK4" s="3963"/>
      <c r="CL4" s="3963"/>
      <c r="CM4" s="3963"/>
      <c r="CN4" s="3963"/>
      <c r="CO4" s="3964"/>
      <c r="CP4" s="3962"/>
      <c r="CQ4" s="3963"/>
      <c r="CR4" s="3963"/>
      <c r="CS4" s="3963"/>
      <c r="CT4" s="3963"/>
      <c r="CU4" s="3963"/>
      <c r="CV4" s="3963"/>
      <c r="CW4" s="3964"/>
      <c r="CX4" s="3962"/>
      <c r="CY4" s="3963"/>
      <c r="CZ4" s="3963"/>
      <c r="DA4" s="3963"/>
      <c r="DB4" s="3963"/>
      <c r="DC4" s="3963"/>
      <c r="DD4" s="3963"/>
      <c r="DE4" s="3964"/>
      <c r="DF4" s="2528"/>
      <c r="DG4" s="1542" t="s">
        <v>460</v>
      </c>
      <c r="DI4" s="784"/>
      <c r="DJ4" s="784" t="str">
        <f>IF(T4="","",T4)</f>
        <v>Наименование системы теплоснабжения </v>
      </c>
      <c r="DK4" s="784"/>
      <c r="DL4" s="784"/>
      <c r="DM4" s="1439">
        <v>0</v>
      </c>
    </row>
    <row customHeight="1" ht="21" hidden="1">
      <c r="A5" s="1647"/>
      <c r="B5" s="1647"/>
      <c r="C5" s="1647"/>
      <c r="D5" s="1647"/>
      <c r="E5" s="2543"/>
      <c r="F5" s="2543"/>
      <c r="G5" s="2543"/>
      <c r="H5" s="2542">
        <v>1</v>
      </c>
      <c r="I5" s="1647"/>
      <c r="J5" s="1647"/>
      <c r="K5" s="1647"/>
      <c r="L5" s="1648"/>
      <c r="M5" s="1649"/>
      <c r="N5" s="1649"/>
      <c r="O5" s="1649"/>
      <c r="P5" s="638"/>
      <c r="Q5" s="636"/>
      <c r="R5" s="637"/>
      <c r="S5" s="1620">
        <f>INDEX(PT_DIFFERENTIATION_NUM_IST_TE,MATCH(D5,PT_DIFFERENTIATION_IST_TE_ID,0))</f>
      </c>
      <c r="T5" s="594" t="s">
        <v>461</v>
      </c>
      <c r="U5" s="584"/>
      <c r="V5" s="2526"/>
      <c r="W5" s="2527"/>
      <c r="X5" s="2527"/>
      <c r="Y5" s="2527"/>
      <c r="Z5" s="2527"/>
      <c r="AA5" s="2527"/>
      <c r="AB5" s="2527"/>
      <c r="AC5" s="2528"/>
      <c r="AD5" s="2526">
        <f>INDEX(PT_DIFFERENTIATION_IST_TE,MATCH(D5,PT_DIFFERENTIATION_IST_TE_ID,0))</f>
      </c>
      <c r="AE5" s="2527"/>
      <c r="AF5" s="2527"/>
      <c r="AG5" s="2527"/>
      <c r="AH5" s="2527"/>
      <c r="AI5" s="2527"/>
      <c r="AJ5" s="2527"/>
      <c r="AK5" s="2527"/>
      <c r="AL5" s="3962"/>
      <c r="AM5" s="3963"/>
      <c r="AN5" s="3963"/>
      <c r="AO5" s="3963"/>
      <c r="AP5" s="3963"/>
      <c r="AQ5" s="3963"/>
      <c r="AR5" s="3963"/>
      <c r="AS5" s="3964"/>
      <c r="AT5" s="3962"/>
      <c r="AU5" s="3963"/>
      <c r="AV5" s="3963"/>
      <c r="AW5" s="3963"/>
      <c r="AX5" s="3963"/>
      <c r="AY5" s="3963"/>
      <c r="AZ5" s="3963"/>
      <c r="BA5" s="3964"/>
      <c r="BB5" s="3962"/>
      <c r="BC5" s="3963"/>
      <c r="BD5" s="3963"/>
      <c r="BE5" s="3963"/>
      <c r="BF5" s="3963"/>
      <c r="BG5" s="3963"/>
      <c r="BH5" s="3963"/>
      <c r="BI5" s="3964"/>
      <c r="BJ5" s="3962"/>
      <c r="BK5" s="3963"/>
      <c r="BL5" s="3963"/>
      <c r="BM5" s="3963"/>
      <c r="BN5" s="3963"/>
      <c r="BO5" s="3963"/>
      <c r="BP5" s="3963"/>
      <c r="BQ5" s="3964"/>
      <c r="BR5" s="3962"/>
      <c r="BS5" s="3963"/>
      <c r="BT5" s="3963"/>
      <c r="BU5" s="3963"/>
      <c r="BV5" s="3963"/>
      <c r="BW5" s="3963"/>
      <c r="BX5" s="3963"/>
      <c r="BY5" s="3964"/>
      <c r="BZ5" s="3962"/>
      <c r="CA5" s="3963"/>
      <c r="CB5" s="3963"/>
      <c r="CC5" s="3963"/>
      <c r="CD5" s="3963"/>
      <c r="CE5" s="3963"/>
      <c r="CF5" s="3963"/>
      <c r="CG5" s="3964"/>
      <c r="CH5" s="3962"/>
      <c r="CI5" s="3963"/>
      <c r="CJ5" s="3963"/>
      <c r="CK5" s="3963"/>
      <c r="CL5" s="3963"/>
      <c r="CM5" s="3963"/>
      <c r="CN5" s="3963"/>
      <c r="CO5" s="3964"/>
      <c r="CP5" s="3962"/>
      <c r="CQ5" s="3963"/>
      <c r="CR5" s="3963"/>
      <c r="CS5" s="3963"/>
      <c r="CT5" s="3963"/>
      <c r="CU5" s="3963"/>
      <c r="CV5" s="3963"/>
      <c r="CW5" s="3964"/>
      <c r="CX5" s="3962"/>
      <c r="CY5" s="3963"/>
      <c r="CZ5" s="3963"/>
      <c r="DA5" s="3963"/>
      <c r="DB5" s="3963"/>
      <c r="DC5" s="3963"/>
      <c r="DD5" s="3963"/>
      <c r="DE5" s="3964"/>
      <c r="DF5" s="2528"/>
      <c r="DG5" s="1542" t="s">
        <v>462</v>
      </c>
      <c r="DI5" s="784"/>
      <c r="DJ5" s="784" t="str">
        <f>IF(T5="","",T5)</f>
        <v>Источник тепловой энергии  </v>
      </c>
      <c r="DK5" s="784"/>
      <c r="DL5" s="784"/>
      <c r="DM5" s="1439">
        <v>0</v>
      </c>
    </row>
    <row customHeight="1" ht="14.25" hidden="1">
      <c r="A6" s="1647"/>
      <c r="B6" s="1647"/>
      <c r="C6" s="1647"/>
      <c r="D6" s="1647"/>
      <c r="E6" s="2543"/>
      <c r="F6" s="2543"/>
      <c r="G6" s="2543"/>
      <c r="H6" s="2543"/>
      <c r="I6" s="2540">
        <f>S5&amp;".1"</f>
      </c>
      <c r="J6" s="1647"/>
      <c r="K6" s="1647"/>
      <c r="L6" s="1648" t="s">
        <v>463</v>
      </c>
      <c r="M6" s="821"/>
      <c r="P6" s="2541">
        <v>1</v>
      </c>
      <c r="Q6" s="1615"/>
      <c r="R6" s="640"/>
      <c r="S6" s="1326"/>
      <c r="T6" s="1667"/>
      <c r="U6" s="1668"/>
      <c r="V6" s="2580"/>
      <c r="W6" s="2581"/>
      <c r="X6" s="2581"/>
      <c r="Y6" s="2581"/>
      <c r="Z6" s="2581"/>
      <c r="AA6" s="2581"/>
      <c r="AB6" s="2581"/>
      <c r="AC6" s="2582"/>
      <c r="AD6" s="2580"/>
      <c r="AE6" s="2581"/>
      <c r="AF6" s="2581"/>
      <c r="AG6" s="2581"/>
      <c r="AH6" s="2581"/>
      <c r="AI6" s="2581"/>
      <c r="AJ6" s="2581"/>
      <c r="AK6" s="2581"/>
      <c r="AL6" s="3971"/>
      <c r="AM6" s="3972"/>
      <c r="AN6" s="3972"/>
      <c r="AO6" s="3972"/>
      <c r="AP6" s="3972"/>
      <c r="AQ6" s="3972"/>
      <c r="AR6" s="3972"/>
      <c r="AS6" s="3973"/>
      <c r="AT6" s="3971"/>
      <c r="AU6" s="3972"/>
      <c r="AV6" s="3972"/>
      <c r="AW6" s="3972"/>
      <c r="AX6" s="3972"/>
      <c r="AY6" s="3972"/>
      <c r="AZ6" s="3972"/>
      <c r="BA6" s="3973"/>
      <c r="BB6" s="3971"/>
      <c r="BC6" s="3972"/>
      <c r="BD6" s="3972"/>
      <c r="BE6" s="3972"/>
      <c r="BF6" s="3972"/>
      <c r="BG6" s="3972"/>
      <c r="BH6" s="3972"/>
      <c r="BI6" s="3973"/>
      <c r="BJ6" s="3971"/>
      <c r="BK6" s="3972"/>
      <c r="BL6" s="3972"/>
      <c r="BM6" s="3972"/>
      <c r="BN6" s="3972"/>
      <c r="BO6" s="3972"/>
      <c r="BP6" s="3972"/>
      <c r="BQ6" s="3973"/>
      <c r="BR6" s="3971"/>
      <c r="BS6" s="3972"/>
      <c r="BT6" s="3972"/>
      <c r="BU6" s="3972"/>
      <c r="BV6" s="3972"/>
      <c r="BW6" s="3972"/>
      <c r="BX6" s="3972"/>
      <c r="BY6" s="3973"/>
      <c r="BZ6" s="3971"/>
      <c r="CA6" s="3972"/>
      <c r="CB6" s="3972"/>
      <c r="CC6" s="3972"/>
      <c r="CD6" s="3972"/>
      <c r="CE6" s="3972"/>
      <c r="CF6" s="3972"/>
      <c r="CG6" s="3973"/>
      <c r="CH6" s="3971"/>
      <c r="CI6" s="3972"/>
      <c r="CJ6" s="3972"/>
      <c r="CK6" s="3972"/>
      <c r="CL6" s="3972"/>
      <c r="CM6" s="3972"/>
      <c r="CN6" s="3972"/>
      <c r="CO6" s="3973"/>
      <c r="CP6" s="3971"/>
      <c r="CQ6" s="3972"/>
      <c r="CR6" s="3972"/>
      <c r="CS6" s="3972"/>
      <c r="CT6" s="3972"/>
      <c r="CU6" s="3972"/>
      <c r="CV6" s="3972"/>
      <c r="CW6" s="3973"/>
      <c r="CX6" s="3971"/>
      <c r="CY6" s="3972"/>
      <c r="CZ6" s="3972"/>
      <c r="DA6" s="3972"/>
      <c r="DB6" s="3972"/>
      <c r="DC6" s="3972"/>
      <c r="DD6" s="3972"/>
      <c r="DE6" s="3973"/>
      <c r="DF6" s="2582"/>
      <c r="DG6" s="1669"/>
      <c r="DI6" s="784"/>
      <c r="DJ6" s="784" t="str">
        <f>IF(T6="","",T6)</f>
        <v/>
      </c>
      <c r="DK6" s="784"/>
      <c r="DL6" s="784"/>
      <c r="DM6" s="1439">
        <v>0</v>
      </c>
    </row>
    <row customHeight="1" ht="21" hidden="1">
      <c r="A7" s="1647"/>
      <c r="B7" s="1647"/>
      <c r="C7" s="1647"/>
      <c r="D7" s="1647"/>
      <c r="E7" s="2543"/>
      <c r="F7" s="2543"/>
      <c r="G7" s="2543"/>
      <c r="H7" s="2543"/>
      <c r="I7" s="2570"/>
      <c r="J7" s="2540">
        <f>I6&amp;".1"</f>
      </c>
      <c r="K7" s="1647"/>
      <c r="L7" s="1648" t="s">
        <v>466</v>
      </c>
      <c r="M7" s="821"/>
      <c r="N7" s="1650"/>
      <c r="P7" s="2541"/>
      <c r="Q7" s="2541">
        <v>1</v>
      </c>
      <c r="R7" s="641"/>
      <c r="S7" s="1620">
        <f>$J7</f>
      </c>
      <c r="T7" s="570" t="s">
        <v>467</v>
      </c>
      <c r="U7" s="584"/>
      <c r="V7" s="2529"/>
      <c r="W7" s="2530"/>
      <c r="X7" s="2530"/>
      <c r="Y7" s="2530"/>
      <c r="Z7" s="2530"/>
      <c r="AA7" s="2530"/>
      <c r="AB7" s="2530"/>
      <c r="AC7" s="2531"/>
      <c r="AD7" s="2529"/>
      <c r="AE7" s="2530"/>
      <c r="AF7" s="2530"/>
      <c r="AG7" s="2530"/>
      <c r="AH7" s="2530"/>
      <c r="AI7" s="2530"/>
      <c r="AJ7" s="2530"/>
      <c r="AK7" s="2530"/>
      <c r="AL7" s="3975"/>
      <c r="AM7" s="3976"/>
      <c r="AN7" s="3976"/>
      <c r="AO7" s="3976"/>
      <c r="AP7" s="3976"/>
      <c r="AQ7" s="3976"/>
      <c r="AR7" s="3976"/>
      <c r="AS7" s="3977"/>
      <c r="AT7" s="3975"/>
      <c r="AU7" s="3976"/>
      <c r="AV7" s="3976"/>
      <c r="AW7" s="3976"/>
      <c r="AX7" s="3976"/>
      <c r="AY7" s="3976"/>
      <c r="AZ7" s="3976"/>
      <c r="BA7" s="3977"/>
      <c r="BB7" s="3975"/>
      <c r="BC7" s="3976"/>
      <c r="BD7" s="3976"/>
      <c r="BE7" s="3976"/>
      <c r="BF7" s="3976"/>
      <c r="BG7" s="3976"/>
      <c r="BH7" s="3976"/>
      <c r="BI7" s="3977"/>
      <c r="BJ7" s="3975"/>
      <c r="BK7" s="3976"/>
      <c r="BL7" s="3976"/>
      <c r="BM7" s="3976"/>
      <c r="BN7" s="3976"/>
      <c r="BO7" s="3976"/>
      <c r="BP7" s="3976"/>
      <c r="BQ7" s="3977"/>
      <c r="BR7" s="3975"/>
      <c r="BS7" s="3976"/>
      <c r="BT7" s="3976"/>
      <c r="BU7" s="3976"/>
      <c r="BV7" s="3976"/>
      <c r="BW7" s="3976"/>
      <c r="BX7" s="3976"/>
      <c r="BY7" s="3977"/>
      <c r="BZ7" s="3975"/>
      <c r="CA7" s="3976"/>
      <c r="CB7" s="3976"/>
      <c r="CC7" s="3976"/>
      <c r="CD7" s="3976"/>
      <c r="CE7" s="3976"/>
      <c r="CF7" s="3976"/>
      <c r="CG7" s="3977"/>
      <c r="CH7" s="3975"/>
      <c r="CI7" s="3976"/>
      <c r="CJ7" s="3976"/>
      <c r="CK7" s="3976"/>
      <c r="CL7" s="3976"/>
      <c r="CM7" s="3976"/>
      <c r="CN7" s="3976"/>
      <c r="CO7" s="3977"/>
      <c r="CP7" s="3975"/>
      <c r="CQ7" s="3976"/>
      <c r="CR7" s="3976"/>
      <c r="CS7" s="3976"/>
      <c r="CT7" s="3976"/>
      <c r="CU7" s="3976"/>
      <c r="CV7" s="3976"/>
      <c r="CW7" s="3977"/>
      <c r="CX7" s="3975"/>
      <c r="CY7" s="3976"/>
      <c r="CZ7" s="3976"/>
      <c r="DA7" s="3976"/>
      <c r="DB7" s="3976"/>
      <c r="DC7" s="3976"/>
      <c r="DD7" s="3976"/>
      <c r="DE7" s="3977"/>
      <c r="DF7" s="2531"/>
      <c r="DG7" s="1542" t="s">
        <v>468</v>
      </c>
      <c r="DI7" s="784"/>
      <c r="DJ7" s="784" t="str">
        <f>IF(T7="","",T7)</f>
        <v>Группа потребителей</v>
      </c>
      <c r="DK7" s="784"/>
      <c r="DL7" s="784"/>
      <c r="DM7" s="1439">
        <v>0</v>
      </c>
    </row>
    <row customHeight="1" ht="21" hidden="1">
      <c r="A8" s="1647"/>
      <c r="B8" s="1647"/>
      <c r="C8" s="1647"/>
      <c r="D8" s="1647"/>
      <c r="E8" s="2543"/>
      <c r="F8" s="2543"/>
      <c r="G8" s="2543"/>
      <c r="H8" s="2543"/>
      <c r="I8" s="2570"/>
      <c r="J8" s="2570"/>
      <c r="K8" s="2540">
        <f>J7&amp;".1"</f>
      </c>
      <c r="L8" s="1648" t="s">
        <v>469</v>
      </c>
      <c r="M8" s="821"/>
      <c r="N8" s="1650"/>
      <c r="O8" s="1650"/>
      <c r="P8" s="2541"/>
      <c r="Q8" s="2541"/>
      <c r="R8" s="641">
        <v>1</v>
      </c>
      <c r="S8" s="1620">
        <f>$K8</f>
      </c>
      <c r="T8" s="1631"/>
      <c r="U8" s="584"/>
      <c r="V8" s="1035"/>
      <c r="W8" s="609"/>
      <c r="X8" s="1035"/>
      <c r="Y8" s="1541"/>
      <c r="Z8" s="2549"/>
      <c r="AA8" s="2391" t="s">
        <v>64</v>
      </c>
      <c r="AB8" s="2549"/>
      <c r="AC8" s="2391" t="s">
        <v>64</v>
      </c>
      <c r="AD8" s="1035"/>
      <c r="AE8" s="609"/>
      <c r="AF8" s="1035"/>
      <c r="AG8" s="1541"/>
      <c r="AH8" s="2549"/>
      <c r="AI8" s="2391" t="s">
        <v>64</v>
      </c>
      <c r="AJ8" s="2549"/>
      <c r="AK8" s="2391" t="s">
        <v>64</v>
      </c>
      <c r="AL8" s="3978"/>
      <c r="AM8" s="3979"/>
      <c r="AN8" s="3978"/>
      <c r="AO8" s="3980"/>
      <c r="AP8" s="3981"/>
      <c r="AQ8" s="3365" t="s">
        <v>64</v>
      </c>
      <c r="AR8" s="3981"/>
      <c r="AS8" s="3365" t="s">
        <v>64</v>
      </c>
      <c r="AT8" s="3978"/>
      <c r="AU8" s="3979"/>
      <c r="AV8" s="3978"/>
      <c r="AW8" s="3980"/>
      <c r="AX8" s="3981"/>
      <c r="AY8" s="3365" t="s">
        <v>64</v>
      </c>
      <c r="AZ8" s="3981"/>
      <c r="BA8" s="3365" t="s">
        <v>64</v>
      </c>
      <c r="BB8" s="3978"/>
      <c r="BC8" s="3979"/>
      <c r="BD8" s="3978"/>
      <c r="BE8" s="3980"/>
      <c r="BF8" s="3981"/>
      <c r="BG8" s="3365" t="s">
        <v>64</v>
      </c>
      <c r="BH8" s="3981"/>
      <c r="BI8" s="3365" t="s">
        <v>64</v>
      </c>
      <c r="BJ8" s="3978"/>
      <c r="BK8" s="3979"/>
      <c r="BL8" s="3978"/>
      <c r="BM8" s="3980"/>
      <c r="BN8" s="3981"/>
      <c r="BO8" s="3365" t="s">
        <v>64</v>
      </c>
      <c r="BP8" s="3981"/>
      <c r="BQ8" s="3365" t="s">
        <v>64</v>
      </c>
      <c r="BR8" s="3978"/>
      <c r="BS8" s="3979"/>
      <c r="BT8" s="3978"/>
      <c r="BU8" s="3980"/>
      <c r="BV8" s="3981"/>
      <c r="BW8" s="3365" t="s">
        <v>64</v>
      </c>
      <c r="BX8" s="3981"/>
      <c r="BY8" s="3365" t="s">
        <v>64</v>
      </c>
      <c r="BZ8" s="3978"/>
      <c r="CA8" s="3979"/>
      <c r="CB8" s="3978"/>
      <c r="CC8" s="3980"/>
      <c r="CD8" s="3981"/>
      <c r="CE8" s="3365" t="s">
        <v>64</v>
      </c>
      <c r="CF8" s="3981"/>
      <c r="CG8" s="3365" t="s">
        <v>64</v>
      </c>
      <c r="CH8" s="3978"/>
      <c r="CI8" s="3979"/>
      <c r="CJ8" s="3978"/>
      <c r="CK8" s="3980"/>
      <c r="CL8" s="3981"/>
      <c r="CM8" s="3365" t="s">
        <v>64</v>
      </c>
      <c r="CN8" s="3981"/>
      <c r="CO8" s="3365" t="s">
        <v>64</v>
      </c>
      <c r="CP8" s="3978"/>
      <c r="CQ8" s="3979"/>
      <c r="CR8" s="3978"/>
      <c r="CS8" s="3980"/>
      <c r="CT8" s="3981"/>
      <c r="CU8" s="3365" t="s">
        <v>64</v>
      </c>
      <c r="CV8" s="3981"/>
      <c r="CW8" s="3365" t="s">
        <v>64</v>
      </c>
      <c r="CX8" s="3978"/>
      <c r="CY8" s="3979"/>
      <c r="CZ8" s="3978"/>
      <c r="DA8" s="3980"/>
      <c r="DB8" s="3981"/>
      <c r="DC8" s="3365" t="s">
        <v>64</v>
      </c>
      <c r="DD8" s="3981"/>
      <c r="DE8" s="3365" t="s">
        <v>64</v>
      </c>
      <c r="DF8" s="609"/>
      <c r="DG8" s="2537" t="s">
        <v>470</v>
      </c>
      <c r="DH8" s="795">
        <f>STRCHECKDATE(V9:DF9)</f>
      </c>
      <c r="DI8" s="784"/>
      <c r="DJ8" s="784" t="str">
        <f>IF(T8="","",T8)</f>
        <v/>
      </c>
      <c r="DK8" s="784"/>
      <c r="DL8" s="784"/>
      <c r="DM8" s="1439">
        <v>0</v>
      </c>
    </row>
    <row customHeight="1" ht="0.75" hidden="1">
      <c r="A9" s="1647"/>
      <c r="B9" s="1647"/>
      <c r="C9" s="1647"/>
      <c r="D9" s="1647"/>
      <c r="E9" s="2543"/>
      <c r="F9" s="2543"/>
      <c r="G9" s="2543"/>
      <c r="H9" s="2543"/>
      <c r="I9" s="2570"/>
      <c r="J9" s="2570"/>
      <c r="K9" s="2540"/>
      <c r="L9" s="1648"/>
      <c r="M9" s="821"/>
      <c r="N9" s="1650"/>
      <c r="O9" s="1650"/>
      <c r="P9" s="2541"/>
      <c r="Q9" s="2541"/>
      <c r="R9" s="641"/>
      <c r="S9" s="1626"/>
      <c r="T9" s="584"/>
      <c r="U9" s="584"/>
      <c r="V9" s="609"/>
      <c r="W9" s="609"/>
      <c r="X9" s="609"/>
      <c r="Y9" s="612" t="str">
        <f>Z8&amp;"-"&amp;AB8</f>
        <v>-</v>
      </c>
      <c r="Z9" s="2550"/>
      <c r="AA9" s="2391"/>
      <c r="AB9" s="2550"/>
      <c r="AC9" s="2391"/>
      <c r="AD9" s="609"/>
      <c r="AE9" s="609"/>
      <c r="AF9" s="609"/>
      <c r="AG9" s="612" t="str">
        <f>AH8&amp;"-"&amp;AJ8</f>
        <v>-</v>
      </c>
      <c r="AH9" s="2550"/>
      <c r="AI9" s="2391"/>
      <c r="AJ9" s="2550"/>
      <c r="AK9" s="2391"/>
      <c r="AL9" s="3979"/>
      <c r="AM9" s="3979"/>
      <c r="AN9" s="3979"/>
      <c r="AO9" s="3982" t="str">
        <f>AP8&amp;"-"&amp;AR8</f>
        <v>-</v>
      </c>
      <c r="AP9" s="3983"/>
      <c r="AQ9" s="3365"/>
      <c r="AR9" s="3983"/>
      <c r="AS9" s="3365"/>
      <c r="AT9" s="3979"/>
      <c r="AU9" s="3979"/>
      <c r="AV9" s="3979"/>
      <c r="AW9" s="3982" t="str">
        <f>AX8&amp;"-"&amp;AZ8</f>
        <v>-</v>
      </c>
      <c r="AX9" s="3983"/>
      <c r="AY9" s="3365"/>
      <c r="AZ9" s="3983"/>
      <c r="BA9" s="3365"/>
      <c r="BB9" s="3979"/>
      <c r="BC9" s="3979"/>
      <c r="BD9" s="3979"/>
      <c r="BE9" s="3982" t="str">
        <f>BF8&amp;"-"&amp;BH8</f>
        <v>-</v>
      </c>
      <c r="BF9" s="3983"/>
      <c r="BG9" s="3365"/>
      <c r="BH9" s="3983"/>
      <c r="BI9" s="3365"/>
      <c r="BJ9" s="3979"/>
      <c r="BK9" s="3979"/>
      <c r="BL9" s="3979"/>
      <c r="BM9" s="3982" t="str">
        <f>BN8&amp;"-"&amp;BP8</f>
        <v>-</v>
      </c>
      <c r="BN9" s="3983"/>
      <c r="BO9" s="3365"/>
      <c r="BP9" s="3983"/>
      <c r="BQ9" s="3365"/>
      <c r="BR9" s="3979"/>
      <c r="BS9" s="3979"/>
      <c r="BT9" s="3979"/>
      <c r="BU9" s="3982" t="str">
        <f>BV8&amp;"-"&amp;BX8</f>
        <v>-</v>
      </c>
      <c r="BV9" s="3983"/>
      <c r="BW9" s="3365"/>
      <c r="BX9" s="3983"/>
      <c r="BY9" s="3365"/>
      <c r="BZ9" s="3979"/>
      <c r="CA9" s="3979"/>
      <c r="CB9" s="3979"/>
      <c r="CC9" s="3982" t="str">
        <f>CD8&amp;"-"&amp;CF8</f>
        <v>-</v>
      </c>
      <c r="CD9" s="3983"/>
      <c r="CE9" s="3365"/>
      <c r="CF9" s="3983"/>
      <c r="CG9" s="3365"/>
      <c r="CH9" s="3979"/>
      <c r="CI9" s="3979"/>
      <c r="CJ9" s="3979"/>
      <c r="CK9" s="3982" t="str">
        <f>CL8&amp;"-"&amp;CN8</f>
        <v>-</v>
      </c>
      <c r="CL9" s="3983"/>
      <c r="CM9" s="3365"/>
      <c r="CN9" s="3983"/>
      <c r="CO9" s="3365"/>
      <c r="CP9" s="3979"/>
      <c r="CQ9" s="3979"/>
      <c r="CR9" s="3979"/>
      <c r="CS9" s="3982" t="str">
        <f>CT8&amp;"-"&amp;CV8</f>
        <v>-</v>
      </c>
      <c r="CT9" s="3983"/>
      <c r="CU9" s="3365"/>
      <c r="CV9" s="3983"/>
      <c r="CW9" s="3365"/>
      <c r="CX9" s="3979"/>
      <c r="CY9" s="3979"/>
      <c r="CZ9" s="3979"/>
      <c r="DA9" s="3982" t="str">
        <f>DB8&amp;"-"&amp;DD8</f>
        <v>-</v>
      </c>
      <c r="DB9" s="3983"/>
      <c r="DC9" s="3365"/>
      <c r="DD9" s="3983"/>
      <c r="DE9" s="3365"/>
      <c r="DF9" s="609"/>
      <c r="DG9" s="2538"/>
      <c r="DI9" s="784"/>
      <c r="DJ9" s="784" t="str">
        <f>IF(T9="","",T9)</f>
        <v/>
      </c>
      <c r="DK9" s="784"/>
      <c r="DL9" s="784"/>
      <c r="DM9" s="1439">
        <v>0</v>
      </c>
    </row>
    <row customHeight="1" ht="15" hidden="1">
      <c r="A10" s="1647"/>
      <c r="B10" s="1647"/>
      <c r="C10" s="1647"/>
      <c r="D10" s="1647"/>
      <c r="E10" s="2543"/>
      <c r="F10" s="2543"/>
      <c r="G10" s="2543"/>
      <c r="H10" s="2543"/>
      <c r="I10" s="2570"/>
      <c r="J10" s="2540"/>
      <c r="K10" s="1647"/>
      <c r="L10" s="1648"/>
      <c r="M10" s="821"/>
      <c r="N10" s="1650"/>
      <c r="P10" s="2541"/>
      <c r="Q10" s="2541"/>
      <c r="R10" s="640"/>
      <c r="S10" s="1562"/>
      <c r="T10" s="571" t="s">
        <v>471</v>
      </c>
      <c r="U10" s="651"/>
      <c r="V10" s="651"/>
      <c r="W10" s="651"/>
      <c r="X10" s="651"/>
      <c r="Y10" s="651"/>
      <c r="Z10" s="651"/>
      <c r="AA10" s="651"/>
      <c r="AB10" s="651"/>
      <c r="AC10" s="651"/>
      <c r="AD10" s="651"/>
      <c r="AE10" s="651"/>
      <c r="AF10" s="651"/>
      <c r="AG10" s="651"/>
      <c r="AH10" s="651"/>
      <c r="AI10" s="651"/>
      <c r="AJ10" s="651"/>
      <c r="AK10" s="651"/>
      <c r="AL10" s="3984"/>
      <c r="AM10" s="3985"/>
      <c r="AN10" s="3986"/>
      <c r="AO10" s="3987"/>
      <c r="AP10" s="3988"/>
      <c r="AQ10" s="3989"/>
      <c r="AR10" s="3990"/>
      <c r="AS10" s="3991"/>
      <c r="AT10" s="3992"/>
      <c r="AU10" s="3993"/>
      <c r="AV10" s="3994"/>
      <c r="AW10" s="3995"/>
      <c r="AX10" s="3996"/>
      <c r="AY10" s="3997"/>
      <c r="AZ10" s="3998"/>
      <c r="BA10" s="3999"/>
      <c r="BB10" s="4000"/>
      <c r="BC10" s="4001"/>
      <c r="BD10" s="4002"/>
      <c r="BE10" s="4003"/>
      <c r="BF10" s="4004"/>
      <c r="BG10" s="4005"/>
      <c r="BH10" s="4006"/>
      <c r="BI10" s="4007"/>
      <c r="BJ10" s="4008"/>
      <c r="BK10" s="4009"/>
      <c r="BL10" s="4010"/>
      <c r="BM10" s="4011"/>
      <c r="BN10" s="4012"/>
      <c r="BO10" s="4013"/>
      <c r="BP10" s="4014"/>
      <c r="BQ10" s="4015"/>
      <c r="BR10" s="4016"/>
      <c r="BS10" s="4017"/>
      <c r="BT10" s="4018"/>
      <c r="BU10" s="4019"/>
      <c r="BV10" s="4020"/>
      <c r="BW10" s="4021"/>
      <c r="BX10" s="4022"/>
      <c r="BY10" s="4023"/>
      <c r="BZ10" s="4024"/>
      <c r="CA10" s="4025"/>
      <c r="CB10" s="4026"/>
      <c r="CC10" s="4027"/>
      <c r="CD10" s="4028"/>
      <c r="CE10" s="4029"/>
      <c r="CF10" s="4030"/>
      <c r="CG10" s="4031"/>
      <c r="CH10" s="4032"/>
      <c r="CI10" s="4033"/>
      <c r="CJ10" s="4034"/>
      <c r="CK10" s="4035"/>
      <c r="CL10" s="4036"/>
      <c r="CM10" s="4037"/>
      <c r="CN10" s="4038"/>
      <c r="CO10" s="4039"/>
      <c r="CP10" s="4040"/>
      <c r="CQ10" s="4041"/>
      <c r="CR10" s="4042"/>
      <c r="CS10" s="4043"/>
      <c r="CT10" s="4044"/>
      <c r="CU10" s="4045"/>
      <c r="CV10" s="4046"/>
      <c r="CW10" s="4047"/>
      <c r="CX10" s="4048"/>
      <c r="CY10" s="4049"/>
      <c r="CZ10" s="4050"/>
      <c r="DA10" s="4051"/>
      <c r="DB10" s="4052"/>
      <c r="DC10" s="4053"/>
      <c r="DD10" s="4054"/>
      <c r="DE10" s="4055"/>
      <c r="DF10" s="608"/>
      <c r="DG10" s="2539"/>
      <c r="DI10" s="784"/>
      <c r="DJ10" s="784" t="str">
        <f>IF(T10="","",T10)</f>
        <v>Добавить вид теплоносителя (параметры теплоносителя)</v>
      </c>
      <c r="DK10" s="784"/>
      <c r="DL10" s="784"/>
      <c r="DM10" s="1439">
        <v>0</v>
      </c>
    </row>
    <row customHeight="1" ht="15" hidden="1">
      <c r="A11" s="1647"/>
      <c r="B11" s="1647"/>
      <c r="C11" s="1647"/>
      <c r="D11" s="1647"/>
      <c r="E11" s="2543"/>
      <c r="F11" s="2543"/>
      <c r="G11" s="2543"/>
      <c r="H11" s="2543"/>
      <c r="I11" s="2540"/>
      <c r="J11" s="1647"/>
      <c r="K11" s="1647"/>
      <c r="L11" s="1648"/>
      <c r="M11" s="821"/>
      <c r="P11" s="2541"/>
      <c r="Q11" s="1615"/>
      <c r="R11" s="640"/>
      <c r="S11" s="1562"/>
      <c r="T11" s="649" t="s">
        <v>472</v>
      </c>
      <c r="U11" s="651"/>
      <c r="V11" s="651"/>
      <c r="W11" s="651"/>
      <c r="X11" s="651"/>
      <c r="Y11" s="651"/>
      <c r="Z11" s="651"/>
      <c r="AA11" s="651"/>
      <c r="AB11" s="651"/>
      <c r="AC11" s="650"/>
      <c r="AD11" s="651"/>
      <c r="AE11" s="651"/>
      <c r="AF11" s="651"/>
      <c r="AG11" s="651"/>
      <c r="AH11" s="651"/>
      <c r="AI11" s="651"/>
      <c r="AJ11" s="651"/>
      <c r="AK11" s="650"/>
      <c r="AL11" s="4056"/>
      <c r="AM11" s="4057"/>
      <c r="AN11" s="4058"/>
      <c r="AO11" s="4059"/>
      <c r="AP11" s="4060"/>
      <c r="AQ11" s="4061"/>
      <c r="AR11" s="4062"/>
      <c r="AS11" s="4063"/>
      <c r="AT11" s="4064"/>
      <c r="AU11" s="4065"/>
      <c r="AV11" s="4066"/>
      <c r="AW11" s="4067"/>
      <c r="AX11" s="4068"/>
      <c r="AY11" s="4069"/>
      <c r="AZ11" s="4070"/>
      <c r="BA11" s="4071"/>
      <c r="BB11" s="4072"/>
      <c r="BC11" s="4073"/>
      <c r="BD11" s="4074"/>
      <c r="BE11" s="4075"/>
      <c r="BF11" s="4076"/>
      <c r="BG11" s="4077"/>
      <c r="BH11" s="4078"/>
      <c r="BI11" s="4079"/>
      <c r="BJ11" s="4080"/>
      <c r="BK11" s="4081"/>
      <c r="BL11" s="4082"/>
      <c r="BM11" s="4083"/>
      <c r="BN11" s="4084"/>
      <c r="BO11" s="4085"/>
      <c r="BP11" s="4086"/>
      <c r="BQ11" s="4087"/>
      <c r="BR11" s="4088"/>
      <c r="BS11" s="4089"/>
      <c r="BT11" s="4090"/>
      <c r="BU11" s="4091"/>
      <c r="BV11" s="4092"/>
      <c r="BW11" s="4093"/>
      <c r="BX11" s="4094"/>
      <c r="BY11" s="4095"/>
      <c r="BZ11" s="4096"/>
      <c r="CA11" s="4097"/>
      <c r="CB11" s="4098"/>
      <c r="CC11" s="4099"/>
      <c r="CD11" s="4100"/>
      <c r="CE11" s="4101"/>
      <c r="CF11" s="4102"/>
      <c r="CG11" s="4103"/>
      <c r="CH11" s="4104"/>
      <c r="CI11" s="4105"/>
      <c r="CJ11" s="4106"/>
      <c r="CK11" s="4107"/>
      <c r="CL11" s="4108"/>
      <c r="CM11" s="4109"/>
      <c r="CN11" s="4110"/>
      <c r="CO11" s="4111"/>
      <c r="CP11" s="4112"/>
      <c r="CQ11" s="4113"/>
      <c r="CR11" s="4114"/>
      <c r="CS11" s="4115"/>
      <c r="CT11" s="4116"/>
      <c r="CU11" s="4117"/>
      <c r="CV11" s="4118"/>
      <c r="CW11" s="4119"/>
      <c r="CX11" s="4120"/>
      <c r="CY11" s="4121"/>
      <c r="CZ11" s="4122"/>
      <c r="DA11" s="4123"/>
      <c r="DB11" s="4124"/>
      <c r="DC11" s="4125"/>
      <c r="DD11" s="4126"/>
      <c r="DE11" s="4127"/>
      <c r="DF11" s="651"/>
      <c r="DG11" s="587"/>
      <c r="DI11" s="784"/>
      <c r="DJ11" s="784" t="str">
        <f>IF(T11="","",T11)</f>
        <v>Добавить группу потребителей</v>
      </c>
      <c r="DK11" s="784"/>
      <c r="DL11" s="784"/>
      <c r="DM11" s="1439">
        <v>0</v>
      </c>
    </row>
    <row customHeight="1" ht="14.25" hidden="1">
      <c r="A12" s="1647"/>
      <c r="B12" s="1647"/>
      <c r="C12" s="1647"/>
      <c r="D12" s="1647"/>
      <c r="E12" s="2543"/>
      <c r="F12" s="2543"/>
      <c r="G12" s="2543"/>
      <c r="H12" s="2542"/>
      <c r="I12" s="1647"/>
      <c r="J12" s="1647"/>
      <c r="K12" s="1647"/>
      <c r="L12" s="1648"/>
      <c r="M12" s="1649"/>
      <c r="N12" s="1649"/>
      <c r="O12" s="821"/>
      <c r="P12" s="644"/>
      <c r="Q12" s="659"/>
      <c r="R12" s="639"/>
      <c r="S12" s="1670"/>
      <c r="T12" s="1671"/>
      <c r="U12" s="1672"/>
      <c r="V12" s="1672"/>
      <c r="W12" s="1672"/>
      <c r="X12" s="1672"/>
      <c r="Y12" s="1672"/>
      <c r="Z12" s="1672"/>
      <c r="AA12" s="1672"/>
      <c r="AB12" s="1672"/>
      <c r="AC12" s="1672"/>
      <c r="AD12" s="1672"/>
      <c r="AE12" s="1672"/>
      <c r="AF12" s="1672"/>
      <c r="AG12" s="1672"/>
      <c r="AH12" s="1672"/>
      <c r="AI12" s="1672"/>
      <c r="AJ12" s="1672"/>
      <c r="AK12" s="1672"/>
      <c r="AL12" s="4131"/>
      <c r="AM12" s="4131"/>
      <c r="AN12" s="4131"/>
      <c r="AO12" s="4131"/>
      <c r="AP12" s="4131"/>
      <c r="AQ12" s="4131"/>
      <c r="AR12" s="4131"/>
      <c r="AS12" s="4131"/>
      <c r="AT12" s="4131"/>
      <c r="AU12" s="4131"/>
      <c r="AV12" s="4131"/>
      <c r="AW12" s="4131"/>
      <c r="AX12" s="4131"/>
      <c r="AY12" s="4131"/>
      <c r="AZ12" s="4131"/>
      <c r="BA12" s="4131"/>
      <c r="BB12" s="4131"/>
      <c r="BC12" s="4131"/>
      <c r="BD12" s="4131"/>
      <c r="BE12" s="4131"/>
      <c r="BF12" s="4131"/>
      <c r="BG12" s="4131"/>
      <c r="BH12" s="4131"/>
      <c r="BI12" s="4131"/>
      <c r="BJ12" s="4131"/>
      <c r="BK12" s="4131"/>
      <c r="BL12" s="4131"/>
      <c r="BM12" s="4131"/>
      <c r="BN12" s="4131"/>
      <c r="BO12" s="4131"/>
      <c r="BP12" s="4131"/>
      <c r="BQ12" s="4131"/>
      <c r="BR12" s="4131"/>
      <c r="BS12" s="4131"/>
      <c r="BT12" s="4131"/>
      <c r="BU12" s="4131"/>
      <c r="BV12" s="4131"/>
      <c r="BW12" s="4131"/>
      <c r="BX12" s="4131"/>
      <c r="BY12" s="4131"/>
      <c r="BZ12" s="4131"/>
      <c r="CA12" s="4131"/>
      <c r="CB12" s="4131"/>
      <c r="CC12" s="4131"/>
      <c r="CD12" s="4131"/>
      <c r="CE12" s="4131"/>
      <c r="CF12" s="4131"/>
      <c r="CG12" s="4131"/>
      <c r="CH12" s="4131"/>
      <c r="CI12" s="4131"/>
      <c r="CJ12" s="4131"/>
      <c r="CK12" s="4131"/>
      <c r="CL12" s="4131"/>
      <c r="CM12" s="4131"/>
      <c r="CN12" s="4131"/>
      <c r="CO12" s="4131"/>
      <c r="CP12" s="4131"/>
      <c r="CQ12" s="4131"/>
      <c r="CR12" s="4131"/>
      <c r="CS12" s="4131"/>
      <c r="CT12" s="4131"/>
      <c r="CU12" s="4131"/>
      <c r="CV12" s="4131"/>
      <c r="CW12" s="4131"/>
      <c r="CX12" s="4131"/>
      <c r="CY12" s="4131"/>
      <c r="CZ12" s="4131"/>
      <c r="DA12" s="4131"/>
      <c r="DB12" s="4131"/>
      <c r="DC12" s="4131"/>
      <c r="DD12" s="4131"/>
      <c r="DE12" s="4131"/>
      <c r="DF12" s="1672"/>
      <c r="DG12" s="1673"/>
      <c r="DI12" s="784"/>
      <c r="DJ12" s="784" t="str">
        <f>IF(T12="","",T12)</f>
        <v/>
      </c>
      <c r="DK12" s="784"/>
      <c r="DL12" s="784"/>
      <c r="DM12" s="1439">
        <v>0</v>
      </c>
    </row>
    <row s="30621" customFormat="1" customHeight="1" ht="0.75" hidden="1">
      <c r="A13" s="1598"/>
      <c r="B13" s="1598"/>
      <c r="C13" s="1598"/>
      <c r="D13" s="1598"/>
      <c r="E13" s="2543"/>
      <c r="F13" s="2543"/>
      <c r="G13" s="2542"/>
      <c r="H13" s="1598"/>
      <c r="I13" s="1598"/>
      <c r="J13" s="1598"/>
      <c r="K13" s="1598"/>
      <c r="L13" s="1623"/>
      <c r="M13" s="1599"/>
      <c r="N13" s="1599"/>
      <c r="P13" s="1600"/>
      <c r="Q13" s="1601"/>
      <c r="R13" s="1600"/>
      <c r="S13" s="1602"/>
      <c r="T13" s="1603" t="s">
        <v>213</v>
      </c>
      <c r="U13" s="1604"/>
      <c r="V13" s="1604"/>
      <c r="W13" s="1604"/>
      <c r="X13" s="1604"/>
      <c r="Y13" s="1604"/>
      <c r="Z13" s="1604"/>
      <c r="AA13" s="1604"/>
      <c r="AB13" s="1604"/>
      <c r="AC13" s="1604"/>
      <c r="AD13" s="1604"/>
      <c r="AE13" s="1604"/>
      <c r="AF13" s="1604"/>
      <c r="AG13" s="1604"/>
      <c r="AH13" s="1604"/>
      <c r="AI13" s="1604"/>
      <c r="AJ13" s="1604"/>
      <c r="AK13" s="1604"/>
      <c r="AL13" s="4133"/>
      <c r="AM13" s="4133"/>
      <c r="AN13" s="4133"/>
      <c r="AO13" s="4133"/>
      <c r="AP13" s="4133"/>
      <c r="AQ13" s="4133"/>
      <c r="AR13" s="4133"/>
      <c r="AS13" s="4133"/>
      <c r="AT13" s="4133"/>
      <c r="AU13" s="4133"/>
      <c r="AV13" s="4133"/>
      <c r="AW13" s="4133"/>
      <c r="AX13" s="4133"/>
      <c r="AY13" s="4133"/>
      <c r="AZ13" s="4133"/>
      <c r="BA13" s="4133"/>
      <c r="BB13" s="4133"/>
      <c r="BC13" s="4133"/>
      <c r="BD13" s="4133"/>
      <c r="BE13" s="4133"/>
      <c r="BF13" s="4133"/>
      <c r="BG13" s="4133"/>
      <c r="BH13" s="4133"/>
      <c r="BI13" s="4133"/>
      <c r="BJ13" s="4133"/>
      <c r="BK13" s="4133"/>
      <c r="BL13" s="4133"/>
      <c r="BM13" s="4133"/>
      <c r="BN13" s="4133"/>
      <c r="BO13" s="4133"/>
      <c r="BP13" s="4133"/>
      <c r="BQ13" s="4133"/>
      <c r="BR13" s="4133"/>
      <c r="BS13" s="4133"/>
      <c r="BT13" s="4133"/>
      <c r="BU13" s="4133"/>
      <c r="BV13" s="4133"/>
      <c r="BW13" s="4133"/>
      <c r="BX13" s="4133"/>
      <c r="BY13" s="4133"/>
      <c r="BZ13" s="4133"/>
      <c r="CA13" s="4133"/>
      <c r="CB13" s="4133"/>
      <c r="CC13" s="4133"/>
      <c r="CD13" s="4133"/>
      <c r="CE13" s="4133"/>
      <c r="CF13" s="4133"/>
      <c r="CG13" s="4133"/>
      <c r="CH13" s="4133"/>
      <c r="CI13" s="4133"/>
      <c r="CJ13" s="4133"/>
      <c r="CK13" s="4133"/>
      <c r="CL13" s="4133"/>
      <c r="CM13" s="4133"/>
      <c r="CN13" s="4133"/>
      <c r="CO13" s="4133"/>
      <c r="CP13" s="4133"/>
      <c r="CQ13" s="4133"/>
      <c r="CR13" s="4133"/>
      <c r="CS13" s="4133"/>
      <c r="CT13" s="4133"/>
      <c r="CU13" s="4133"/>
      <c r="CV13" s="4133"/>
      <c r="CW13" s="4133"/>
      <c r="CX13" s="4133"/>
      <c r="CY13" s="4133"/>
      <c r="CZ13" s="4133"/>
      <c r="DA13" s="4133"/>
      <c r="DB13" s="4133"/>
      <c r="DC13" s="4133"/>
      <c r="DD13" s="4133"/>
      <c r="DE13" s="4133"/>
      <c r="DF13" s="1604"/>
      <c r="DG13" s="1604"/>
      <c r="DI13" s="1073"/>
      <c r="DJ13" s="1073" t="str">
        <f>IF(T13="","",T13)</f>
        <v>Добавить источник для дифференциации</v>
      </c>
      <c r="DK13" s="1073"/>
      <c r="DL13" s="1073"/>
      <c r="DM13" s="802">
        <v>0</v>
      </c>
    </row>
    <row s="30621" customFormat="1" customHeight="1" ht="0.75" hidden="1">
      <c r="A14" s="1598"/>
      <c r="B14" s="1598"/>
      <c r="C14" s="1598"/>
      <c r="D14" s="1598"/>
      <c r="E14" s="2543"/>
      <c r="F14" s="2542"/>
      <c r="G14" s="1598"/>
      <c r="H14" s="1598"/>
      <c r="I14" s="1598"/>
      <c r="J14" s="1598"/>
      <c r="K14" s="1598"/>
      <c r="L14" s="1623"/>
      <c r="M14" s="1605"/>
      <c r="N14" s="1605"/>
      <c r="P14" s="1600"/>
      <c r="Q14" s="1601"/>
      <c r="R14" s="1600"/>
      <c r="S14" s="1606"/>
      <c r="T14" s="1607" t="s">
        <v>214</v>
      </c>
      <c r="U14" s="1608"/>
      <c r="V14" s="1608"/>
      <c r="W14" s="1608"/>
      <c r="X14" s="1608"/>
      <c r="Y14" s="1608"/>
      <c r="Z14" s="1608"/>
      <c r="AA14" s="1608"/>
      <c r="AB14" s="1608"/>
      <c r="AC14" s="1608"/>
      <c r="AD14" s="1608"/>
      <c r="AE14" s="1608"/>
      <c r="AF14" s="1608"/>
      <c r="AG14" s="1608"/>
      <c r="AH14" s="1608"/>
      <c r="AI14" s="1608"/>
      <c r="AJ14" s="1608"/>
      <c r="AK14" s="1608"/>
      <c r="AL14" s="4134"/>
      <c r="AM14" s="4134"/>
      <c r="AN14" s="4134"/>
      <c r="AO14" s="4134"/>
      <c r="AP14" s="4134"/>
      <c r="AQ14" s="4134"/>
      <c r="AR14" s="4134"/>
      <c r="AS14" s="4134"/>
      <c r="AT14" s="4134"/>
      <c r="AU14" s="4134"/>
      <c r="AV14" s="4134"/>
      <c r="AW14" s="4134"/>
      <c r="AX14" s="4134"/>
      <c r="AY14" s="4134"/>
      <c r="AZ14" s="4134"/>
      <c r="BA14" s="4134"/>
      <c r="BB14" s="4134"/>
      <c r="BC14" s="4134"/>
      <c r="BD14" s="4134"/>
      <c r="BE14" s="4134"/>
      <c r="BF14" s="4134"/>
      <c r="BG14" s="4134"/>
      <c r="BH14" s="4134"/>
      <c r="BI14" s="4134"/>
      <c r="BJ14" s="4134"/>
      <c r="BK14" s="4134"/>
      <c r="BL14" s="4134"/>
      <c r="BM14" s="4134"/>
      <c r="BN14" s="4134"/>
      <c r="BO14" s="4134"/>
      <c r="BP14" s="4134"/>
      <c r="BQ14" s="4134"/>
      <c r="BR14" s="4134"/>
      <c r="BS14" s="4134"/>
      <c r="BT14" s="4134"/>
      <c r="BU14" s="4134"/>
      <c r="BV14" s="4134"/>
      <c r="BW14" s="4134"/>
      <c r="BX14" s="4134"/>
      <c r="BY14" s="4134"/>
      <c r="BZ14" s="4134"/>
      <c r="CA14" s="4134"/>
      <c r="CB14" s="4134"/>
      <c r="CC14" s="4134"/>
      <c r="CD14" s="4134"/>
      <c r="CE14" s="4134"/>
      <c r="CF14" s="4134"/>
      <c r="CG14" s="4134"/>
      <c r="CH14" s="4134"/>
      <c r="CI14" s="4134"/>
      <c r="CJ14" s="4134"/>
      <c r="CK14" s="4134"/>
      <c r="CL14" s="4134"/>
      <c r="CM14" s="4134"/>
      <c r="CN14" s="4134"/>
      <c r="CO14" s="4134"/>
      <c r="CP14" s="4134"/>
      <c r="CQ14" s="4134"/>
      <c r="CR14" s="4134"/>
      <c r="CS14" s="4134"/>
      <c r="CT14" s="4134"/>
      <c r="CU14" s="4134"/>
      <c r="CV14" s="4134"/>
      <c r="CW14" s="4134"/>
      <c r="CX14" s="4134"/>
      <c r="CY14" s="4134"/>
      <c r="CZ14" s="4134"/>
      <c r="DA14" s="4134"/>
      <c r="DB14" s="4134"/>
      <c r="DC14" s="4134"/>
      <c r="DD14" s="4134"/>
      <c r="DE14" s="4134"/>
      <c r="DF14" s="1608"/>
      <c r="DG14" s="1608"/>
      <c r="DI14" s="1073"/>
      <c r="DJ14" s="1073" t="str">
        <f>IF(T14="","",T14)</f>
        <v>Добавить централизованную систему для дифференциации</v>
      </c>
      <c r="DK14" s="1073"/>
      <c r="DL14" s="1073"/>
      <c r="DM14" s="802">
        <v>0</v>
      </c>
    </row>
    <row s="30621" customFormat="1" customHeight="1" ht="0.75" hidden="1">
      <c r="A15" s="1598"/>
      <c r="B15" s="1598"/>
      <c r="C15" s="1598"/>
      <c r="D15" s="1598"/>
      <c r="E15" s="2542"/>
      <c r="F15" s="1598"/>
      <c r="G15" s="1598"/>
      <c r="H15" s="1598"/>
      <c r="I15" s="1598"/>
      <c r="J15" s="1598"/>
      <c r="K15" s="1598"/>
      <c r="L15" s="1623"/>
      <c r="M15" s="1605"/>
      <c r="N15" s="1605"/>
      <c r="P15" s="1600"/>
      <c r="Q15" s="1601"/>
      <c r="R15" s="1600"/>
      <c r="S15" s="1606"/>
      <c r="T15" s="1609" t="s">
        <v>230</v>
      </c>
      <c r="U15" s="1608"/>
      <c r="V15" s="1608"/>
      <c r="W15" s="1608"/>
      <c r="X15" s="1608"/>
      <c r="Y15" s="1608"/>
      <c r="Z15" s="1608"/>
      <c r="AA15" s="1608"/>
      <c r="AB15" s="1608"/>
      <c r="AC15" s="1608"/>
      <c r="AD15" s="1608"/>
      <c r="AE15" s="1608"/>
      <c r="AF15" s="1608"/>
      <c r="AG15" s="1608"/>
      <c r="AH15" s="1608"/>
      <c r="AI15" s="1608"/>
      <c r="AJ15" s="1608"/>
      <c r="AK15" s="1608"/>
      <c r="AL15" s="4134"/>
      <c r="AM15" s="4134"/>
      <c r="AN15" s="4134"/>
      <c r="AO15" s="4134"/>
      <c r="AP15" s="4134"/>
      <c r="AQ15" s="4134"/>
      <c r="AR15" s="4134"/>
      <c r="AS15" s="4134"/>
      <c r="AT15" s="4134"/>
      <c r="AU15" s="4134"/>
      <c r="AV15" s="4134"/>
      <c r="AW15" s="4134"/>
      <c r="AX15" s="4134"/>
      <c r="AY15" s="4134"/>
      <c r="AZ15" s="4134"/>
      <c r="BA15" s="4134"/>
      <c r="BB15" s="4134"/>
      <c r="BC15" s="4134"/>
      <c r="BD15" s="4134"/>
      <c r="BE15" s="4134"/>
      <c r="BF15" s="4134"/>
      <c r="BG15" s="4134"/>
      <c r="BH15" s="4134"/>
      <c r="BI15" s="4134"/>
      <c r="BJ15" s="4134"/>
      <c r="BK15" s="4134"/>
      <c r="BL15" s="4134"/>
      <c r="BM15" s="4134"/>
      <c r="BN15" s="4134"/>
      <c r="BO15" s="4134"/>
      <c r="BP15" s="4134"/>
      <c r="BQ15" s="4134"/>
      <c r="BR15" s="4134"/>
      <c r="BS15" s="4134"/>
      <c r="BT15" s="4134"/>
      <c r="BU15" s="4134"/>
      <c r="BV15" s="4134"/>
      <c r="BW15" s="4134"/>
      <c r="BX15" s="4134"/>
      <c r="BY15" s="4134"/>
      <c r="BZ15" s="4134"/>
      <c r="CA15" s="4134"/>
      <c r="CB15" s="4134"/>
      <c r="CC15" s="4134"/>
      <c r="CD15" s="4134"/>
      <c r="CE15" s="4134"/>
      <c r="CF15" s="4134"/>
      <c r="CG15" s="4134"/>
      <c r="CH15" s="4134"/>
      <c r="CI15" s="4134"/>
      <c r="CJ15" s="4134"/>
      <c r="CK15" s="4134"/>
      <c r="CL15" s="4134"/>
      <c r="CM15" s="4134"/>
      <c r="CN15" s="4134"/>
      <c r="CO15" s="4134"/>
      <c r="CP15" s="4134"/>
      <c r="CQ15" s="4134"/>
      <c r="CR15" s="4134"/>
      <c r="CS15" s="4134"/>
      <c r="CT15" s="4134"/>
      <c r="CU15" s="4134"/>
      <c r="CV15" s="4134"/>
      <c r="CW15" s="4134"/>
      <c r="CX15" s="4134"/>
      <c r="CY15" s="4134"/>
      <c r="CZ15" s="4134"/>
      <c r="DA15" s="4134"/>
      <c r="DB15" s="4134"/>
      <c r="DC15" s="4134"/>
      <c r="DD15" s="4134"/>
      <c r="DE15" s="4134"/>
      <c r="DF15" s="1608"/>
      <c r="DG15" s="1608"/>
      <c r="DI15" s="1073"/>
      <c r="DJ15" s="1073" t="str">
        <f>IF(T15="","",T15)</f>
        <v>Добавить территорию для дифференциации</v>
      </c>
      <c r="DK15" s="1073"/>
      <c r="DL15" s="1073"/>
      <c r="DM15" s="802">
        <v>0</v>
      </c>
    </row>
    <row customHeight="1" ht="14.25" hidden="1">
      <c r="AC16" s="611"/>
      <c r="AK16" s="611"/>
      <c r="AL16" s="3961"/>
      <c r="AM16" s="3961"/>
      <c r="AN16" s="3961"/>
      <c r="AO16" s="3961"/>
      <c r="AP16" s="3961"/>
      <c r="AQ16" s="3961"/>
      <c r="AR16" s="3961"/>
      <c r="AS16" s="3961"/>
      <c r="AT16" s="3961"/>
      <c r="AU16" s="3961"/>
      <c r="AV16" s="3961"/>
      <c r="AW16" s="3961"/>
      <c r="AX16" s="3961"/>
      <c r="AY16" s="3961"/>
      <c r="AZ16" s="3961"/>
      <c r="BA16" s="3961"/>
      <c r="BB16" s="3961"/>
      <c r="BC16" s="3961"/>
      <c r="BD16" s="3961"/>
      <c r="BE16" s="3961"/>
      <c r="BF16" s="3961"/>
      <c r="BG16" s="3961"/>
      <c r="BH16" s="3961"/>
      <c r="BI16" s="3961"/>
      <c r="BJ16" s="3961"/>
      <c r="BK16" s="3961"/>
      <c r="BL16" s="3961"/>
      <c r="BM16" s="3961"/>
      <c r="BN16" s="3961"/>
      <c r="BO16" s="3961"/>
      <c r="BP16" s="3961"/>
      <c r="BQ16" s="3961"/>
      <c r="BR16" s="3961"/>
      <c r="BS16" s="3961"/>
      <c r="BT16" s="3961"/>
      <c r="BU16" s="3961"/>
      <c r="BV16" s="3961"/>
      <c r="BW16" s="3961"/>
      <c r="BX16" s="3961"/>
      <c r="BY16" s="3961"/>
      <c r="BZ16" s="3961"/>
      <c r="CA16" s="3961"/>
      <c r="CB16" s="3961"/>
      <c r="CC16" s="3961"/>
      <c r="CD16" s="3961"/>
      <c r="CE16" s="3961"/>
      <c r="CF16" s="3961"/>
      <c r="CG16" s="3961"/>
      <c r="CH16" s="3961"/>
      <c r="CI16" s="3961"/>
      <c r="CJ16" s="3961"/>
      <c r="CK16" s="3961"/>
      <c r="CL16" s="3961"/>
      <c r="CM16" s="3961"/>
      <c r="CN16" s="3961"/>
      <c r="CO16" s="3961"/>
      <c r="CP16" s="3961"/>
      <c r="CQ16" s="3961"/>
      <c r="CR16" s="3961"/>
      <c r="CS16" s="3961"/>
      <c r="CT16" s="3961"/>
      <c r="CU16" s="3961"/>
      <c r="CV16" s="3961"/>
      <c r="CW16" s="3961"/>
      <c r="CX16" s="3961"/>
      <c r="CY16" s="3961"/>
      <c r="CZ16" s="3961"/>
      <c r="DA16" s="3961"/>
      <c r="DB16" s="3961"/>
      <c r="DC16" s="3961"/>
      <c r="DD16" s="3961"/>
      <c r="DE16" s="3961"/>
      <c r="DM16" s="1439">
        <v>0</v>
      </c>
    </row>
    <row customHeight="1" ht="14.25" hidden="1">
      <c r="AD17" s="1644"/>
      <c r="AE17" s="1644"/>
      <c r="AF17" s="1644"/>
      <c r="AG17" s="1645"/>
      <c r="AH17" s="2551"/>
      <c r="AI17" s="2552" t="s">
        <v>64</v>
      </c>
      <c r="AJ17" s="2551"/>
      <c r="AK17" s="2552" t="s">
        <v>64</v>
      </c>
      <c r="AL17" s="3961"/>
      <c r="AM17" s="3961"/>
      <c r="AN17" s="3961"/>
      <c r="AO17" s="3961"/>
      <c r="AP17" s="3961"/>
      <c r="AQ17" s="3961"/>
      <c r="AR17" s="3961"/>
      <c r="AS17" s="3961"/>
      <c r="AT17" s="3961"/>
      <c r="AU17" s="3961"/>
      <c r="AV17" s="3961"/>
      <c r="AW17" s="3961"/>
      <c r="AX17" s="3961"/>
      <c r="AY17" s="3961"/>
      <c r="AZ17" s="3961"/>
      <c r="BA17" s="3961"/>
      <c r="BB17" s="3961"/>
      <c r="BC17" s="3961"/>
      <c r="BD17" s="3961"/>
      <c r="BE17" s="3961"/>
      <c r="BF17" s="3961"/>
      <c r="BG17" s="3961"/>
      <c r="BH17" s="3961"/>
      <c r="BI17" s="3961"/>
      <c r="BJ17" s="3961"/>
      <c r="BK17" s="3961"/>
      <c r="BL17" s="3961"/>
      <c r="BM17" s="3961"/>
      <c r="BN17" s="3961"/>
      <c r="BO17" s="3961"/>
      <c r="BP17" s="3961"/>
      <c r="BQ17" s="3961"/>
      <c r="BR17" s="3961"/>
      <c r="BS17" s="3961"/>
      <c r="BT17" s="3961"/>
      <c r="BU17" s="3961"/>
      <c r="BV17" s="3961"/>
      <c r="BW17" s="3961"/>
      <c r="BX17" s="3961"/>
      <c r="BY17" s="3961"/>
      <c r="BZ17" s="3961"/>
      <c r="CA17" s="3961"/>
      <c r="CB17" s="3961"/>
      <c r="CC17" s="3961"/>
      <c r="CD17" s="3961"/>
      <c r="CE17" s="3961"/>
      <c r="CF17" s="3961"/>
      <c r="CG17" s="3961"/>
      <c r="CH17" s="3961"/>
      <c r="CI17" s="3961"/>
      <c r="CJ17" s="3961"/>
      <c r="CK17" s="3961"/>
      <c r="CL17" s="3961"/>
      <c r="CM17" s="3961"/>
      <c r="CN17" s="3961"/>
      <c r="CO17" s="3961"/>
      <c r="CP17" s="3961"/>
      <c r="CQ17" s="3961"/>
      <c r="CR17" s="3961"/>
      <c r="CS17" s="3961"/>
      <c r="CT17" s="3961"/>
      <c r="CU17" s="3961"/>
      <c r="CV17" s="3961"/>
      <c r="CW17" s="3961"/>
      <c r="CX17" s="3961"/>
      <c r="CY17" s="3961"/>
      <c r="CZ17" s="3961"/>
      <c r="DA17" s="3961"/>
      <c r="DB17" s="3961"/>
      <c r="DC17" s="3961"/>
      <c r="DD17" s="3961"/>
      <c r="DE17" s="3961"/>
      <c r="DM17" s="1439">
        <v>0</v>
      </c>
    </row>
    <row customHeight="1" ht="14.25" hidden="1">
      <c r="AD18" s="1644"/>
      <c r="AE18" s="1644"/>
      <c r="AF18" s="1644"/>
      <c r="AG18" s="612" t="str">
        <f>AH17&amp;"-"&amp;AJ17</f>
        <v>-</v>
      </c>
      <c r="AH18" s="2552"/>
      <c r="AI18" s="2552"/>
      <c r="AJ18" s="2552"/>
      <c r="AK18" s="2552"/>
      <c r="AL18" s="3961"/>
      <c r="AM18" s="3961"/>
      <c r="AN18" s="3961"/>
      <c r="AO18" s="3961"/>
      <c r="AP18" s="3961"/>
      <c r="AQ18" s="3961"/>
      <c r="AR18" s="3961"/>
      <c r="AS18" s="3961"/>
      <c r="AT18" s="3961"/>
      <c r="AU18" s="3961"/>
      <c r="AV18" s="3961"/>
      <c r="AW18" s="3961"/>
      <c r="AX18" s="3961"/>
      <c r="AY18" s="3961"/>
      <c r="AZ18" s="3961"/>
      <c r="BA18" s="3961"/>
      <c r="BB18" s="3961"/>
      <c r="BC18" s="3961"/>
      <c r="BD18" s="3961"/>
      <c r="BE18" s="3961"/>
      <c r="BF18" s="3961"/>
      <c r="BG18" s="3961"/>
      <c r="BH18" s="3961"/>
      <c r="BI18" s="3961"/>
      <c r="BJ18" s="3961"/>
      <c r="BK18" s="3961"/>
      <c r="BL18" s="3961"/>
      <c r="BM18" s="3961"/>
      <c r="BN18" s="3961"/>
      <c r="BO18" s="3961"/>
      <c r="BP18" s="3961"/>
      <c r="BQ18" s="3961"/>
      <c r="BR18" s="3961"/>
      <c r="BS18" s="3961"/>
      <c r="BT18" s="3961"/>
      <c r="BU18" s="3961"/>
      <c r="BV18" s="3961"/>
      <c r="BW18" s="3961"/>
      <c r="BX18" s="3961"/>
      <c r="BY18" s="3961"/>
      <c r="BZ18" s="3961"/>
      <c r="CA18" s="3961"/>
      <c r="CB18" s="3961"/>
      <c r="CC18" s="3961"/>
      <c r="CD18" s="3961"/>
      <c r="CE18" s="3961"/>
      <c r="CF18" s="3961"/>
      <c r="CG18" s="3961"/>
      <c r="CH18" s="3961"/>
      <c r="CI18" s="3961"/>
      <c r="CJ18" s="3961"/>
      <c r="CK18" s="3961"/>
      <c r="CL18" s="3961"/>
      <c r="CM18" s="3961"/>
      <c r="CN18" s="3961"/>
      <c r="CO18" s="3961"/>
      <c r="CP18" s="3961"/>
      <c r="CQ18" s="3961"/>
      <c r="CR18" s="3961"/>
      <c r="CS18" s="3961"/>
      <c r="CT18" s="3961"/>
      <c r="CU18" s="3961"/>
      <c r="CV18" s="3961"/>
      <c r="CW18" s="3961"/>
      <c r="CX18" s="3961"/>
      <c r="CY18" s="3961"/>
      <c r="CZ18" s="3961"/>
      <c r="DA18" s="3961"/>
      <c r="DB18" s="3961"/>
      <c r="DC18" s="3961"/>
      <c r="DD18" s="3961"/>
      <c r="DE18" s="3961"/>
      <c r="DM18" s="1439">
        <v>0</v>
      </c>
    </row>
    <row customHeight="1" ht="14.25" hidden="1">
      <c r="AK19" s="611"/>
      <c r="AL19" s="3961"/>
      <c r="AM19" s="3961"/>
      <c r="AN19" s="3961"/>
      <c r="AO19" s="3961"/>
      <c r="AP19" s="3961"/>
      <c r="AQ19" s="3961"/>
      <c r="AR19" s="3961"/>
      <c r="AS19" s="3961"/>
      <c r="AT19" s="3961"/>
      <c r="AU19" s="3961"/>
      <c r="AV19" s="3961"/>
      <c r="AW19" s="3961"/>
      <c r="AX19" s="3961"/>
      <c r="AY19" s="3961"/>
      <c r="AZ19" s="3961"/>
      <c r="BA19" s="3961"/>
      <c r="BB19" s="3961"/>
      <c r="BC19" s="3961"/>
      <c r="BD19" s="3961"/>
      <c r="BE19" s="3961"/>
      <c r="BF19" s="3961"/>
      <c r="BG19" s="3961"/>
      <c r="BH19" s="3961"/>
      <c r="BI19" s="3961"/>
      <c r="BJ19" s="3961"/>
      <c r="BK19" s="3961"/>
      <c r="BL19" s="3961"/>
      <c r="BM19" s="3961"/>
      <c r="BN19" s="3961"/>
      <c r="BO19" s="3961"/>
      <c r="BP19" s="3961"/>
      <c r="BQ19" s="3961"/>
      <c r="BR19" s="3961"/>
      <c r="BS19" s="3961"/>
      <c r="BT19" s="3961"/>
      <c r="BU19" s="3961"/>
      <c r="BV19" s="3961"/>
      <c r="BW19" s="3961"/>
      <c r="BX19" s="3961"/>
      <c r="BY19" s="3961"/>
      <c r="BZ19" s="3961"/>
      <c r="CA19" s="3961"/>
      <c r="CB19" s="3961"/>
      <c r="CC19" s="3961"/>
      <c r="CD19" s="3961"/>
      <c r="CE19" s="3961"/>
      <c r="CF19" s="3961"/>
      <c r="CG19" s="3961"/>
      <c r="CH19" s="3961"/>
      <c r="CI19" s="3961"/>
      <c r="CJ19" s="3961"/>
      <c r="CK19" s="3961"/>
      <c r="CL19" s="3961"/>
      <c r="CM19" s="3961"/>
      <c r="CN19" s="3961"/>
      <c r="CO19" s="3961"/>
      <c r="CP19" s="3961"/>
      <c r="CQ19" s="3961"/>
      <c r="CR19" s="3961"/>
      <c r="CS19" s="3961"/>
      <c r="CT19" s="3961"/>
      <c r="CU19" s="3961"/>
      <c r="CV19" s="3961"/>
      <c r="CW19" s="3961"/>
      <c r="CX19" s="3961"/>
      <c r="CY19" s="3961"/>
      <c r="CZ19" s="3961"/>
      <c r="DA19" s="3961"/>
      <c r="DB19" s="3961"/>
      <c r="DC19" s="3961"/>
      <c r="DD19" s="3961"/>
      <c r="DE19" s="3961"/>
      <c r="DM19" s="1439">
        <v>0</v>
      </c>
    </row>
    <row s="30620" customFormat="1" customHeight="1" ht="22.5" hidden="1">
      <c r="L20" s="1613"/>
      <c r="M20" s="1646"/>
      <c r="N20" s="1646"/>
      <c r="O20" s="1651" t="s">
        <v>474</v>
      </c>
      <c r="P20" s="1646"/>
      <c r="Q20" s="1655"/>
      <c r="R20" s="1655"/>
      <c r="S20" s="1013"/>
      <c r="Z20" s="1651"/>
      <c r="AB20" s="1651"/>
      <c r="AC20" s="1650"/>
      <c r="AH20" s="1651"/>
      <c r="AJ20" s="1651"/>
      <c r="AK20" s="1650"/>
      <c r="AL20" s="4135"/>
      <c r="AM20" s="4135"/>
      <c r="AN20" s="4135"/>
      <c r="AO20" s="4135"/>
      <c r="AP20" s="4136"/>
      <c r="AQ20" s="4135"/>
      <c r="AR20" s="4136"/>
      <c r="AS20" s="4135"/>
      <c r="AT20" s="4135"/>
      <c r="AU20" s="4135"/>
      <c r="AV20" s="4135"/>
      <c r="AW20" s="4135"/>
      <c r="AX20" s="4136"/>
      <c r="AY20" s="4135"/>
      <c r="AZ20" s="4136"/>
      <c r="BA20" s="4135"/>
      <c r="BB20" s="4135"/>
      <c r="BC20" s="4135"/>
      <c r="BD20" s="4135"/>
      <c r="BE20" s="4135"/>
      <c r="BF20" s="4136"/>
      <c r="BG20" s="4135"/>
      <c r="BH20" s="4136"/>
      <c r="BI20" s="4135"/>
      <c r="BJ20" s="4135"/>
      <c r="BK20" s="4135"/>
      <c r="BL20" s="4135"/>
      <c r="BM20" s="4135"/>
      <c r="BN20" s="4136"/>
      <c r="BO20" s="4135"/>
      <c r="BP20" s="4136"/>
      <c r="BQ20" s="4135"/>
      <c r="BR20" s="4135"/>
      <c r="BS20" s="4135"/>
      <c r="BT20" s="4135"/>
      <c r="BU20" s="4135"/>
      <c r="BV20" s="4136"/>
      <c r="BW20" s="4135"/>
      <c r="BX20" s="4136"/>
      <c r="BY20" s="4135"/>
      <c r="BZ20" s="4135"/>
      <c r="CA20" s="4135"/>
      <c r="CB20" s="4135"/>
      <c r="CC20" s="4135"/>
      <c r="CD20" s="4136"/>
      <c r="CE20" s="4135"/>
      <c r="CF20" s="4136"/>
      <c r="CG20" s="4135"/>
      <c r="CH20" s="4135"/>
      <c r="CI20" s="4135"/>
      <c r="CJ20" s="4135"/>
      <c r="CK20" s="4135"/>
      <c r="CL20" s="4136"/>
      <c r="CM20" s="4135"/>
      <c r="CN20" s="4136"/>
      <c r="CO20" s="4135"/>
      <c r="CP20" s="4135"/>
      <c r="CQ20" s="4135"/>
      <c r="CR20" s="4135"/>
      <c r="CS20" s="4135"/>
      <c r="CT20" s="4136"/>
      <c r="CU20" s="4135"/>
      <c r="CV20" s="4136"/>
      <c r="CW20" s="4135"/>
      <c r="CX20" s="4135"/>
      <c r="CY20" s="4135"/>
      <c r="CZ20" s="4135"/>
      <c r="DA20" s="4135"/>
      <c r="DB20" s="4136"/>
      <c r="DC20" s="4135"/>
      <c r="DD20" s="4136"/>
      <c r="DE20" s="4135"/>
      <c r="DH20" s="795"/>
      <c r="DI20" s="795"/>
      <c r="DJ20" s="795"/>
      <c r="DK20" s="795"/>
      <c r="DL20" s="795"/>
      <c r="DM20" s="1444">
        <v>0</v>
      </c>
    </row>
    <row s="30620" customFormat="1" customHeight="1" ht="14.25" hidden="1">
      <c r="L21" s="1613"/>
      <c r="M21" s="1646"/>
      <c r="N21" s="1646"/>
      <c r="O21" s="1646"/>
      <c r="P21" s="1646"/>
      <c r="Q21" s="1655"/>
      <c r="R21" s="1655"/>
      <c r="S21" s="1013"/>
      <c r="AC21" s="1650"/>
      <c r="AK21" s="1650"/>
      <c r="AL21" s="4135"/>
      <c r="AM21" s="4135"/>
      <c r="AN21" s="4135"/>
      <c r="AO21" s="4135"/>
      <c r="AP21" s="4135"/>
      <c r="AQ21" s="4135"/>
      <c r="AR21" s="4135"/>
      <c r="AS21" s="4135"/>
      <c r="AT21" s="4135"/>
      <c r="AU21" s="4135"/>
      <c r="AV21" s="4135"/>
      <c r="AW21" s="4135"/>
      <c r="AX21" s="4135"/>
      <c r="AY21" s="4135"/>
      <c r="AZ21" s="4135"/>
      <c r="BA21" s="4135"/>
      <c r="BB21" s="4135"/>
      <c r="BC21" s="4135"/>
      <c r="BD21" s="4135"/>
      <c r="BE21" s="4135"/>
      <c r="BF21" s="4135"/>
      <c r="BG21" s="4135"/>
      <c r="BH21" s="4135"/>
      <c r="BI21" s="4135"/>
      <c r="BJ21" s="4135"/>
      <c r="BK21" s="4135"/>
      <c r="BL21" s="4135"/>
      <c r="BM21" s="4135"/>
      <c r="BN21" s="4135"/>
      <c r="BO21" s="4135"/>
      <c r="BP21" s="4135"/>
      <c r="BQ21" s="4135"/>
      <c r="BR21" s="4135"/>
      <c r="BS21" s="4135"/>
      <c r="BT21" s="4135"/>
      <c r="BU21" s="4135"/>
      <c r="BV21" s="4135"/>
      <c r="BW21" s="4135"/>
      <c r="BX21" s="4135"/>
      <c r="BY21" s="4135"/>
      <c r="BZ21" s="4135"/>
      <c r="CA21" s="4135"/>
      <c r="CB21" s="4135"/>
      <c r="CC21" s="4135"/>
      <c r="CD21" s="4135"/>
      <c r="CE21" s="4135"/>
      <c r="CF21" s="4135"/>
      <c r="CG21" s="4135"/>
      <c r="CH21" s="4135"/>
      <c r="CI21" s="4135"/>
      <c r="CJ21" s="4135"/>
      <c r="CK21" s="4135"/>
      <c r="CL21" s="4135"/>
      <c r="CM21" s="4135"/>
      <c r="CN21" s="4135"/>
      <c r="CO21" s="4135"/>
      <c r="CP21" s="4135"/>
      <c r="CQ21" s="4135"/>
      <c r="CR21" s="4135"/>
      <c r="CS21" s="4135"/>
      <c r="CT21" s="4135"/>
      <c r="CU21" s="4135"/>
      <c r="CV21" s="4135"/>
      <c r="CW21" s="4135"/>
      <c r="CX21" s="4135"/>
      <c r="CY21" s="4135"/>
      <c r="CZ21" s="4135"/>
      <c r="DA21" s="4135"/>
      <c r="DB21" s="4135"/>
      <c r="DC21" s="4135"/>
      <c r="DD21" s="4135"/>
      <c r="DE21" s="4135"/>
      <c r="DH21" s="795"/>
      <c r="DI21" s="795"/>
      <c r="DJ21" s="795"/>
      <c r="DK21" s="795"/>
      <c r="DL21" s="795"/>
      <c r="DM21" s="1444">
        <v>0</v>
      </c>
    </row>
    <row s="30620" customFormat="1" customHeight="1" ht="14.25" hidden="1">
      <c r="L22" s="1613"/>
      <c r="M22" s="1646"/>
      <c r="N22" s="1646"/>
      <c r="O22" s="1648" t="s">
        <v>475</v>
      </c>
      <c r="P22" s="1646"/>
      <c r="Q22" s="1655"/>
      <c r="R22" s="1655"/>
      <c r="S22" s="1013"/>
      <c r="T22" s="1444" t="s">
        <v>476</v>
      </c>
      <c r="AA22" s="470" t="s">
        <v>477</v>
      </c>
      <c r="AC22" s="470" t="s">
        <v>478</v>
      </c>
      <c r="AD22" s="1444" t="s">
        <v>476</v>
      </c>
      <c r="AI22" s="470" t="s">
        <v>479</v>
      </c>
      <c r="AK22" s="470" t="s">
        <v>478</v>
      </c>
      <c r="AL22" s="4135"/>
      <c r="AM22" s="4135"/>
      <c r="AN22" s="4135"/>
      <c r="AO22" s="4135"/>
      <c r="AP22" s="4135"/>
      <c r="AQ22" s="4137" t="s">
        <v>477</v>
      </c>
      <c r="AR22" s="4135"/>
      <c r="AS22" s="4137" t="s">
        <v>478</v>
      </c>
      <c r="AT22" s="4135"/>
      <c r="AU22" s="4135"/>
      <c r="AV22" s="4135"/>
      <c r="AW22" s="4135"/>
      <c r="AX22" s="4135"/>
      <c r="AY22" s="4137" t="s">
        <v>477</v>
      </c>
      <c r="AZ22" s="4135"/>
      <c r="BA22" s="4137" t="s">
        <v>478</v>
      </c>
      <c r="BB22" s="4135"/>
      <c r="BC22" s="4135"/>
      <c r="BD22" s="4135"/>
      <c r="BE22" s="4135"/>
      <c r="BF22" s="4135"/>
      <c r="BG22" s="4137" t="s">
        <v>477</v>
      </c>
      <c r="BH22" s="4135"/>
      <c r="BI22" s="4137" t="s">
        <v>478</v>
      </c>
      <c r="BJ22" s="4135"/>
      <c r="BK22" s="4135"/>
      <c r="BL22" s="4135"/>
      <c r="BM22" s="4135"/>
      <c r="BN22" s="4135"/>
      <c r="BO22" s="4137" t="s">
        <v>477</v>
      </c>
      <c r="BP22" s="4135"/>
      <c r="BQ22" s="4137" t="s">
        <v>478</v>
      </c>
      <c r="BR22" s="4135"/>
      <c r="BS22" s="4135"/>
      <c r="BT22" s="4135"/>
      <c r="BU22" s="4135"/>
      <c r="BV22" s="4135"/>
      <c r="BW22" s="4137" t="s">
        <v>477</v>
      </c>
      <c r="BX22" s="4135"/>
      <c r="BY22" s="4137" t="s">
        <v>478</v>
      </c>
      <c r="BZ22" s="4135"/>
      <c r="CA22" s="4135"/>
      <c r="CB22" s="4135"/>
      <c r="CC22" s="4135"/>
      <c r="CD22" s="4135"/>
      <c r="CE22" s="4137" t="s">
        <v>477</v>
      </c>
      <c r="CF22" s="4135"/>
      <c r="CG22" s="4137" t="s">
        <v>478</v>
      </c>
      <c r="CH22" s="4135"/>
      <c r="CI22" s="4135"/>
      <c r="CJ22" s="4135"/>
      <c r="CK22" s="4135"/>
      <c r="CL22" s="4135"/>
      <c r="CM22" s="4137" t="s">
        <v>477</v>
      </c>
      <c r="CN22" s="4135"/>
      <c r="CO22" s="4137" t="s">
        <v>478</v>
      </c>
      <c r="CP22" s="4135"/>
      <c r="CQ22" s="4135"/>
      <c r="CR22" s="4135"/>
      <c r="CS22" s="4135"/>
      <c r="CT22" s="4135"/>
      <c r="CU22" s="4137" t="s">
        <v>477</v>
      </c>
      <c r="CV22" s="4135"/>
      <c r="CW22" s="4137" t="s">
        <v>478</v>
      </c>
      <c r="CX22" s="4135"/>
      <c r="CY22" s="4135"/>
      <c r="CZ22" s="4135"/>
      <c r="DA22" s="4135"/>
      <c r="DB22" s="4135"/>
      <c r="DC22" s="4137" t="s">
        <v>477</v>
      </c>
      <c r="DD22" s="4135"/>
      <c r="DE22" s="4137" t="s">
        <v>478</v>
      </c>
      <c r="DH22" s="795"/>
      <c r="DI22" s="795"/>
      <c r="DJ22" s="795"/>
      <c r="DK22" s="795"/>
      <c r="DL22" s="795"/>
      <c r="DM22" s="1444">
        <v>0</v>
      </c>
    </row>
    <row customHeight="1" ht="14.25" hidden="1">
      <c r="O23" s="1648"/>
      <c r="AL23" s="3961"/>
      <c r="AM23" s="3961"/>
      <c r="AN23" s="3961"/>
      <c r="AO23" s="3961"/>
      <c r="AP23" s="3961"/>
      <c r="AQ23" s="3961"/>
      <c r="AR23" s="3961"/>
      <c r="AS23" s="3961"/>
      <c r="AT23" s="3961"/>
      <c r="AU23" s="3961"/>
      <c r="AV23" s="3961"/>
      <c r="AW23" s="3961"/>
      <c r="AX23" s="3961"/>
      <c r="AY23" s="3961"/>
      <c r="AZ23" s="3961"/>
      <c r="BA23" s="3961"/>
      <c r="BB23" s="3961"/>
      <c r="BC23" s="3961"/>
      <c r="BD23" s="3961"/>
      <c r="BE23" s="3961"/>
      <c r="BF23" s="3961"/>
      <c r="BG23" s="3961"/>
      <c r="BH23" s="3961"/>
      <c r="BI23" s="3961"/>
      <c r="BJ23" s="3961"/>
      <c r="BK23" s="3961"/>
      <c r="BL23" s="3961"/>
      <c r="BM23" s="3961"/>
      <c r="BN23" s="3961"/>
      <c r="BO23" s="3961"/>
      <c r="BP23" s="3961"/>
      <c r="BQ23" s="3961"/>
      <c r="BR23" s="3961"/>
      <c r="BS23" s="3961"/>
      <c r="BT23" s="3961"/>
      <c r="BU23" s="3961"/>
      <c r="BV23" s="3961"/>
      <c r="BW23" s="3961"/>
      <c r="BX23" s="3961"/>
      <c r="BY23" s="3961"/>
      <c r="BZ23" s="3961"/>
      <c r="CA23" s="3961"/>
      <c r="CB23" s="3961"/>
      <c r="CC23" s="3961"/>
      <c r="CD23" s="3961"/>
      <c r="CE23" s="3961"/>
      <c r="CF23" s="3961"/>
      <c r="CG23" s="3961"/>
      <c r="CH23" s="3961"/>
      <c r="CI23" s="3961"/>
      <c r="CJ23" s="3961"/>
      <c r="CK23" s="3961"/>
      <c r="CL23" s="3961"/>
      <c r="CM23" s="3961"/>
      <c r="CN23" s="3961"/>
      <c r="CO23" s="3961"/>
      <c r="CP23" s="3961"/>
      <c r="CQ23" s="3961"/>
      <c r="CR23" s="3961"/>
      <c r="CS23" s="3961"/>
      <c r="CT23" s="3961"/>
      <c r="CU23" s="3961"/>
      <c r="CV23" s="3961"/>
      <c r="CW23" s="3961"/>
      <c r="CX23" s="3961"/>
      <c r="CY23" s="3961"/>
      <c r="CZ23" s="3961"/>
      <c r="DA23" s="3961"/>
      <c r="DB23" s="3961"/>
      <c r="DC23" s="3961"/>
      <c r="DD23" s="3961"/>
      <c r="DE23" s="3961"/>
      <c r="DM23" s="1439">
        <v>0</v>
      </c>
    </row>
    <row customHeight="1" ht="14.25" hidden="1">
      <c r="O24" s="1648"/>
      <c r="AL24" s="3961"/>
      <c r="AM24" s="3961"/>
      <c r="AN24" s="3961"/>
      <c r="AO24" s="3961"/>
      <c r="AP24" s="3961"/>
      <c r="AQ24" s="3961"/>
      <c r="AR24" s="3961"/>
      <c r="AS24" s="3961"/>
      <c r="AT24" s="3961"/>
      <c r="AU24" s="3961"/>
      <c r="AV24" s="3961"/>
      <c r="AW24" s="3961"/>
      <c r="AX24" s="3961"/>
      <c r="AY24" s="3961"/>
      <c r="AZ24" s="3961"/>
      <c r="BA24" s="3961"/>
      <c r="BB24" s="3961"/>
      <c r="BC24" s="3961"/>
      <c r="BD24" s="3961"/>
      <c r="BE24" s="3961"/>
      <c r="BF24" s="3961"/>
      <c r="BG24" s="3961"/>
      <c r="BH24" s="3961"/>
      <c r="BI24" s="3961"/>
      <c r="BJ24" s="3961"/>
      <c r="BK24" s="3961"/>
      <c r="BL24" s="3961"/>
      <c r="BM24" s="3961"/>
      <c r="BN24" s="3961"/>
      <c r="BO24" s="3961"/>
      <c r="BP24" s="3961"/>
      <c r="BQ24" s="3961"/>
      <c r="BR24" s="3961"/>
      <c r="BS24" s="3961"/>
      <c r="BT24" s="3961"/>
      <c r="BU24" s="3961"/>
      <c r="BV24" s="3961"/>
      <c r="BW24" s="3961"/>
      <c r="BX24" s="3961"/>
      <c r="BY24" s="3961"/>
      <c r="BZ24" s="3961"/>
      <c r="CA24" s="3961"/>
      <c r="CB24" s="3961"/>
      <c r="CC24" s="3961"/>
      <c r="CD24" s="3961"/>
      <c r="CE24" s="3961"/>
      <c r="CF24" s="3961"/>
      <c r="CG24" s="3961"/>
      <c r="CH24" s="3961"/>
      <c r="CI24" s="3961"/>
      <c r="CJ24" s="3961"/>
      <c r="CK24" s="3961"/>
      <c r="CL24" s="3961"/>
      <c r="CM24" s="3961"/>
      <c r="CN24" s="3961"/>
      <c r="CO24" s="3961"/>
      <c r="CP24" s="3961"/>
      <c r="CQ24" s="3961"/>
      <c r="CR24" s="3961"/>
      <c r="CS24" s="3961"/>
      <c r="CT24" s="3961"/>
      <c r="CU24" s="3961"/>
      <c r="CV24" s="3961"/>
      <c r="CW24" s="3961"/>
      <c r="CX24" s="3961"/>
      <c r="CY24" s="3961"/>
      <c r="CZ24" s="3961"/>
      <c r="DA24" s="3961"/>
      <c r="DB24" s="3961"/>
      <c r="DC24" s="3961"/>
      <c r="DD24" s="3961"/>
      <c r="DE24" s="3961"/>
      <c r="DM24" s="1439">
        <v>0</v>
      </c>
    </row>
    <row customHeight="1" ht="14.699999999999998">
      <c r="Q25" s="660"/>
      <c r="R25" s="660"/>
      <c r="S25" s="1559"/>
      <c r="T25" s="647"/>
      <c r="U25" s="647"/>
      <c r="V25" s="793"/>
      <c r="W25" s="793"/>
      <c r="X25" s="793"/>
      <c r="Y25" s="793"/>
      <c r="Z25" s="793"/>
      <c r="AA25" s="793"/>
      <c r="AB25" s="793"/>
      <c r="AC25" s="793"/>
      <c r="AD25" s="793"/>
      <c r="AE25" s="793"/>
      <c r="AF25" s="793"/>
      <c r="AG25" s="793"/>
      <c r="AH25" s="793"/>
      <c r="AI25" s="793"/>
      <c r="AJ25" s="793"/>
      <c r="AK25" s="793"/>
      <c r="AL25" s="3961"/>
      <c r="AM25" s="3961"/>
      <c r="AN25" s="3961"/>
      <c r="AO25" s="3961"/>
      <c r="AP25" s="3961"/>
      <c r="AQ25" s="3961"/>
      <c r="AR25" s="3961"/>
      <c r="AS25" s="3961"/>
      <c r="AT25" s="3961"/>
      <c r="AU25" s="3961"/>
      <c r="AV25" s="3961"/>
      <c r="AW25" s="3961"/>
      <c r="AX25" s="3961"/>
      <c r="AY25" s="3961"/>
      <c r="AZ25" s="3961"/>
      <c r="BA25" s="3961"/>
      <c r="BB25" s="3961"/>
      <c r="BC25" s="3961"/>
      <c r="BD25" s="3961"/>
      <c r="BE25" s="3961"/>
      <c r="BF25" s="3961"/>
      <c r="BG25" s="3961"/>
      <c r="BH25" s="3961"/>
      <c r="BI25" s="3961"/>
      <c r="BJ25" s="3961"/>
      <c r="BK25" s="3961"/>
      <c r="BL25" s="3961"/>
      <c r="BM25" s="3961"/>
      <c r="BN25" s="3961"/>
      <c r="BO25" s="3961"/>
      <c r="BP25" s="3961"/>
      <c r="BQ25" s="3961"/>
      <c r="BR25" s="3961"/>
      <c r="BS25" s="3961"/>
      <c r="BT25" s="3961"/>
      <c r="BU25" s="3961"/>
      <c r="BV25" s="3961"/>
      <c r="BW25" s="3961"/>
      <c r="BX25" s="3961"/>
      <c r="BY25" s="3961"/>
      <c r="BZ25" s="3961"/>
      <c r="CA25" s="3961"/>
      <c r="CB25" s="3961"/>
      <c r="CC25" s="3961"/>
      <c r="CD25" s="3961"/>
      <c r="CE25" s="3961"/>
      <c r="CF25" s="3961"/>
      <c r="CG25" s="3961"/>
      <c r="CH25" s="3961"/>
      <c r="CI25" s="3961"/>
      <c r="CJ25" s="3961"/>
      <c r="CK25" s="3961"/>
      <c r="CL25" s="3961"/>
      <c r="CM25" s="3961"/>
      <c r="CN25" s="3961"/>
      <c r="CO25" s="3961"/>
      <c r="CP25" s="3961"/>
      <c r="CQ25" s="3961"/>
      <c r="CR25" s="3961"/>
      <c r="CS25" s="3961"/>
      <c r="CT25" s="3961"/>
      <c r="CU25" s="3961"/>
      <c r="CV25" s="3961"/>
      <c r="CW25" s="3961"/>
      <c r="CX25" s="3961"/>
      <c r="CY25" s="3961"/>
      <c r="CZ25" s="3961"/>
      <c r="DA25" s="3961"/>
      <c r="DB25" s="3961"/>
      <c r="DC25" s="3961"/>
      <c r="DD25" s="3961"/>
      <c r="DE25" s="3961"/>
      <c r="DM25" s="1439">
        <v>14</v>
      </c>
    </row>
    <row customHeight="1" ht="63">
      <c r="Q26" s="660"/>
      <c r="R26" s="660"/>
      <c r="S26" s="253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32"/>
      <c r="U26" s="2532"/>
      <c r="V26" s="2532"/>
      <c r="W26" s="2532"/>
      <c r="X26" s="2532"/>
      <c r="Y26" s="2532"/>
      <c r="Z26" s="2532"/>
      <c r="AA26" s="2532"/>
      <c r="AB26" s="2532"/>
      <c r="AC26" s="2532"/>
      <c r="AD26" s="2532"/>
      <c r="AE26" s="2532"/>
      <c r="AF26" s="2532"/>
      <c r="AG26" s="2532"/>
      <c r="AH26" s="2532"/>
      <c r="AI26" s="2532"/>
      <c r="AJ26" s="2532"/>
      <c r="AK26" s="1527"/>
      <c r="AL26" s="4138"/>
      <c r="AM26" s="4138"/>
      <c r="AN26" s="4138"/>
      <c r="AO26" s="4138"/>
      <c r="AP26" s="4138"/>
      <c r="AQ26" s="4138"/>
      <c r="AR26" s="4138"/>
      <c r="AS26" s="4138"/>
      <c r="AT26" s="4138"/>
      <c r="AU26" s="4138"/>
      <c r="AV26" s="4138"/>
      <c r="AW26" s="4138"/>
      <c r="AX26" s="4138"/>
      <c r="AY26" s="4138"/>
      <c r="AZ26" s="4138"/>
      <c r="BA26" s="4138"/>
      <c r="BB26" s="4138"/>
      <c r="BC26" s="4138"/>
      <c r="BD26" s="4138"/>
      <c r="BE26" s="4138"/>
      <c r="BF26" s="4138"/>
      <c r="BG26" s="4138"/>
      <c r="BH26" s="4138"/>
      <c r="BI26" s="4138"/>
      <c r="BJ26" s="4138"/>
      <c r="BK26" s="4138"/>
      <c r="BL26" s="4138"/>
      <c r="BM26" s="4138"/>
      <c r="BN26" s="4138"/>
      <c r="BO26" s="4138"/>
      <c r="BP26" s="4138"/>
      <c r="BQ26" s="4138"/>
      <c r="BR26" s="4138"/>
      <c r="BS26" s="4138"/>
      <c r="BT26" s="4138"/>
      <c r="BU26" s="4138"/>
      <c r="BV26" s="4138"/>
      <c r="BW26" s="4138"/>
      <c r="BX26" s="4138"/>
      <c r="BY26" s="4138"/>
      <c r="BZ26" s="4138"/>
      <c r="CA26" s="4138"/>
      <c r="CB26" s="4138"/>
      <c r="CC26" s="4138"/>
      <c r="CD26" s="4138"/>
      <c r="CE26" s="4138"/>
      <c r="CF26" s="4138"/>
      <c r="CG26" s="4138"/>
      <c r="CH26" s="4138"/>
      <c r="CI26" s="4138"/>
      <c r="CJ26" s="4138"/>
      <c r="CK26" s="4138"/>
      <c r="CL26" s="4138"/>
      <c r="CM26" s="4138"/>
      <c r="CN26" s="4138"/>
      <c r="CO26" s="4138"/>
      <c r="CP26" s="4138"/>
      <c r="CQ26" s="4138"/>
      <c r="CR26" s="4138"/>
      <c r="CS26" s="4138"/>
      <c r="CT26" s="4138"/>
      <c r="CU26" s="4138"/>
      <c r="CV26" s="4138"/>
      <c r="CW26" s="4138"/>
      <c r="CX26" s="4138"/>
      <c r="CY26" s="4138"/>
      <c r="CZ26" s="4138"/>
      <c r="DA26" s="4138"/>
      <c r="DB26" s="4138"/>
      <c r="DC26" s="4138"/>
      <c r="DD26" s="4138"/>
      <c r="DE26" s="4138"/>
      <c r="DM26" s="1439">
        <v>60</v>
      </c>
    </row>
    <row customHeight="1" ht="14.699999999999998">
      <c r="Q27" s="660"/>
      <c r="R27" s="660"/>
      <c r="S27" s="2533" t="str">
        <f>IF(org=0,"Не определено",org)</f>
        <v>АО "ДГК"</v>
      </c>
      <c r="T27" s="2533"/>
      <c r="U27" s="2533"/>
      <c r="V27" s="2533"/>
      <c r="W27" s="2533"/>
      <c r="X27" s="2533"/>
      <c r="Y27" s="2533"/>
      <c r="Z27" s="2533"/>
      <c r="AA27" s="2533"/>
      <c r="AB27" s="2533"/>
      <c r="AC27" s="2533"/>
      <c r="AD27" s="2533"/>
      <c r="AE27" s="2533"/>
      <c r="AF27" s="2533"/>
      <c r="AG27" s="2533"/>
      <c r="AH27" s="2533"/>
      <c r="AI27" s="2533"/>
      <c r="AJ27" s="2533"/>
      <c r="AK27" s="1527"/>
      <c r="AL27" s="4139"/>
      <c r="AM27" s="4139"/>
      <c r="AN27" s="4139"/>
      <c r="AO27" s="4139"/>
      <c r="AP27" s="4139"/>
      <c r="AQ27" s="4139"/>
      <c r="AR27" s="4139"/>
      <c r="AS27" s="4139"/>
      <c r="AT27" s="4139"/>
      <c r="AU27" s="4139"/>
      <c r="AV27" s="4139"/>
      <c r="AW27" s="4139"/>
      <c r="AX27" s="4139"/>
      <c r="AY27" s="4139"/>
      <c r="AZ27" s="4139"/>
      <c r="BA27" s="4139"/>
      <c r="BB27" s="4139"/>
      <c r="BC27" s="4139"/>
      <c r="BD27" s="4139"/>
      <c r="BE27" s="4139"/>
      <c r="BF27" s="4139"/>
      <c r="BG27" s="4139"/>
      <c r="BH27" s="4139"/>
      <c r="BI27" s="4139"/>
      <c r="BJ27" s="4139"/>
      <c r="BK27" s="4139"/>
      <c r="BL27" s="4139"/>
      <c r="BM27" s="4139"/>
      <c r="BN27" s="4139"/>
      <c r="BO27" s="4139"/>
      <c r="BP27" s="4139"/>
      <c r="BQ27" s="4139"/>
      <c r="BR27" s="4139"/>
      <c r="BS27" s="4139"/>
      <c r="BT27" s="4139"/>
      <c r="BU27" s="4139"/>
      <c r="BV27" s="4139"/>
      <c r="BW27" s="4139"/>
      <c r="BX27" s="4139"/>
      <c r="BY27" s="4139"/>
      <c r="BZ27" s="4139"/>
      <c r="CA27" s="4139"/>
      <c r="CB27" s="4139"/>
      <c r="CC27" s="4139"/>
      <c r="CD27" s="4139"/>
      <c r="CE27" s="4139"/>
      <c r="CF27" s="4139"/>
      <c r="CG27" s="4139"/>
      <c r="CH27" s="4139"/>
      <c r="CI27" s="4139"/>
      <c r="CJ27" s="4139"/>
      <c r="CK27" s="4139"/>
      <c r="CL27" s="4139"/>
      <c r="CM27" s="4139"/>
      <c r="CN27" s="4139"/>
      <c r="CO27" s="4139"/>
      <c r="CP27" s="4139"/>
      <c r="CQ27" s="4139"/>
      <c r="CR27" s="4139"/>
      <c r="CS27" s="4139"/>
      <c r="CT27" s="4139"/>
      <c r="CU27" s="4139"/>
      <c r="CV27" s="4139"/>
      <c r="CW27" s="4139"/>
      <c r="CX27" s="4139"/>
      <c r="CY27" s="4139"/>
      <c r="CZ27" s="4139"/>
      <c r="DA27" s="4139"/>
      <c r="DB27" s="4139"/>
      <c r="DC27" s="4139"/>
      <c r="DD27" s="4139"/>
      <c r="DE27" s="4139"/>
      <c r="DM27" s="1439">
        <v>14</v>
      </c>
    </row>
    <row customHeight="1" ht="14.25">
      <c r="Q28" s="660"/>
      <c r="R28" s="660"/>
      <c r="S28" s="1559"/>
      <c r="T28" s="647"/>
      <c r="U28" s="647"/>
      <c r="V28" s="606"/>
      <c r="W28" s="606"/>
      <c r="X28" s="606"/>
      <c r="Y28" s="606"/>
      <c r="Z28" s="606"/>
      <c r="AA28" s="606"/>
      <c r="AB28" s="606"/>
      <c r="AC28" s="606"/>
      <c r="AD28" s="606"/>
      <c r="AE28" s="606"/>
      <c r="AF28" s="606"/>
      <c r="AG28" s="606"/>
      <c r="AH28" s="606"/>
      <c r="AI28" s="606"/>
      <c r="AJ28" s="606"/>
      <c r="AK28" s="606"/>
      <c r="AL28" s="4140"/>
      <c r="AM28" s="4140"/>
      <c r="AN28" s="4140"/>
      <c r="AO28" s="4140"/>
      <c r="AP28" s="4140"/>
      <c r="AQ28" s="4140"/>
      <c r="AR28" s="4140"/>
      <c r="AS28" s="4140"/>
      <c r="AT28" s="4140"/>
      <c r="AU28" s="4140"/>
      <c r="AV28" s="4140"/>
      <c r="AW28" s="4140"/>
      <c r="AX28" s="4140"/>
      <c r="AY28" s="4140"/>
      <c r="AZ28" s="4140"/>
      <c r="BA28" s="4140"/>
      <c r="BB28" s="4140"/>
      <c r="BC28" s="4140"/>
      <c r="BD28" s="4140"/>
      <c r="BE28" s="4140"/>
      <c r="BF28" s="4140"/>
      <c r="BG28" s="4140"/>
      <c r="BH28" s="4140"/>
      <c r="BI28" s="4140"/>
      <c r="BJ28" s="4140"/>
      <c r="BK28" s="4140"/>
      <c r="BL28" s="4140"/>
      <c r="BM28" s="4140"/>
      <c r="BN28" s="4140"/>
      <c r="BO28" s="4140"/>
      <c r="BP28" s="4140"/>
      <c r="BQ28" s="4140"/>
      <c r="BR28" s="4140"/>
      <c r="BS28" s="4140"/>
      <c r="BT28" s="4140"/>
      <c r="BU28" s="4140"/>
      <c r="BV28" s="4140"/>
      <c r="BW28" s="4140"/>
      <c r="BX28" s="4140"/>
      <c r="BY28" s="4140"/>
      <c r="BZ28" s="4140"/>
      <c r="CA28" s="4140"/>
      <c r="CB28" s="4140"/>
      <c r="CC28" s="4140"/>
      <c r="CD28" s="4140"/>
      <c r="CE28" s="4140"/>
      <c r="CF28" s="4140"/>
      <c r="CG28" s="4140"/>
      <c r="CH28" s="4140"/>
      <c r="CI28" s="4140"/>
      <c r="CJ28" s="4140"/>
      <c r="CK28" s="4140"/>
      <c r="CL28" s="4140"/>
      <c r="CM28" s="4140"/>
      <c r="CN28" s="4140"/>
      <c r="CO28" s="4140"/>
      <c r="CP28" s="4140"/>
      <c r="CQ28" s="4140"/>
      <c r="CR28" s="4140"/>
      <c r="CS28" s="4140"/>
      <c r="CT28" s="4140"/>
      <c r="CU28" s="4140"/>
      <c r="CV28" s="4140"/>
      <c r="CW28" s="4140"/>
      <c r="CX28" s="4140"/>
      <c r="CY28" s="4140"/>
      <c r="CZ28" s="4140"/>
      <c r="DA28" s="4140"/>
      <c r="DB28" s="4140"/>
      <c r="DC28" s="4140"/>
      <c r="DD28" s="4140"/>
      <c r="DE28" s="4140"/>
      <c r="DF28" s="793"/>
      <c r="DM28" s="1439">
        <v>0</v>
      </c>
    </row>
    <row s="30764" customFormat="1" customHeight="1" ht="25.5">
      <c r="A29" s="1652"/>
      <c r="B29" s="1652"/>
      <c r="C29" s="1652"/>
      <c r="D29" s="1652"/>
      <c r="E29" s="1652"/>
      <c r="F29" s="1652"/>
      <c r="G29" s="1652"/>
      <c r="H29" s="1652"/>
      <c r="I29" s="1652"/>
      <c r="J29" s="1652"/>
      <c r="K29" s="1652"/>
      <c r="L29" s="1653"/>
      <c r="M29" s="1652"/>
      <c r="N29" s="1652"/>
      <c r="O29" s="1652"/>
      <c r="S29" s="2534" t="s">
        <v>42</v>
      </c>
      <c r="T29" s="2534"/>
      <c r="U29" s="1656"/>
      <c r="V29" s="2535" t="str">
        <f>IF(TITLE_NAME_OR_PR_CHANGE="",IF(TITLE_NAME_OR_PR="","",TITLE_NAME_OR_PR),TITLE_NAME_OR_PR_CHANGE)</f>
        <v>Комитет по ценам и тарифам Правительства Хабаровского края</v>
      </c>
      <c r="W29" s="2535"/>
      <c r="X29" s="2535"/>
      <c r="Y29" s="2535"/>
      <c r="Z29" s="2535"/>
      <c r="AA29" s="2535"/>
      <c r="AB29" s="2535"/>
      <c r="AC29" s="610"/>
      <c r="AD29" s="2535" t="str">
        <f>IF(TITLE_NAME_OR_PR_CHANGE="",IF(TITLE_NAME_OR_PR="","",TITLE_NAME_OR_PR),TITLE_NAME_OR_PR_CHANGE)</f>
        <v>Комитет по ценам и тарифам Правительства Хабаровского края</v>
      </c>
      <c r="AE29" s="2535"/>
      <c r="AF29" s="2535"/>
      <c r="AG29" s="2535"/>
      <c r="AH29" s="2535"/>
      <c r="AI29" s="2535"/>
      <c r="AJ29" s="2535"/>
      <c r="AK29" s="610"/>
      <c r="AL29" s="4141" t="str">
        <f>IF(TITLE_NAME_OR_PR_CHANGE="",IF(TITLE_NAME_OR_PR="","",TITLE_NAME_OR_PR),TITLE_NAME_OR_PR_CHANGE)</f>
        <v>Комитет по ценам и тарифам Правительства Хабаровского края</v>
      </c>
      <c r="AM29" s="4141"/>
      <c r="AN29" s="4141"/>
      <c r="AO29" s="4141"/>
      <c r="AP29" s="4141"/>
      <c r="AQ29" s="4141"/>
      <c r="AR29" s="4141"/>
      <c r="AS29" s="3961"/>
      <c r="AT29" s="4141" t="str">
        <f>IF(TITLE_NAME_OR_PR_CHANGE="",IF(TITLE_NAME_OR_PR="","",TITLE_NAME_OR_PR),TITLE_NAME_OR_PR_CHANGE)</f>
        <v>Комитет по ценам и тарифам Правительства Хабаровского края</v>
      </c>
      <c r="AU29" s="4141"/>
      <c r="AV29" s="4141"/>
      <c r="AW29" s="4141"/>
      <c r="AX29" s="4141"/>
      <c r="AY29" s="4141"/>
      <c r="AZ29" s="4141"/>
      <c r="BA29" s="3961"/>
      <c r="BB29" s="4141" t="str">
        <f>IF(TITLE_NAME_OR_PR_CHANGE="",IF(TITLE_NAME_OR_PR="","",TITLE_NAME_OR_PR),TITLE_NAME_OR_PR_CHANGE)</f>
        <v>Комитет по ценам и тарифам Правительства Хабаровского края</v>
      </c>
      <c r="BC29" s="4141"/>
      <c r="BD29" s="4141"/>
      <c r="BE29" s="4141"/>
      <c r="BF29" s="4141"/>
      <c r="BG29" s="4141"/>
      <c r="BH29" s="4141"/>
      <c r="BI29" s="3961"/>
      <c r="BJ29" s="4141" t="str">
        <f>IF(TITLE_NAME_OR_PR_CHANGE="",IF(TITLE_NAME_OR_PR="","",TITLE_NAME_OR_PR),TITLE_NAME_OR_PR_CHANGE)</f>
        <v>Комитет по ценам и тарифам Правительства Хабаровского края</v>
      </c>
      <c r="BK29" s="4141"/>
      <c r="BL29" s="4141"/>
      <c r="BM29" s="4141"/>
      <c r="BN29" s="4141"/>
      <c r="BO29" s="4141"/>
      <c r="BP29" s="4141"/>
      <c r="BQ29" s="3961"/>
      <c r="BR29" s="4141" t="str">
        <f>IF(TITLE_NAME_OR_PR_CHANGE="",IF(TITLE_NAME_OR_PR="","",TITLE_NAME_OR_PR),TITLE_NAME_OR_PR_CHANGE)</f>
        <v>Комитет по ценам и тарифам Правительства Хабаровского края</v>
      </c>
      <c r="BS29" s="4141"/>
      <c r="BT29" s="4141"/>
      <c r="BU29" s="4141"/>
      <c r="BV29" s="4141"/>
      <c r="BW29" s="4141"/>
      <c r="BX29" s="4141"/>
      <c r="BY29" s="3961"/>
      <c r="BZ29" s="4141" t="str">
        <f>IF(TITLE_NAME_OR_PR_CHANGE="",IF(TITLE_NAME_OR_PR="","",TITLE_NAME_OR_PR),TITLE_NAME_OR_PR_CHANGE)</f>
        <v>Комитет по ценам и тарифам Правительства Хабаровского края</v>
      </c>
      <c r="CA29" s="4141"/>
      <c r="CB29" s="4141"/>
      <c r="CC29" s="4141"/>
      <c r="CD29" s="4141"/>
      <c r="CE29" s="4141"/>
      <c r="CF29" s="4141"/>
      <c r="CG29" s="3961"/>
      <c r="CH29" s="4141" t="str">
        <f>IF(TITLE_NAME_OR_PR_CHANGE="",IF(TITLE_NAME_OR_PR="","",TITLE_NAME_OR_PR),TITLE_NAME_OR_PR_CHANGE)</f>
        <v>Комитет по ценам и тарифам Правительства Хабаровского края</v>
      </c>
      <c r="CI29" s="4141"/>
      <c r="CJ29" s="4141"/>
      <c r="CK29" s="4141"/>
      <c r="CL29" s="4141"/>
      <c r="CM29" s="4141"/>
      <c r="CN29" s="4141"/>
      <c r="CO29" s="3961"/>
      <c r="CP29" s="4141" t="str">
        <f>IF(TITLE_NAME_OR_PR_CHANGE="",IF(TITLE_NAME_OR_PR="","",TITLE_NAME_OR_PR),TITLE_NAME_OR_PR_CHANGE)</f>
        <v>Комитет по ценам и тарифам Правительства Хабаровского края</v>
      </c>
      <c r="CQ29" s="4141"/>
      <c r="CR29" s="4141"/>
      <c r="CS29" s="4141"/>
      <c r="CT29" s="4141"/>
      <c r="CU29" s="4141"/>
      <c r="CV29" s="4141"/>
      <c r="CW29" s="3961"/>
      <c r="CX29" s="4141" t="str">
        <f>IF(TITLE_NAME_OR_PR_CHANGE="",IF(TITLE_NAME_OR_PR="","",TITLE_NAME_OR_PR),TITLE_NAME_OR_PR_CHANGE)</f>
        <v>Комитет по ценам и тарифам Правительства Хабаровского края</v>
      </c>
      <c r="CY29" s="4141"/>
      <c r="CZ29" s="4141"/>
      <c r="DA29" s="4141"/>
      <c r="DB29" s="4141"/>
      <c r="DC29" s="4141"/>
      <c r="DD29" s="4141"/>
      <c r="DE29" s="3961"/>
      <c r="DF29" s="610"/>
      <c r="DG29" s="564"/>
      <c r="DH29" s="652"/>
      <c r="DI29" s="652"/>
      <c r="DJ29" s="652"/>
      <c r="DK29" s="652"/>
      <c r="DL29" s="652"/>
      <c r="DM29" s="702">
        <v>0</v>
      </c>
    </row>
    <row s="30764" customFormat="1" customHeight="1" ht="18.75">
      <c r="A30" s="1652"/>
      <c r="B30" s="1652"/>
      <c r="C30" s="1652"/>
      <c r="D30" s="1652"/>
      <c r="E30" s="1652"/>
      <c r="F30" s="1652"/>
      <c r="G30" s="1652"/>
      <c r="H30" s="1652"/>
      <c r="I30" s="1652"/>
      <c r="J30" s="1652"/>
      <c r="K30" s="1652"/>
      <c r="L30" s="1653"/>
      <c r="M30" s="1652"/>
      <c r="N30" s="1652"/>
      <c r="O30" s="1652"/>
      <c r="S30" s="2534" t="s">
        <v>480</v>
      </c>
      <c r="T30" s="2534"/>
      <c r="U30" s="1656"/>
      <c r="V30" s="2548" t="str">
        <f>IF(TITLE_DATE_PR_CHANGE="",IF(TITLE_DATE_PR="","",TITLE_DATE_PR),TITLE_DATE_PR_CHANGE)</f>
        <v>45645</v>
      </c>
      <c r="W30" s="2548"/>
      <c r="X30" s="2548"/>
      <c r="Y30" s="2548"/>
      <c r="Z30" s="2548"/>
      <c r="AA30" s="2548"/>
      <c r="AB30" s="2548"/>
      <c r="AC30" s="610"/>
      <c r="AD30" s="2548" t="str">
        <f>IF(TITLE_DATE_PR_CHANGE="",IF(TITLE_DATE_PR="","",TITLE_DATE_PR),TITLE_DATE_PR_CHANGE)</f>
        <v>45645</v>
      </c>
      <c r="AE30" s="2548"/>
      <c r="AF30" s="2548"/>
      <c r="AG30" s="2548"/>
      <c r="AH30" s="2548"/>
      <c r="AI30" s="2548"/>
      <c r="AJ30" s="2548"/>
      <c r="AK30" s="610"/>
      <c r="AL30" s="4142" t="str">
        <f>IF(TITLE_DATE_PR_CHANGE="",IF(TITLE_DATE_PR="","",TITLE_DATE_PR),TITLE_DATE_PR_CHANGE)</f>
        <v>45645</v>
      </c>
      <c r="AM30" s="4142"/>
      <c r="AN30" s="4142"/>
      <c r="AO30" s="4142"/>
      <c r="AP30" s="4142"/>
      <c r="AQ30" s="4142"/>
      <c r="AR30" s="4142"/>
      <c r="AS30" s="3961"/>
      <c r="AT30" s="4142" t="str">
        <f>IF(TITLE_DATE_PR_CHANGE="",IF(TITLE_DATE_PR="","",TITLE_DATE_PR),TITLE_DATE_PR_CHANGE)</f>
        <v>45645</v>
      </c>
      <c r="AU30" s="4142"/>
      <c r="AV30" s="4142"/>
      <c r="AW30" s="4142"/>
      <c r="AX30" s="4142"/>
      <c r="AY30" s="4142"/>
      <c r="AZ30" s="4142"/>
      <c r="BA30" s="3961"/>
      <c r="BB30" s="4142" t="str">
        <f>IF(TITLE_DATE_PR_CHANGE="",IF(TITLE_DATE_PR="","",TITLE_DATE_PR),TITLE_DATE_PR_CHANGE)</f>
        <v>45645</v>
      </c>
      <c r="BC30" s="4142"/>
      <c r="BD30" s="4142"/>
      <c r="BE30" s="4142"/>
      <c r="BF30" s="4142"/>
      <c r="BG30" s="4142"/>
      <c r="BH30" s="4142"/>
      <c r="BI30" s="3961"/>
      <c r="BJ30" s="4142" t="str">
        <f>IF(TITLE_DATE_PR_CHANGE="",IF(TITLE_DATE_PR="","",TITLE_DATE_PR),TITLE_DATE_PR_CHANGE)</f>
        <v>45645</v>
      </c>
      <c r="BK30" s="4142"/>
      <c r="BL30" s="4142"/>
      <c r="BM30" s="4142"/>
      <c r="BN30" s="4142"/>
      <c r="BO30" s="4142"/>
      <c r="BP30" s="4142"/>
      <c r="BQ30" s="3961"/>
      <c r="BR30" s="4142" t="str">
        <f>IF(TITLE_DATE_PR_CHANGE="",IF(TITLE_DATE_PR="","",TITLE_DATE_PR),TITLE_DATE_PR_CHANGE)</f>
        <v>45645</v>
      </c>
      <c r="BS30" s="4142"/>
      <c r="BT30" s="4142"/>
      <c r="BU30" s="4142"/>
      <c r="BV30" s="4142"/>
      <c r="BW30" s="4142"/>
      <c r="BX30" s="4142"/>
      <c r="BY30" s="3961"/>
      <c r="BZ30" s="4142" t="str">
        <f>IF(TITLE_DATE_PR_CHANGE="",IF(TITLE_DATE_PR="","",TITLE_DATE_PR),TITLE_DATE_PR_CHANGE)</f>
        <v>45645</v>
      </c>
      <c r="CA30" s="4142"/>
      <c r="CB30" s="4142"/>
      <c r="CC30" s="4142"/>
      <c r="CD30" s="4142"/>
      <c r="CE30" s="4142"/>
      <c r="CF30" s="4142"/>
      <c r="CG30" s="3961"/>
      <c r="CH30" s="4142" t="str">
        <f>IF(TITLE_DATE_PR_CHANGE="",IF(TITLE_DATE_PR="","",TITLE_DATE_PR),TITLE_DATE_PR_CHANGE)</f>
        <v>45645</v>
      </c>
      <c r="CI30" s="4142"/>
      <c r="CJ30" s="4142"/>
      <c r="CK30" s="4142"/>
      <c r="CL30" s="4142"/>
      <c r="CM30" s="4142"/>
      <c r="CN30" s="4142"/>
      <c r="CO30" s="3961"/>
      <c r="CP30" s="4142" t="str">
        <f>IF(TITLE_DATE_PR_CHANGE="",IF(TITLE_DATE_PR="","",TITLE_DATE_PR),TITLE_DATE_PR_CHANGE)</f>
        <v>45645</v>
      </c>
      <c r="CQ30" s="4142"/>
      <c r="CR30" s="4142"/>
      <c r="CS30" s="4142"/>
      <c r="CT30" s="4142"/>
      <c r="CU30" s="4142"/>
      <c r="CV30" s="4142"/>
      <c r="CW30" s="3961"/>
      <c r="CX30" s="4142" t="str">
        <f>IF(TITLE_DATE_PR_CHANGE="",IF(TITLE_DATE_PR="","",TITLE_DATE_PR),TITLE_DATE_PR_CHANGE)</f>
        <v>45645</v>
      </c>
      <c r="CY30" s="4142"/>
      <c r="CZ30" s="4142"/>
      <c r="DA30" s="4142"/>
      <c r="DB30" s="4142"/>
      <c r="DC30" s="4142"/>
      <c r="DD30" s="4142"/>
      <c r="DE30" s="3961"/>
      <c r="DF30" s="610"/>
      <c r="DG30" s="564"/>
      <c r="DH30" s="652"/>
      <c r="DI30" s="652"/>
      <c r="DJ30" s="652"/>
      <c r="DK30" s="652"/>
      <c r="DL30" s="652"/>
      <c r="DM30" s="702">
        <v>0</v>
      </c>
    </row>
    <row s="30764" customFormat="1" customHeight="1" ht="18.75">
      <c r="A31" s="1652"/>
      <c r="B31" s="1652"/>
      <c r="C31" s="1652"/>
      <c r="D31" s="1652"/>
      <c r="E31" s="1652"/>
      <c r="F31" s="1652"/>
      <c r="G31" s="1652"/>
      <c r="H31" s="1652"/>
      <c r="I31" s="1652"/>
      <c r="J31" s="1652"/>
      <c r="K31" s="1652"/>
      <c r="L31" s="1653"/>
      <c r="M31" s="1652"/>
      <c r="N31" s="1652"/>
      <c r="O31" s="1652"/>
      <c r="S31" s="2534" t="s">
        <v>481</v>
      </c>
      <c r="T31" s="2534"/>
      <c r="U31" s="1656"/>
      <c r="V31" s="2535" t="str">
        <f>IF(TITLE_NUMBER_PR_CHANGE="",IF(TITLE_NUMBER_PR="","",TITLE_NUMBER_PR),TITLE_NUMBER_PR_CHANGE)</f>
        <v>№ 40/8</v>
      </c>
      <c r="W31" s="2535"/>
      <c r="X31" s="2535"/>
      <c r="Y31" s="2535"/>
      <c r="Z31" s="2535"/>
      <c r="AA31" s="2535"/>
      <c r="AB31" s="2535"/>
      <c r="AC31" s="610"/>
      <c r="AD31" s="2535" t="str">
        <f>IF(TITLE_NUMBER_PR_CHANGE="",IF(TITLE_NUMBER_PR="","",TITLE_NUMBER_PR),TITLE_NUMBER_PR_CHANGE)</f>
        <v>№ 40/8</v>
      </c>
      <c r="AE31" s="2535"/>
      <c r="AF31" s="2535"/>
      <c r="AG31" s="2535"/>
      <c r="AH31" s="2535"/>
      <c r="AI31" s="2535"/>
      <c r="AJ31" s="2535"/>
      <c r="AK31" s="610"/>
      <c r="AL31" s="4141" t="str">
        <f>IF(TITLE_NUMBER_PR_CHANGE="",IF(TITLE_NUMBER_PR="","",TITLE_NUMBER_PR),TITLE_NUMBER_PR_CHANGE)</f>
        <v>№ 40/8</v>
      </c>
      <c r="AM31" s="4141"/>
      <c r="AN31" s="4141"/>
      <c r="AO31" s="4141"/>
      <c r="AP31" s="4141"/>
      <c r="AQ31" s="4141"/>
      <c r="AR31" s="4141"/>
      <c r="AS31" s="3961"/>
      <c r="AT31" s="4141" t="str">
        <f>IF(TITLE_NUMBER_PR_CHANGE="",IF(TITLE_NUMBER_PR="","",TITLE_NUMBER_PR),TITLE_NUMBER_PR_CHANGE)</f>
        <v>№ 40/8</v>
      </c>
      <c r="AU31" s="4141"/>
      <c r="AV31" s="4141"/>
      <c r="AW31" s="4141"/>
      <c r="AX31" s="4141"/>
      <c r="AY31" s="4141"/>
      <c r="AZ31" s="4141"/>
      <c r="BA31" s="3961"/>
      <c r="BB31" s="4141" t="str">
        <f>IF(TITLE_NUMBER_PR_CHANGE="",IF(TITLE_NUMBER_PR="","",TITLE_NUMBER_PR),TITLE_NUMBER_PR_CHANGE)</f>
        <v>№ 40/8</v>
      </c>
      <c r="BC31" s="4141"/>
      <c r="BD31" s="4141"/>
      <c r="BE31" s="4141"/>
      <c r="BF31" s="4141"/>
      <c r="BG31" s="4141"/>
      <c r="BH31" s="4141"/>
      <c r="BI31" s="3961"/>
      <c r="BJ31" s="4141" t="str">
        <f>IF(TITLE_NUMBER_PR_CHANGE="",IF(TITLE_NUMBER_PR="","",TITLE_NUMBER_PR),TITLE_NUMBER_PR_CHANGE)</f>
        <v>№ 40/8</v>
      </c>
      <c r="BK31" s="4141"/>
      <c r="BL31" s="4141"/>
      <c r="BM31" s="4141"/>
      <c r="BN31" s="4141"/>
      <c r="BO31" s="4141"/>
      <c r="BP31" s="4141"/>
      <c r="BQ31" s="3961"/>
      <c r="BR31" s="4141" t="str">
        <f>IF(TITLE_NUMBER_PR_CHANGE="",IF(TITLE_NUMBER_PR="","",TITLE_NUMBER_PR),TITLE_NUMBER_PR_CHANGE)</f>
        <v>№ 40/8</v>
      </c>
      <c r="BS31" s="4141"/>
      <c r="BT31" s="4141"/>
      <c r="BU31" s="4141"/>
      <c r="BV31" s="4141"/>
      <c r="BW31" s="4141"/>
      <c r="BX31" s="4141"/>
      <c r="BY31" s="3961"/>
      <c r="BZ31" s="4141" t="str">
        <f>IF(TITLE_NUMBER_PR_CHANGE="",IF(TITLE_NUMBER_PR="","",TITLE_NUMBER_PR),TITLE_NUMBER_PR_CHANGE)</f>
        <v>№ 40/8</v>
      </c>
      <c r="CA31" s="4141"/>
      <c r="CB31" s="4141"/>
      <c r="CC31" s="4141"/>
      <c r="CD31" s="4141"/>
      <c r="CE31" s="4141"/>
      <c r="CF31" s="4141"/>
      <c r="CG31" s="3961"/>
      <c r="CH31" s="4141" t="str">
        <f>IF(TITLE_NUMBER_PR_CHANGE="",IF(TITLE_NUMBER_PR="","",TITLE_NUMBER_PR),TITLE_NUMBER_PR_CHANGE)</f>
        <v>№ 40/8</v>
      </c>
      <c r="CI31" s="4141"/>
      <c r="CJ31" s="4141"/>
      <c r="CK31" s="4141"/>
      <c r="CL31" s="4141"/>
      <c r="CM31" s="4141"/>
      <c r="CN31" s="4141"/>
      <c r="CO31" s="3961"/>
      <c r="CP31" s="4141" t="str">
        <f>IF(TITLE_NUMBER_PR_CHANGE="",IF(TITLE_NUMBER_PR="","",TITLE_NUMBER_PR),TITLE_NUMBER_PR_CHANGE)</f>
        <v>№ 40/8</v>
      </c>
      <c r="CQ31" s="4141"/>
      <c r="CR31" s="4141"/>
      <c r="CS31" s="4141"/>
      <c r="CT31" s="4141"/>
      <c r="CU31" s="4141"/>
      <c r="CV31" s="4141"/>
      <c r="CW31" s="3961"/>
      <c r="CX31" s="4141" t="str">
        <f>IF(TITLE_NUMBER_PR_CHANGE="",IF(TITLE_NUMBER_PR="","",TITLE_NUMBER_PR),TITLE_NUMBER_PR_CHANGE)</f>
        <v>№ 40/8</v>
      </c>
      <c r="CY31" s="4141"/>
      <c r="CZ31" s="4141"/>
      <c r="DA31" s="4141"/>
      <c r="DB31" s="4141"/>
      <c r="DC31" s="4141"/>
      <c r="DD31" s="4141"/>
      <c r="DE31" s="3961"/>
      <c r="DF31" s="610"/>
      <c r="DG31" s="564"/>
      <c r="DH31" s="652"/>
      <c r="DI31" s="652"/>
      <c r="DJ31" s="652"/>
      <c r="DK31" s="652"/>
      <c r="DL31" s="652"/>
      <c r="DM31" s="702">
        <v>0</v>
      </c>
    </row>
    <row s="30764" customFormat="1" customHeight="1" ht="18.75">
      <c r="A32" s="1652"/>
      <c r="B32" s="1652"/>
      <c r="C32" s="1652"/>
      <c r="D32" s="1652"/>
      <c r="E32" s="1652"/>
      <c r="F32" s="1652"/>
      <c r="G32" s="1652"/>
      <c r="H32" s="1652"/>
      <c r="I32" s="1652"/>
      <c r="J32" s="1652"/>
      <c r="K32" s="1652"/>
      <c r="L32" s="1653"/>
      <c r="M32" s="1652"/>
      <c r="N32" s="1652"/>
      <c r="O32" s="1652"/>
      <c r="S32" s="2534" t="s">
        <v>44</v>
      </c>
      <c r="T32" s="2534"/>
      <c r="U32" s="1656"/>
      <c r="V32" s="2535" t="str">
        <f>IF(TITLE_IST_PUB_CHANGE="",IF(TITLE_IST_PUB="","",TITLE_IST_PUB),TITLE_IST_PUB_CHANGE)</f>
        <v>Официальный интернет - портал нормативных правовых актов Хабаровского края https://laws.khv.gov.ru/</v>
      </c>
      <c r="W32" s="2535"/>
      <c r="X32" s="2535"/>
      <c r="Y32" s="2535"/>
      <c r="Z32" s="2535"/>
      <c r="AA32" s="2535"/>
      <c r="AB32" s="2535"/>
      <c r="AC32" s="610"/>
      <c r="AD32" s="2535" t="str">
        <f>IF(TITLE_IST_PUB_CHANGE="",IF(TITLE_IST_PUB="","",TITLE_IST_PUB),TITLE_IST_PUB_CHANGE)</f>
        <v>Официальный интернет - портал нормативных правовых актов Хабаровского края https://laws.khv.gov.ru/</v>
      </c>
      <c r="AE32" s="2535"/>
      <c r="AF32" s="2535"/>
      <c r="AG32" s="2535"/>
      <c r="AH32" s="2535"/>
      <c r="AI32" s="2535"/>
      <c r="AJ32" s="2535"/>
      <c r="AK32" s="610"/>
      <c r="AL32" s="4141" t="str">
        <f>IF(TITLE_IST_PUB_CHANGE="",IF(TITLE_IST_PUB="","",TITLE_IST_PUB),TITLE_IST_PUB_CHANGE)</f>
        <v>Официальный интернет - портал нормативных правовых актов Хабаровского края https://laws.khv.gov.ru/</v>
      </c>
      <c r="AM32" s="4141"/>
      <c r="AN32" s="4141"/>
      <c r="AO32" s="4141"/>
      <c r="AP32" s="4141"/>
      <c r="AQ32" s="4141"/>
      <c r="AR32" s="4141"/>
      <c r="AS32" s="3961"/>
      <c r="AT32" s="4141" t="str">
        <f>IF(TITLE_IST_PUB_CHANGE="",IF(TITLE_IST_PUB="","",TITLE_IST_PUB),TITLE_IST_PUB_CHANGE)</f>
        <v>Официальный интернет - портал нормативных правовых актов Хабаровского края https://laws.khv.gov.ru/</v>
      </c>
      <c r="AU32" s="4141"/>
      <c r="AV32" s="4141"/>
      <c r="AW32" s="4141"/>
      <c r="AX32" s="4141"/>
      <c r="AY32" s="4141"/>
      <c r="AZ32" s="4141"/>
      <c r="BA32" s="3961"/>
      <c r="BB32" s="4141" t="str">
        <f>IF(TITLE_IST_PUB_CHANGE="",IF(TITLE_IST_PUB="","",TITLE_IST_PUB),TITLE_IST_PUB_CHANGE)</f>
        <v>Официальный интернет - портал нормативных правовых актов Хабаровского края https://laws.khv.gov.ru/</v>
      </c>
      <c r="BC32" s="4141"/>
      <c r="BD32" s="4141"/>
      <c r="BE32" s="4141"/>
      <c r="BF32" s="4141"/>
      <c r="BG32" s="4141"/>
      <c r="BH32" s="4141"/>
      <c r="BI32" s="3961"/>
      <c r="BJ32" s="4141" t="str">
        <f>IF(TITLE_IST_PUB_CHANGE="",IF(TITLE_IST_PUB="","",TITLE_IST_PUB),TITLE_IST_PUB_CHANGE)</f>
        <v>Официальный интернет - портал нормативных правовых актов Хабаровского края https://laws.khv.gov.ru/</v>
      </c>
      <c r="BK32" s="4141"/>
      <c r="BL32" s="4141"/>
      <c r="BM32" s="4141"/>
      <c r="BN32" s="4141"/>
      <c r="BO32" s="4141"/>
      <c r="BP32" s="4141"/>
      <c r="BQ32" s="3961"/>
      <c r="BR32" s="4141" t="str">
        <f>IF(TITLE_IST_PUB_CHANGE="",IF(TITLE_IST_PUB="","",TITLE_IST_PUB),TITLE_IST_PUB_CHANGE)</f>
        <v>Официальный интернет - портал нормативных правовых актов Хабаровского края https://laws.khv.gov.ru/</v>
      </c>
      <c r="BS32" s="4141"/>
      <c r="BT32" s="4141"/>
      <c r="BU32" s="4141"/>
      <c r="BV32" s="4141"/>
      <c r="BW32" s="4141"/>
      <c r="BX32" s="4141"/>
      <c r="BY32" s="3961"/>
      <c r="BZ32" s="4141" t="str">
        <f>IF(TITLE_IST_PUB_CHANGE="",IF(TITLE_IST_PUB="","",TITLE_IST_PUB),TITLE_IST_PUB_CHANGE)</f>
        <v>Официальный интернет - портал нормативных правовых актов Хабаровского края https://laws.khv.gov.ru/</v>
      </c>
      <c r="CA32" s="4141"/>
      <c r="CB32" s="4141"/>
      <c r="CC32" s="4141"/>
      <c r="CD32" s="4141"/>
      <c r="CE32" s="4141"/>
      <c r="CF32" s="4141"/>
      <c r="CG32" s="3961"/>
      <c r="CH32" s="4141" t="str">
        <f>IF(TITLE_IST_PUB_CHANGE="",IF(TITLE_IST_PUB="","",TITLE_IST_PUB),TITLE_IST_PUB_CHANGE)</f>
        <v>Официальный интернет - портал нормативных правовых актов Хабаровского края https://laws.khv.gov.ru/</v>
      </c>
      <c r="CI32" s="4141"/>
      <c r="CJ32" s="4141"/>
      <c r="CK32" s="4141"/>
      <c r="CL32" s="4141"/>
      <c r="CM32" s="4141"/>
      <c r="CN32" s="4141"/>
      <c r="CO32" s="3961"/>
      <c r="CP32" s="4141" t="str">
        <f>IF(TITLE_IST_PUB_CHANGE="",IF(TITLE_IST_PUB="","",TITLE_IST_PUB),TITLE_IST_PUB_CHANGE)</f>
        <v>Официальный интернет - портал нормативных правовых актов Хабаровского края https://laws.khv.gov.ru/</v>
      </c>
      <c r="CQ32" s="4141"/>
      <c r="CR32" s="4141"/>
      <c r="CS32" s="4141"/>
      <c r="CT32" s="4141"/>
      <c r="CU32" s="4141"/>
      <c r="CV32" s="4141"/>
      <c r="CW32" s="3961"/>
      <c r="CX32" s="4141" t="str">
        <f>IF(TITLE_IST_PUB_CHANGE="",IF(TITLE_IST_PUB="","",TITLE_IST_PUB),TITLE_IST_PUB_CHANGE)</f>
        <v>Официальный интернет - портал нормативных правовых актов Хабаровского края https://laws.khv.gov.ru/</v>
      </c>
      <c r="CY32" s="4141"/>
      <c r="CZ32" s="4141"/>
      <c r="DA32" s="4141"/>
      <c r="DB32" s="4141"/>
      <c r="DC32" s="4141"/>
      <c r="DD32" s="4141"/>
      <c r="DE32" s="3961"/>
      <c r="DF32" s="610"/>
      <c r="DG32" s="564"/>
      <c r="DH32" s="652"/>
      <c r="DI32" s="652"/>
      <c r="DJ32" s="652"/>
      <c r="DK32" s="652"/>
      <c r="DL32" s="652"/>
      <c r="DM32" s="702">
        <v>0</v>
      </c>
    </row>
    <row customHeight="1" ht="14.25" hidden="1">
      <c r="Q33" s="660"/>
      <c r="R33" s="660"/>
      <c r="S33" s="1559"/>
      <c r="T33" s="647"/>
      <c r="U33" s="647"/>
      <c r="V33" s="606"/>
      <c r="W33" s="606"/>
      <c r="X33" s="606"/>
      <c r="Y33" s="606"/>
      <c r="Z33" s="606"/>
      <c r="AA33" s="606"/>
      <c r="AB33" s="606"/>
      <c r="AC33" s="606"/>
      <c r="AD33" s="606"/>
      <c r="AE33" s="606"/>
      <c r="AF33" s="606"/>
      <c r="AG33" s="606"/>
      <c r="AH33" s="606"/>
      <c r="AI33" s="606"/>
      <c r="AJ33" s="606"/>
      <c r="AK33" s="606"/>
      <c r="AL33" s="4140"/>
      <c r="AM33" s="4140"/>
      <c r="AN33" s="4140"/>
      <c r="AO33" s="4140"/>
      <c r="AP33" s="4140"/>
      <c r="AQ33" s="4140"/>
      <c r="AR33" s="4140"/>
      <c r="AS33" s="4140"/>
      <c r="AT33" s="4140"/>
      <c r="AU33" s="4140"/>
      <c r="AV33" s="4140"/>
      <c r="AW33" s="4140"/>
      <c r="AX33" s="4140"/>
      <c r="AY33" s="4140"/>
      <c r="AZ33" s="4140"/>
      <c r="BA33" s="4140"/>
      <c r="BB33" s="4140"/>
      <c r="BC33" s="4140"/>
      <c r="BD33" s="4140"/>
      <c r="BE33" s="4140"/>
      <c r="BF33" s="4140"/>
      <c r="BG33" s="4140"/>
      <c r="BH33" s="4140"/>
      <c r="BI33" s="4140"/>
      <c r="BJ33" s="4140"/>
      <c r="BK33" s="4140"/>
      <c r="BL33" s="4140"/>
      <c r="BM33" s="4140"/>
      <c r="BN33" s="4140"/>
      <c r="BO33" s="4140"/>
      <c r="BP33" s="4140"/>
      <c r="BQ33" s="4140"/>
      <c r="BR33" s="4140"/>
      <c r="BS33" s="4140"/>
      <c r="BT33" s="4140"/>
      <c r="BU33" s="4140"/>
      <c r="BV33" s="4140"/>
      <c r="BW33" s="4140"/>
      <c r="BX33" s="4140"/>
      <c r="BY33" s="4140"/>
      <c r="BZ33" s="4140"/>
      <c r="CA33" s="4140"/>
      <c r="CB33" s="4140"/>
      <c r="CC33" s="4140"/>
      <c r="CD33" s="4140"/>
      <c r="CE33" s="4140"/>
      <c r="CF33" s="4140"/>
      <c r="CG33" s="4140"/>
      <c r="CH33" s="4140"/>
      <c r="CI33" s="4140"/>
      <c r="CJ33" s="4140"/>
      <c r="CK33" s="4140"/>
      <c r="CL33" s="4140"/>
      <c r="CM33" s="4140"/>
      <c r="CN33" s="4140"/>
      <c r="CO33" s="4140"/>
      <c r="CP33" s="4140"/>
      <c r="CQ33" s="4140"/>
      <c r="CR33" s="4140"/>
      <c r="CS33" s="4140"/>
      <c r="CT33" s="4140"/>
      <c r="CU33" s="4140"/>
      <c r="CV33" s="4140"/>
      <c r="CW33" s="4140"/>
      <c r="CX33" s="4140"/>
      <c r="CY33" s="4140"/>
      <c r="CZ33" s="4140"/>
      <c r="DA33" s="4140"/>
      <c r="DB33" s="4140"/>
      <c r="DC33" s="4140"/>
      <c r="DD33" s="4140"/>
      <c r="DE33" s="4140"/>
      <c r="DF33" s="793"/>
      <c r="DM33" s="1439">
        <v>0</v>
      </c>
    </row>
    <row s="30764" customFormat="1" customHeight="1" ht="18.75" hidden="1">
      <c r="A34" s="1652"/>
      <c r="B34" s="1652"/>
      <c r="C34" s="1652"/>
      <c r="D34" s="1652"/>
      <c r="E34" s="1652"/>
      <c r="F34" s="1652"/>
      <c r="G34" s="1652"/>
      <c r="H34" s="1652"/>
      <c r="I34" s="1652"/>
      <c r="J34" s="1652"/>
      <c r="K34" s="1652"/>
      <c r="L34" s="1653"/>
      <c r="M34" s="1652"/>
      <c r="N34" s="1652"/>
      <c r="O34" s="1652"/>
      <c r="S34" s="2534" t="s">
        <v>482</v>
      </c>
      <c r="T34" s="2534"/>
      <c r="U34" s="1656"/>
      <c r="V34" s="2548" t="str">
        <f>IF(TITLE_DATE_PR_CHANGE="",IF(TITLE_DATE_PR="","",TITLE_DATE_PR),TITLE_DATE_PR_CHANGE)</f>
        <v>45645</v>
      </c>
      <c r="W34" s="2548"/>
      <c r="X34" s="2548"/>
      <c r="Y34" s="2548"/>
      <c r="Z34" s="2548"/>
      <c r="AA34" s="2548"/>
      <c r="AB34" s="2548"/>
      <c r="AC34" s="610"/>
      <c r="AD34" s="2548" t="str">
        <f>IF(TITLE_DATE_PR_CHANGE="",IF(TITLE_DATE_PR="","",TITLE_DATE_PR),TITLE_DATE_PR_CHANGE)</f>
        <v>45645</v>
      </c>
      <c r="AE34" s="2548"/>
      <c r="AF34" s="2548"/>
      <c r="AG34" s="2548"/>
      <c r="AH34" s="2548"/>
      <c r="AI34" s="2548"/>
      <c r="AJ34" s="2548"/>
      <c r="AK34" s="610"/>
      <c r="AL34" s="4142" t="str">
        <f>IF(TITLE_DATE_PR_CHANGE="",IF(TITLE_DATE_PR="","",TITLE_DATE_PR),TITLE_DATE_PR_CHANGE)</f>
        <v>45645</v>
      </c>
      <c r="AM34" s="4142"/>
      <c r="AN34" s="4142"/>
      <c r="AO34" s="4142"/>
      <c r="AP34" s="4142"/>
      <c r="AQ34" s="4142"/>
      <c r="AR34" s="4142"/>
      <c r="AS34" s="3961"/>
      <c r="AT34" s="4142" t="str">
        <f>IF(TITLE_DATE_PR_CHANGE="",IF(TITLE_DATE_PR="","",TITLE_DATE_PR),TITLE_DATE_PR_CHANGE)</f>
        <v>45645</v>
      </c>
      <c r="AU34" s="4142"/>
      <c r="AV34" s="4142"/>
      <c r="AW34" s="4142"/>
      <c r="AX34" s="4142"/>
      <c r="AY34" s="4142"/>
      <c r="AZ34" s="4142"/>
      <c r="BA34" s="3961"/>
      <c r="BB34" s="4142" t="str">
        <f>IF(TITLE_DATE_PR_CHANGE="",IF(TITLE_DATE_PR="","",TITLE_DATE_PR),TITLE_DATE_PR_CHANGE)</f>
        <v>45645</v>
      </c>
      <c r="BC34" s="4142"/>
      <c r="BD34" s="4142"/>
      <c r="BE34" s="4142"/>
      <c r="BF34" s="4142"/>
      <c r="BG34" s="4142"/>
      <c r="BH34" s="4142"/>
      <c r="BI34" s="3961"/>
      <c r="BJ34" s="4142" t="str">
        <f>IF(TITLE_DATE_PR_CHANGE="",IF(TITLE_DATE_PR="","",TITLE_DATE_PR),TITLE_DATE_PR_CHANGE)</f>
        <v>45645</v>
      </c>
      <c r="BK34" s="4142"/>
      <c r="BL34" s="4142"/>
      <c r="BM34" s="4142"/>
      <c r="BN34" s="4142"/>
      <c r="BO34" s="4142"/>
      <c r="BP34" s="4142"/>
      <c r="BQ34" s="3961"/>
      <c r="BR34" s="4142" t="str">
        <f>IF(TITLE_DATE_PR_CHANGE="",IF(TITLE_DATE_PR="","",TITLE_DATE_PR),TITLE_DATE_PR_CHANGE)</f>
        <v>45645</v>
      </c>
      <c r="BS34" s="4142"/>
      <c r="BT34" s="4142"/>
      <c r="BU34" s="4142"/>
      <c r="BV34" s="4142"/>
      <c r="BW34" s="4142"/>
      <c r="BX34" s="4142"/>
      <c r="BY34" s="3961"/>
      <c r="BZ34" s="4142" t="str">
        <f>IF(TITLE_DATE_PR_CHANGE="",IF(TITLE_DATE_PR="","",TITLE_DATE_PR),TITLE_DATE_PR_CHANGE)</f>
        <v>45645</v>
      </c>
      <c r="CA34" s="4142"/>
      <c r="CB34" s="4142"/>
      <c r="CC34" s="4142"/>
      <c r="CD34" s="4142"/>
      <c r="CE34" s="4142"/>
      <c r="CF34" s="4142"/>
      <c r="CG34" s="3961"/>
      <c r="CH34" s="4142" t="str">
        <f>IF(TITLE_DATE_PR_CHANGE="",IF(TITLE_DATE_PR="","",TITLE_DATE_PR),TITLE_DATE_PR_CHANGE)</f>
        <v>45645</v>
      </c>
      <c r="CI34" s="4142"/>
      <c r="CJ34" s="4142"/>
      <c r="CK34" s="4142"/>
      <c r="CL34" s="4142"/>
      <c r="CM34" s="4142"/>
      <c r="CN34" s="4142"/>
      <c r="CO34" s="3961"/>
      <c r="CP34" s="4142" t="str">
        <f>IF(TITLE_DATE_PR_CHANGE="",IF(TITLE_DATE_PR="","",TITLE_DATE_PR),TITLE_DATE_PR_CHANGE)</f>
        <v>45645</v>
      </c>
      <c r="CQ34" s="4142"/>
      <c r="CR34" s="4142"/>
      <c r="CS34" s="4142"/>
      <c r="CT34" s="4142"/>
      <c r="CU34" s="4142"/>
      <c r="CV34" s="4142"/>
      <c r="CW34" s="3961"/>
      <c r="CX34" s="4142" t="str">
        <f>IF(TITLE_DATE_PR_CHANGE="",IF(TITLE_DATE_PR="","",TITLE_DATE_PR),TITLE_DATE_PR_CHANGE)</f>
        <v>45645</v>
      </c>
      <c r="CY34" s="4142"/>
      <c r="CZ34" s="4142"/>
      <c r="DA34" s="4142"/>
      <c r="DB34" s="4142"/>
      <c r="DC34" s="4142"/>
      <c r="DD34" s="4142"/>
      <c r="DE34" s="3961"/>
      <c r="DF34" s="610"/>
      <c r="DG34" s="564"/>
      <c r="DH34" s="652"/>
      <c r="DI34" s="652"/>
      <c r="DJ34" s="652"/>
      <c r="DK34" s="652"/>
      <c r="DL34" s="652"/>
      <c r="DM34" s="702">
        <v>0</v>
      </c>
    </row>
    <row s="30764" customFormat="1" customHeight="1" ht="18.75" hidden="1">
      <c r="A35" s="1652"/>
      <c r="B35" s="1652"/>
      <c r="C35" s="1652"/>
      <c r="D35" s="1652"/>
      <c r="E35" s="1652"/>
      <c r="F35" s="1652"/>
      <c r="G35" s="1652"/>
      <c r="H35" s="1652"/>
      <c r="I35" s="1652"/>
      <c r="J35" s="1652"/>
      <c r="K35" s="1652"/>
      <c r="L35" s="1653"/>
      <c r="M35" s="1652"/>
      <c r="N35" s="1652"/>
      <c r="O35" s="1652"/>
      <c r="S35" s="2534" t="s">
        <v>483</v>
      </c>
      <c r="T35" s="2534"/>
      <c r="U35" s="1656"/>
      <c r="V35" s="2535" t="str">
        <f>IF(TITLE_NUMBER_PR_CHANGE="",IF(TITLE_NUMBER_PR="","",TITLE_NUMBER_PR),TITLE_NUMBER_PR_CHANGE)</f>
        <v>№ 40/8</v>
      </c>
      <c r="W35" s="2535"/>
      <c r="X35" s="2535"/>
      <c r="Y35" s="2535"/>
      <c r="Z35" s="2535"/>
      <c r="AA35" s="2535"/>
      <c r="AB35" s="2535"/>
      <c r="AC35" s="610"/>
      <c r="AD35" s="2535" t="str">
        <f>IF(TITLE_NUMBER_PR_CHANGE="",IF(TITLE_NUMBER_PR="","",TITLE_NUMBER_PR),TITLE_NUMBER_PR_CHANGE)</f>
        <v>№ 40/8</v>
      </c>
      <c r="AE35" s="2535"/>
      <c r="AF35" s="2535"/>
      <c r="AG35" s="2535"/>
      <c r="AH35" s="2535"/>
      <c r="AI35" s="2535"/>
      <c r="AJ35" s="2535"/>
      <c r="AK35" s="610"/>
      <c r="AL35" s="4141" t="str">
        <f>IF(TITLE_NUMBER_PR_CHANGE="",IF(TITLE_NUMBER_PR="","",TITLE_NUMBER_PR),TITLE_NUMBER_PR_CHANGE)</f>
        <v>№ 40/8</v>
      </c>
      <c r="AM35" s="4141"/>
      <c r="AN35" s="4141"/>
      <c r="AO35" s="4141"/>
      <c r="AP35" s="4141"/>
      <c r="AQ35" s="4141"/>
      <c r="AR35" s="4141"/>
      <c r="AS35" s="3961"/>
      <c r="AT35" s="4141" t="str">
        <f>IF(TITLE_NUMBER_PR_CHANGE="",IF(TITLE_NUMBER_PR="","",TITLE_NUMBER_PR),TITLE_NUMBER_PR_CHANGE)</f>
        <v>№ 40/8</v>
      </c>
      <c r="AU35" s="4141"/>
      <c r="AV35" s="4141"/>
      <c r="AW35" s="4141"/>
      <c r="AX35" s="4141"/>
      <c r="AY35" s="4141"/>
      <c r="AZ35" s="4141"/>
      <c r="BA35" s="3961"/>
      <c r="BB35" s="4141" t="str">
        <f>IF(TITLE_NUMBER_PR_CHANGE="",IF(TITLE_NUMBER_PR="","",TITLE_NUMBER_PR),TITLE_NUMBER_PR_CHANGE)</f>
        <v>№ 40/8</v>
      </c>
      <c r="BC35" s="4141"/>
      <c r="BD35" s="4141"/>
      <c r="BE35" s="4141"/>
      <c r="BF35" s="4141"/>
      <c r="BG35" s="4141"/>
      <c r="BH35" s="4141"/>
      <c r="BI35" s="3961"/>
      <c r="BJ35" s="4141" t="str">
        <f>IF(TITLE_NUMBER_PR_CHANGE="",IF(TITLE_NUMBER_PR="","",TITLE_NUMBER_PR),TITLE_NUMBER_PR_CHANGE)</f>
        <v>№ 40/8</v>
      </c>
      <c r="BK35" s="4141"/>
      <c r="BL35" s="4141"/>
      <c r="BM35" s="4141"/>
      <c r="BN35" s="4141"/>
      <c r="BO35" s="4141"/>
      <c r="BP35" s="4141"/>
      <c r="BQ35" s="3961"/>
      <c r="BR35" s="4141" t="str">
        <f>IF(TITLE_NUMBER_PR_CHANGE="",IF(TITLE_NUMBER_PR="","",TITLE_NUMBER_PR),TITLE_NUMBER_PR_CHANGE)</f>
        <v>№ 40/8</v>
      </c>
      <c r="BS35" s="4141"/>
      <c r="BT35" s="4141"/>
      <c r="BU35" s="4141"/>
      <c r="BV35" s="4141"/>
      <c r="BW35" s="4141"/>
      <c r="BX35" s="4141"/>
      <c r="BY35" s="3961"/>
      <c r="BZ35" s="4141" t="str">
        <f>IF(TITLE_NUMBER_PR_CHANGE="",IF(TITLE_NUMBER_PR="","",TITLE_NUMBER_PR),TITLE_NUMBER_PR_CHANGE)</f>
        <v>№ 40/8</v>
      </c>
      <c r="CA35" s="4141"/>
      <c r="CB35" s="4141"/>
      <c r="CC35" s="4141"/>
      <c r="CD35" s="4141"/>
      <c r="CE35" s="4141"/>
      <c r="CF35" s="4141"/>
      <c r="CG35" s="3961"/>
      <c r="CH35" s="4141" t="str">
        <f>IF(TITLE_NUMBER_PR_CHANGE="",IF(TITLE_NUMBER_PR="","",TITLE_NUMBER_PR),TITLE_NUMBER_PR_CHANGE)</f>
        <v>№ 40/8</v>
      </c>
      <c r="CI35" s="4141"/>
      <c r="CJ35" s="4141"/>
      <c r="CK35" s="4141"/>
      <c r="CL35" s="4141"/>
      <c r="CM35" s="4141"/>
      <c r="CN35" s="4141"/>
      <c r="CO35" s="3961"/>
      <c r="CP35" s="4141" t="str">
        <f>IF(TITLE_NUMBER_PR_CHANGE="",IF(TITLE_NUMBER_PR="","",TITLE_NUMBER_PR),TITLE_NUMBER_PR_CHANGE)</f>
        <v>№ 40/8</v>
      </c>
      <c r="CQ35" s="4141"/>
      <c r="CR35" s="4141"/>
      <c r="CS35" s="4141"/>
      <c r="CT35" s="4141"/>
      <c r="CU35" s="4141"/>
      <c r="CV35" s="4141"/>
      <c r="CW35" s="3961"/>
      <c r="CX35" s="4141" t="str">
        <f>IF(TITLE_NUMBER_PR_CHANGE="",IF(TITLE_NUMBER_PR="","",TITLE_NUMBER_PR),TITLE_NUMBER_PR_CHANGE)</f>
        <v>№ 40/8</v>
      </c>
      <c r="CY35" s="4141"/>
      <c r="CZ35" s="4141"/>
      <c r="DA35" s="4141"/>
      <c r="DB35" s="4141"/>
      <c r="DC35" s="4141"/>
      <c r="DD35" s="4141"/>
      <c r="DE35" s="3961"/>
      <c r="DF35" s="610"/>
      <c r="DG35" s="564"/>
      <c r="DH35" s="652"/>
      <c r="DI35" s="652"/>
      <c r="DJ35" s="652"/>
      <c r="DK35" s="652"/>
      <c r="DL35" s="652"/>
      <c r="DM35" s="702">
        <v>0</v>
      </c>
    </row>
    <row s="30764" customFormat="1" customHeight="1" ht="0">
      <c r="A36" s="1652"/>
      <c r="B36" s="1652"/>
      <c r="C36" s="1652"/>
      <c r="D36" s="1652"/>
      <c r="E36" s="1652"/>
      <c r="F36" s="1652"/>
      <c r="G36" s="1652"/>
      <c r="H36" s="1652"/>
      <c r="I36" s="1652"/>
      <c r="J36" s="1652"/>
      <c r="K36" s="1652"/>
      <c r="L36" s="1653"/>
      <c r="M36" s="1652"/>
      <c r="N36" s="1652"/>
      <c r="O36" s="1652"/>
      <c r="S36" s="607"/>
      <c r="T36" s="607"/>
      <c r="U36" s="1624"/>
      <c r="V36" s="610"/>
      <c r="W36" s="610"/>
      <c r="X36" s="610"/>
      <c r="Y36" s="610"/>
      <c r="Z36" s="610"/>
      <c r="AA36" s="610"/>
      <c r="AB36" s="610"/>
      <c r="AC36" s="562" t="s">
        <v>484</v>
      </c>
      <c r="AD36" s="610"/>
      <c r="AE36" s="610"/>
      <c r="AF36" s="610"/>
      <c r="AG36" s="610"/>
      <c r="AH36" s="610"/>
      <c r="AI36" s="610"/>
      <c r="AJ36" s="610"/>
      <c r="AK36" s="562" t="s">
        <v>484</v>
      </c>
      <c r="AL36" s="3961"/>
      <c r="AM36" s="3961"/>
      <c r="AN36" s="3961"/>
      <c r="AO36" s="3961"/>
      <c r="AP36" s="3961"/>
      <c r="AQ36" s="3961"/>
      <c r="AR36" s="3961"/>
      <c r="AS36" s="4143" t="s">
        <v>484</v>
      </c>
      <c r="AT36" s="3961"/>
      <c r="AU36" s="3961"/>
      <c r="AV36" s="3961"/>
      <c r="AW36" s="3961"/>
      <c r="AX36" s="3961"/>
      <c r="AY36" s="3961"/>
      <c r="AZ36" s="3961"/>
      <c r="BA36" s="4143" t="s">
        <v>484</v>
      </c>
      <c r="BB36" s="3961"/>
      <c r="BC36" s="3961"/>
      <c r="BD36" s="3961"/>
      <c r="BE36" s="3961"/>
      <c r="BF36" s="3961"/>
      <c r="BG36" s="3961"/>
      <c r="BH36" s="3961"/>
      <c r="BI36" s="4143" t="s">
        <v>484</v>
      </c>
      <c r="BJ36" s="3961"/>
      <c r="BK36" s="3961"/>
      <c r="BL36" s="3961"/>
      <c r="BM36" s="3961"/>
      <c r="BN36" s="3961"/>
      <c r="BO36" s="3961"/>
      <c r="BP36" s="3961"/>
      <c r="BQ36" s="4143" t="s">
        <v>484</v>
      </c>
      <c r="BR36" s="3961"/>
      <c r="BS36" s="3961"/>
      <c r="BT36" s="3961"/>
      <c r="BU36" s="3961"/>
      <c r="BV36" s="3961"/>
      <c r="BW36" s="3961"/>
      <c r="BX36" s="3961"/>
      <c r="BY36" s="4143" t="s">
        <v>484</v>
      </c>
      <c r="BZ36" s="3961"/>
      <c r="CA36" s="3961"/>
      <c r="CB36" s="3961"/>
      <c r="CC36" s="3961"/>
      <c r="CD36" s="3961"/>
      <c r="CE36" s="3961"/>
      <c r="CF36" s="3961"/>
      <c r="CG36" s="4143" t="s">
        <v>484</v>
      </c>
      <c r="CH36" s="3961"/>
      <c r="CI36" s="3961"/>
      <c r="CJ36" s="3961"/>
      <c r="CK36" s="3961"/>
      <c r="CL36" s="3961"/>
      <c r="CM36" s="3961"/>
      <c r="CN36" s="3961"/>
      <c r="CO36" s="4143" t="s">
        <v>484</v>
      </c>
      <c r="CP36" s="3961"/>
      <c r="CQ36" s="3961"/>
      <c r="CR36" s="3961"/>
      <c r="CS36" s="3961"/>
      <c r="CT36" s="3961"/>
      <c r="CU36" s="3961"/>
      <c r="CV36" s="3961"/>
      <c r="CW36" s="4143" t="s">
        <v>484</v>
      </c>
      <c r="CX36" s="3961"/>
      <c r="CY36" s="3961"/>
      <c r="CZ36" s="3961"/>
      <c r="DA36" s="3961"/>
      <c r="DB36" s="3961"/>
      <c r="DC36" s="3961"/>
      <c r="DD36" s="3961"/>
      <c r="DE36" s="4143" t="s">
        <v>484</v>
      </c>
      <c r="DH36" s="652"/>
      <c r="DI36" s="652"/>
      <c r="DJ36" s="652"/>
      <c r="DK36" s="652"/>
      <c r="DL36" s="652"/>
      <c r="DM36" s="702">
        <v>0</v>
      </c>
    </row>
    <row customHeight="1" ht="14.699999999999998">
      <c r="Q37" s="660"/>
      <c r="R37" s="660"/>
      <c r="S37" s="1559"/>
      <c r="T37" s="647"/>
      <c r="U37" s="1528"/>
      <c r="V37" s="2536"/>
      <c r="W37" s="2536"/>
      <c r="X37" s="2536"/>
      <c r="Y37" s="2536"/>
      <c r="Z37" s="2536"/>
      <c r="AA37" s="2536"/>
      <c r="AB37" s="2536"/>
      <c r="AC37" s="2536"/>
      <c r="AD37" s="2536"/>
      <c r="AE37" s="2536"/>
      <c r="AF37" s="2536"/>
      <c r="AG37" s="2536"/>
      <c r="AH37" s="2536"/>
      <c r="AI37" s="2536"/>
      <c r="AJ37" s="2536"/>
      <c r="AK37" s="2536"/>
      <c r="AL37" s="4144" t="s">
        <v>106</v>
      </c>
      <c r="AM37" s="4144"/>
      <c r="AN37" s="4144"/>
      <c r="AO37" s="4144"/>
      <c r="AP37" s="4144"/>
      <c r="AQ37" s="4144"/>
      <c r="AR37" s="4144"/>
      <c r="AS37" s="4144"/>
      <c r="AT37" s="4144" t="s">
        <v>106</v>
      </c>
      <c r="AU37" s="4144"/>
      <c r="AV37" s="4144"/>
      <c r="AW37" s="4144"/>
      <c r="AX37" s="4144"/>
      <c r="AY37" s="4144"/>
      <c r="AZ37" s="4144"/>
      <c r="BA37" s="4144"/>
      <c r="BB37" s="4144" t="s">
        <v>106</v>
      </c>
      <c r="BC37" s="4144"/>
      <c r="BD37" s="4144"/>
      <c r="BE37" s="4144"/>
      <c r="BF37" s="4144"/>
      <c r="BG37" s="4144"/>
      <c r="BH37" s="4144"/>
      <c r="BI37" s="4144"/>
      <c r="BJ37" s="4144" t="s">
        <v>106</v>
      </c>
      <c r="BK37" s="4144"/>
      <c r="BL37" s="4144"/>
      <c r="BM37" s="4144"/>
      <c r="BN37" s="4144"/>
      <c r="BO37" s="4144"/>
      <c r="BP37" s="4144"/>
      <c r="BQ37" s="4144"/>
      <c r="BR37" s="4144" t="s">
        <v>106</v>
      </c>
      <c r="BS37" s="4144"/>
      <c r="BT37" s="4144"/>
      <c r="BU37" s="4144"/>
      <c r="BV37" s="4144"/>
      <c r="BW37" s="4144"/>
      <c r="BX37" s="4144"/>
      <c r="BY37" s="4144"/>
      <c r="BZ37" s="4144" t="s">
        <v>106</v>
      </c>
      <c r="CA37" s="4144"/>
      <c r="CB37" s="4144"/>
      <c r="CC37" s="4144"/>
      <c r="CD37" s="4144"/>
      <c r="CE37" s="4144"/>
      <c r="CF37" s="4144"/>
      <c r="CG37" s="4144"/>
      <c r="CH37" s="4144" t="s">
        <v>106</v>
      </c>
      <c r="CI37" s="4144"/>
      <c r="CJ37" s="4144"/>
      <c r="CK37" s="4144"/>
      <c r="CL37" s="4144"/>
      <c r="CM37" s="4144"/>
      <c r="CN37" s="4144"/>
      <c r="CO37" s="4144"/>
      <c r="CP37" s="4144" t="s">
        <v>106</v>
      </c>
      <c r="CQ37" s="4144"/>
      <c r="CR37" s="4144"/>
      <c r="CS37" s="4144"/>
      <c r="CT37" s="4144"/>
      <c r="CU37" s="4144"/>
      <c r="CV37" s="4144"/>
      <c r="CW37" s="4144"/>
      <c r="CX37" s="4144" t="s">
        <v>106</v>
      </c>
      <c r="CY37" s="4144"/>
      <c r="CZ37" s="4144"/>
      <c r="DA37" s="4144"/>
      <c r="DB37" s="4144"/>
      <c r="DC37" s="4144"/>
      <c r="DD37" s="4144"/>
      <c r="DE37" s="4144"/>
      <c r="DM37" s="1439">
        <v>14</v>
      </c>
    </row>
    <row customHeight="1" ht="15">
      <c r="Q38" s="660"/>
      <c r="R38" s="660"/>
      <c r="S38" s="2411" t="s">
        <v>360</v>
      </c>
      <c r="T38" s="2411"/>
      <c r="U38" s="2411"/>
      <c r="V38" s="2411"/>
      <c r="W38" s="2411"/>
      <c r="X38" s="2411"/>
      <c r="Y38" s="2411"/>
      <c r="Z38" s="2411"/>
      <c r="AA38" s="2411"/>
      <c r="AB38" s="2411"/>
      <c r="AC38" s="2411"/>
      <c r="AD38" s="2411"/>
      <c r="AE38" s="2411"/>
      <c r="AF38" s="2411"/>
      <c r="AG38" s="2411"/>
      <c r="AH38" s="2411"/>
      <c r="AI38" s="2411"/>
      <c r="AJ38" s="2411"/>
      <c r="AK38" s="2411"/>
      <c r="AL38" s="4145" t="s">
        <v>360</v>
      </c>
      <c r="AM38" s="4145"/>
      <c r="AN38" s="4145"/>
      <c r="AO38" s="4145"/>
      <c r="AP38" s="4145"/>
      <c r="AQ38" s="4145"/>
      <c r="AR38" s="4145"/>
      <c r="AS38" s="4145"/>
      <c r="AT38" s="4145" t="s">
        <v>360</v>
      </c>
      <c r="AU38" s="4145"/>
      <c r="AV38" s="4145"/>
      <c r="AW38" s="4145"/>
      <c r="AX38" s="4145"/>
      <c r="AY38" s="4145"/>
      <c r="AZ38" s="4145"/>
      <c r="BA38" s="4145"/>
      <c r="BB38" s="4145" t="s">
        <v>360</v>
      </c>
      <c r="BC38" s="4145"/>
      <c r="BD38" s="4145"/>
      <c r="BE38" s="4145"/>
      <c r="BF38" s="4145"/>
      <c r="BG38" s="4145"/>
      <c r="BH38" s="4145"/>
      <c r="BI38" s="4145"/>
      <c r="BJ38" s="4145" t="s">
        <v>360</v>
      </c>
      <c r="BK38" s="4145"/>
      <c r="BL38" s="4145"/>
      <c r="BM38" s="4145"/>
      <c r="BN38" s="4145"/>
      <c r="BO38" s="4145"/>
      <c r="BP38" s="4145"/>
      <c r="BQ38" s="4145"/>
      <c r="BR38" s="4145" t="s">
        <v>360</v>
      </c>
      <c r="BS38" s="4145"/>
      <c r="BT38" s="4145"/>
      <c r="BU38" s="4145"/>
      <c r="BV38" s="4145"/>
      <c r="BW38" s="4145"/>
      <c r="BX38" s="4145"/>
      <c r="BY38" s="4145"/>
      <c r="BZ38" s="4145" t="s">
        <v>360</v>
      </c>
      <c r="CA38" s="4145"/>
      <c r="CB38" s="4145"/>
      <c r="CC38" s="4145"/>
      <c r="CD38" s="4145"/>
      <c r="CE38" s="4145"/>
      <c r="CF38" s="4145"/>
      <c r="CG38" s="4145"/>
      <c r="CH38" s="4145" t="s">
        <v>360</v>
      </c>
      <c r="CI38" s="4145"/>
      <c r="CJ38" s="4145"/>
      <c r="CK38" s="4145"/>
      <c r="CL38" s="4145"/>
      <c r="CM38" s="4145"/>
      <c r="CN38" s="4145"/>
      <c r="CO38" s="4145"/>
      <c r="CP38" s="4145" t="s">
        <v>360</v>
      </c>
      <c r="CQ38" s="4145"/>
      <c r="CR38" s="4145"/>
      <c r="CS38" s="4145"/>
      <c r="CT38" s="4145"/>
      <c r="CU38" s="4145"/>
      <c r="CV38" s="4145"/>
      <c r="CW38" s="4145"/>
      <c r="CX38" s="4145" t="s">
        <v>360</v>
      </c>
      <c r="CY38" s="4145"/>
      <c r="CZ38" s="4145"/>
      <c r="DA38" s="4145"/>
      <c r="DB38" s="4145"/>
      <c r="DC38" s="4145"/>
      <c r="DD38" s="4145"/>
      <c r="DE38" s="4145"/>
      <c r="DF38" s="2411"/>
      <c r="DG38" s="2411"/>
      <c r="DM38" s="1439"/>
    </row>
    <row customHeight="1" ht="14.699999999999998">
      <c r="Q39" s="660"/>
      <c r="R39" s="660"/>
      <c r="S39" s="2557" t="s">
        <v>91</v>
      </c>
      <c r="T39" s="2493" t="s">
        <v>485</v>
      </c>
      <c r="U39" s="585"/>
      <c r="V39" s="2558" t="s">
        <v>486</v>
      </c>
      <c r="W39" s="2559"/>
      <c r="X39" s="2559"/>
      <c r="Y39" s="2559"/>
      <c r="Z39" s="2559"/>
      <c r="AA39" s="2559"/>
      <c r="AB39" s="2560"/>
      <c r="AC39" s="2561" t="s">
        <v>487</v>
      </c>
      <c r="AD39" s="2558" t="s">
        <v>486</v>
      </c>
      <c r="AE39" s="2559"/>
      <c r="AF39" s="2559"/>
      <c r="AG39" s="2559"/>
      <c r="AH39" s="2559"/>
      <c r="AI39" s="2559"/>
      <c r="AJ39" s="2560"/>
      <c r="AK39" s="2561" t="s">
        <v>488</v>
      </c>
      <c r="AL39" s="4146" t="s">
        <v>486</v>
      </c>
      <c r="AM39" s="4147"/>
      <c r="AN39" s="4147"/>
      <c r="AO39" s="4147"/>
      <c r="AP39" s="4147"/>
      <c r="AQ39" s="4147"/>
      <c r="AR39" s="4148"/>
      <c r="AS39" s="4149" t="s">
        <v>487</v>
      </c>
      <c r="AT39" s="4146" t="s">
        <v>486</v>
      </c>
      <c r="AU39" s="4147"/>
      <c r="AV39" s="4147"/>
      <c r="AW39" s="4147"/>
      <c r="AX39" s="4147"/>
      <c r="AY39" s="4147"/>
      <c r="AZ39" s="4148"/>
      <c r="BA39" s="4149" t="s">
        <v>487</v>
      </c>
      <c r="BB39" s="4146" t="s">
        <v>486</v>
      </c>
      <c r="BC39" s="4147"/>
      <c r="BD39" s="4147"/>
      <c r="BE39" s="4147"/>
      <c r="BF39" s="4147"/>
      <c r="BG39" s="4147"/>
      <c r="BH39" s="4148"/>
      <c r="BI39" s="4149" t="s">
        <v>487</v>
      </c>
      <c r="BJ39" s="4146" t="s">
        <v>486</v>
      </c>
      <c r="BK39" s="4147"/>
      <c r="BL39" s="4147"/>
      <c r="BM39" s="4147"/>
      <c r="BN39" s="4147"/>
      <c r="BO39" s="4147"/>
      <c r="BP39" s="4148"/>
      <c r="BQ39" s="4149" t="s">
        <v>487</v>
      </c>
      <c r="BR39" s="4146" t="s">
        <v>486</v>
      </c>
      <c r="BS39" s="4147"/>
      <c r="BT39" s="4147"/>
      <c r="BU39" s="4147"/>
      <c r="BV39" s="4147"/>
      <c r="BW39" s="4147"/>
      <c r="BX39" s="4148"/>
      <c r="BY39" s="4149" t="s">
        <v>487</v>
      </c>
      <c r="BZ39" s="4146" t="s">
        <v>486</v>
      </c>
      <c r="CA39" s="4147"/>
      <c r="CB39" s="4147"/>
      <c r="CC39" s="4147"/>
      <c r="CD39" s="4147"/>
      <c r="CE39" s="4147"/>
      <c r="CF39" s="4148"/>
      <c r="CG39" s="4149" t="s">
        <v>487</v>
      </c>
      <c r="CH39" s="4146" t="s">
        <v>486</v>
      </c>
      <c r="CI39" s="4147"/>
      <c r="CJ39" s="4147"/>
      <c r="CK39" s="4147"/>
      <c r="CL39" s="4147"/>
      <c r="CM39" s="4147"/>
      <c r="CN39" s="4148"/>
      <c r="CO39" s="4149" t="s">
        <v>487</v>
      </c>
      <c r="CP39" s="4146" t="s">
        <v>486</v>
      </c>
      <c r="CQ39" s="4147"/>
      <c r="CR39" s="4147"/>
      <c r="CS39" s="4147"/>
      <c r="CT39" s="4147"/>
      <c r="CU39" s="4147"/>
      <c r="CV39" s="4148"/>
      <c r="CW39" s="4149" t="s">
        <v>487</v>
      </c>
      <c r="CX39" s="4146" t="s">
        <v>486</v>
      </c>
      <c r="CY39" s="4147"/>
      <c r="CZ39" s="4147"/>
      <c r="DA39" s="4147"/>
      <c r="DB39" s="4147"/>
      <c r="DC39" s="4147"/>
      <c r="DD39" s="4148"/>
      <c r="DE39" s="4149" t="s">
        <v>487</v>
      </c>
      <c r="DF39" s="2564" t="s">
        <v>489</v>
      </c>
      <c r="DG39" s="2411"/>
      <c r="DM39" s="1439">
        <v>14</v>
      </c>
    </row>
    <row customHeight="1" ht="35.699999999999996">
      <c r="Q40" s="660"/>
      <c r="R40" s="660"/>
      <c r="S40" s="2557"/>
      <c r="T40" s="2493"/>
      <c r="U40" s="1315"/>
      <c r="V40" s="2544" t="s">
        <v>490</v>
      </c>
      <c r="W40" s="2567"/>
      <c r="X40" s="2546" t="s">
        <v>492</v>
      </c>
      <c r="Y40" s="2547"/>
      <c r="Z40" s="2546" t="s">
        <v>493</v>
      </c>
      <c r="AA40" s="2553"/>
      <c r="AB40" s="2547"/>
      <c r="AC40" s="2562"/>
      <c r="AD40" s="2544" t="s">
        <v>506</v>
      </c>
      <c r="AE40" s="2567"/>
      <c r="AF40" s="2546" t="s">
        <v>492</v>
      </c>
      <c r="AG40" s="2547"/>
      <c r="AH40" s="2546" t="s">
        <v>493</v>
      </c>
      <c r="AI40" s="2553"/>
      <c r="AJ40" s="2547"/>
      <c r="AK40" s="2562"/>
      <c r="AL40" s="4150" t="s">
        <v>490</v>
      </c>
      <c r="AM40" s="4151"/>
      <c r="AN40" s="4152" t="s">
        <v>492</v>
      </c>
      <c r="AO40" s="4153"/>
      <c r="AP40" s="4152" t="s">
        <v>493</v>
      </c>
      <c r="AQ40" s="4154"/>
      <c r="AR40" s="4153"/>
      <c r="AS40" s="4155"/>
      <c r="AT40" s="4150" t="s">
        <v>490</v>
      </c>
      <c r="AU40" s="4151"/>
      <c r="AV40" s="4152" t="s">
        <v>492</v>
      </c>
      <c r="AW40" s="4153"/>
      <c r="AX40" s="4152" t="s">
        <v>493</v>
      </c>
      <c r="AY40" s="4154"/>
      <c r="AZ40" s="4153"/>
      <c r="BA40" s="4155"/>
      <c r="BB40" s="4150" t="s">
        <v>490</v>
      </c>
      <c r="BC40" s="4151"/>
      <c r="BD40" s="4152" t="s">
        <v>492</v>
      </c>
      <c r="BE40" s="4153"/>
      <c r="BF40" s="4152" t="s">
        <v>493</v>
      </c>
      <c r="BG40" s="4154"/>
      <c r="BH40" s="4153"/>
      <c r="BI40" s="4155"/>
      <c r="BJ40" s="4150" t="s">
        <v>490</v>
      </c>
      <c r="BK40" s="4151"/>
      <c r="BL40" s="4152" t="s">
        <v>492</v>
      </c>
      <c r="BM40" s="4153"/>
      <c r="BN40" s="4152" t="s">
        <v>493</v>
      </c>
      <c r="BO40" s="4154"/>
      <c r="BP40" s="4153"/>
      <c r="BQ40" s="4155"/>
      <c r="BR40" s="4150" t="s">
        <v>490</v>
      </c>
      <c r="BS40" s="4151"/>
      <c r="BT40" s="4152" t="s">
        <v>492</v>
      </c>
      <c r="BU40" s="4153"/>
      <c r="BV40" s="4152" t="s">
        <v>493</v>
      </c>
      <c r="BW40" s="4154"/>
      <c r="BX40" s="4153"/>
      <c r="BY40" s="4155"/>
      <c r="BZ40" s="4150" t="s">
        <v>490</v>
      </c>
      <c r="CA40" s="4151"/>
      <c r="CB40" s="4152" t="s">
        <v>492</v>
      </c>
      <c r="CC40" s="4153"/>
      <c r="CD40" s="4152" t="s">
        <v>493</v>
      </c>
      <c r="CE40" s="4154"/>
      <c r="CF40" s="4153"/>
      <c r="CG40" s="4155"/>
      <c r="CH40" s="4150" t="s">
        <v>490</v>
      </c>
      <c r="CI40" s="4151"/>
      <c r="CJ40" s="4152" t="s">
        <v>492</v>
      </c>
      <c r="CK40" s="4153"/>
      <c r="CL40" s="4152" t="s">
        <v>493</v>
      </c>
      <c r="CM40" s="4154"/>
      <c r="CN40" s="4153"/>
      <c r="CO40" s="4155"/>
      <c r="CP40" s="4150" t="s">
        <v>490</v>
      </c>
      <c r="CQ40" s="4151"/>
      <c r="CR40" s="4152" t="s">
        <v>492</v>
      </c>
      <c r="CS40" s="4153"/>
      <c r="CT40" s="4152" t="s">
        <v>493</v>
      </c>
      <c r="CU40" s="4154"/>
      <c r="CV40" s="4153"/>
      <c r="CW40" s="4155"/>
      <c r="CX40" s="4150" t="s">
        <v>490</v>
      </c>
      <c r="CY40" s="4151"/>
      <c r="CZ40" s="4152" t="s">
        <v>492</v>
      </c>
      <c r="DA40" s="4153"/>
      <c r="DB40" s="4152" t="s">
        <v>493</v>
      </c>
      <c r="DC40" s="4154"/>
      <c r="DD40" s="4153"/>
      <c r="DE40" s="4155"/>
      <c r="DF40" s="2565"/>
      <c r="DG40" s="2411"/>
      <c r="DM40" s="1439">
        <v>34</v>
      </c>
    </row>
    <row customHeight="1" ht="35.699999999999996">
      <c r="A41" s="1654"/>
      <c r="B41" s="1654" t="s">
        <v>165</v>
      </c>
      <c r="C41" s="1654" t="s">
        <v>166</v>
      </c>
      <c r="D41" s="1654" t="s">
        <v>167</v>
      </c>
      <c r="E41" s="1648" t="s">
        <v>494</v>
      </c>
      <c r="F41" s="1648" t="s">
        <v>495</v>
      </c>
      <c r="G41" s="1648" t="s">
        <v>496</v>
      </c>
      <c r="H41" s="1648" t="s">
        <v>497</v>
      </c>
      <c r="I41" s="1648" t="s">
        <v>498</v>
      </c>
      <c r="J41" s="1648" t="s">
        <v>499</v>
      </c>
      <c r="K41" s="1648" t="s">
        <v>500</v>
      </c>
      <c r="L41" s="1648" t="s">
        <v>475</v>
      </c>
      <c r="Q41" s="660"/>
      <c r="R41" s="660"/>
      <c r="S41" s="2557"/>
      <c r="T41" s="2493"/>
      <c r="U41" s="586"/>
      <c r="V41" s="2545"/>
      <c r="W41" s="2568"/>
      <c r="X41" s="1506" t="s">
        <v>501</v>
      </c>
      <c r="Y41" s="1506" t="s">
        <v>502</v>
      </c>
      <c r="Z41" s="1622" t="s">
        <v>503</v>
      </c>
      <c r="AA41" s="2554" t="s">
        <v>504</v>
      </c>
      <c r="AB41" s="2555"/>
      <c r="AC41" s="2563"/>
      <c r="AD41" s="2545"/>
      <c r="AE41" s="2568"/>
      <c r="AF41" s="1506" t="s">
        <v>501</v>
      </c>
      <c r="AG41" s="1506" t="s">
        <v>502</v>
      </c>
      <c r="AH41" s="1622" t="s">
        <v>503</v>
      </c>
      <c r="AI41" s="2554" t="s">
        <v>504</v>
      </c>
      <c r="AJ41" s="2555"/>
      <c r="AK41" s="2563"/>
      <c r="AL41" s="4156"/>
      <c r="AM41" s="4157"/>
      <c r="AN41" s="4158" t="s">
        <v>501</v>
      </c>
      <c r="AO41" s="4158" t="s">
        <v>502</v>
      </c>
      <c r="AP41" s="4158" t="s">
        <v>503</v>
      </c>
      <c r="AQ41" s="4159" t="s">
        <v>504</v>
      </c>
      <c r="AR41" s="4160"/>
      <c r="AS41" s="4161"/>
      <c r="AT41" s="4156"/>
      <c r="AU41" s="4157"/>
      <c r="AV41" s="4158" t="s">
        <v>501</v>
      </c>
      <c r="AW41" s="4158" t="s">
        <v>502</v>
      </c>
      <c r="AX41" s="4158" t="s">
        <v>503</v>
      </c>
      <c r="AY41" s="4159" t="s">
        <v>504</v>
      </c>
      <c r="AZ41" s="4160"/>
      <c r="BA41" s="4161"/>
      <c r="BB41" s="4156"/>
      <c r="BC41" s="4157"/>
      <c r="BD41" s="4158" t="s">
        <v>501</v>
      </c>
      <c r="BE41" s="4158" t="s">
        <v>502</v>
      </c>
      <c r="BF41" s="4158" t="s">
        <v>503</v>
      </c>
      <c r="BG41" s="4159" t="s">
        <v>504</v>
      </c>
      <c r="BH41" s="4160"/>
      <c r="BI41" s="4161"/>
      <c r="BJ41" s="4156"/>
      <c r="BK41" s="4157"/>
      <c r="BL41" s="4158" t="s">
        <v>501</v>
      </c>
      <c r="BM41" s="4158" t="s">
        <v>502</v>
      </c>
      <c r="BN41" s="4158" t="s">
        <v>503</v>
      </c>
      <c r="BO41" s="4159" t="s">
        <v>504</v>
      </c>
      <c r="BP41" s="4160"/>
      <c r="BQ41" s="4161"/>
      <c r="BR41" s="4156"/>
      <c r="BS41" s="4157"/>
      <c r="BT41" s="4158" t="s">
        <v>501</v>
      </c>
      <c r="BU41" s="4158" t="s">
        <v>502</v>
      </c>
      <c r="BV41" s="4158" t="s">
        <v>503</v>
      </c>
      <c r="BW41" s="4159" t="s">
        <v>504</v>
      </c>
      <c r="BX41" s="4160"/>
      <c r="BY41" s="4161"/>
      <c r="BZ41" s="4156"/>
      <c r="CA41" s="4157"/>
      <c r="CB41" s="4158" t="s">
        <v>501</v>
      </c>
      <c r="CC41" s="4158" t="s">
        <v>502</v>
      </c>
      <c r="CD41" s="4158" t="s">
        <v>503</v>
      </c>
      <c r="CE41" s="4159" t="s">
        <v>504</v>
      </c>
      <c r="CF41" s="4160"/>
      <c r="CG41" s="4161"/>
      <c r="CH41" s="4156"/>
      <c r="CI41" s="4157"/>
      <c r="CJ41" s="4158" t="s">
        <v>501</v>
      </c>
      <c r="CK41" s="4158" t="s">
        <v>502</v>
      </c>
      <c r="CL41" s="4158" t="s">
        <v>503</v>
      </c>
      <c r="CM41" s="4159" t="s">
        <v>504</v>
      </c>
      <c r="CN41" s="4160"/>
      <c r="CO41" s="4161"/>
      <c r="CP41" s="4156"/>
      <c r="CQ41" s="4157"/>
      <c r="CR41" s="4158" t="s">
        <v>501</v>
      </c>
      <c r="CS41" s="4158" t="s">
        <v>502</v>
      </c>
      <c r="CT41" s="4158" t="s">
        <v>503</v>
      </c>
      <c r="CU41" s="4159" t="s">
        <v>504</v>
      </c>
      <c r="CV41" s="4160"/>
      <c r="CW41" s="4161"/>
      <c r="CX41" s="4156"/>
      <c r="CY41" s="4157"/>
      <c r="CZ41" s="4158" t="s">
        <v>501</v>
      </c>
      <c r="DA41" s="4158" t="s">
        <v>502</v>
      </c>
      <c r="DB41" s="4158" t="s">
        <v>503</v>
      </c>
      <c r="DC41" s="4159" t="s">
        <v>504</v>
      </c>
      <c r="DD41" s="4160"/>
      <c r="DE41" s="4161"/>
      <c r="DF41" s="2566"/>
      <c r="DG41" s="2411"/>
      <c r="DM41" s="1439">
        <v>34</v>
      </c>
    </row>
    <row s="31261" customFormat="1" customHeight="1" ht="11.25" hidden="1">
      <c r="A42" s="1654"/>
      <c r="B42" s="1654"/>
      <c r="C42" s="1654"/>
      <c r="D42" s="1654"/>
      <c r="E42" s="1654"/>
      <c r="F42" s="1654"/>
      <c r="G42" s="1654"/>
      <c r="H42" s="1654"/>
      <c r="I42" s="1654"/>
      <c r="J42" s="1654"/>
      <c r="K42" s="1654"/>
      <c r="L42" s="1648"/>
      <c r="M42" s="1646"/>
      <c r="N42" s="1646"/>
      <c r="O42" s="1646"/>
      <c r="P42" s="1530"/>
      <c r="Q42" s="1531"/>
      <c r="R42" s="1538">
        <v>1</v>
      </c>
      <c r="S42" s="1561" t="s">
        <v>141</v>
      </c>
      <c r="T42" s="1539" t="s">
        <v>105</v>
      </c>
      <c r="U42" s="1529" t="str">
        <f>OFFSET(U42,0,-1)</f>
        <v>2</v>
      </c>
      <c r="V42" s="1619">
        <f>OFFSET(V42,0,-1)+1</f>
        <v>3</v>
      </c>
      <c r="W42" s="1619"/>
      <c r="X42" s="1619">
        <f>OFFSET(X42,0,-1)+1</f>
        <v>1</v>
      </c>
      <c r="Y42" s="1619">
        <f>OFFSET(Y42,0,-1)+1</f>
        <v>2</v>
      </c>
      <c r="Z42" s="1619">
        <f>OFFSET(Z42,0,-1)+1</f>
        <v>3</v>
      </c>
      <c r="AA42" s="2556">
        <f>OFFSET(AA42,0,-1)+1</f>
        <v>4</v>
      </c>
      <c r="AB42" s="2556"/>
      <c r="AC42" s="1619">
        <f>OFFSET(AC42,0,-2)+1</f>
        <v>5</v>
      </c>
      <c r="AD42" s="1619">
        <f>OFFSET(AD42,0,-1)+1</f>
        <v>6</v>
      </c>
      <c r="AE42" s="1619"/>
      <c r="AF42" s="1619">
        <f>OFFSET(AF42,0,-1)+1</f>
        <v>1</v>
      </c>
      <c r="AG42" s="1619">
        <f>OFFSET(AG42,0,-1)+1</f>
        <v>2</v>
      </c>
      <c r="AH42" s="1619">
        <f>OFFSET(AH42,0,-1)+1</f>
        <v>3</v>
      </c>
      <c r="AI42" s="2556">
        <f>OFFSET(AI42,0,-1)+1</f>
        <v>4</v>
      </c>
      <c r="AJ42" s="2556"/>
      <c r="AK42" s="1619">
        <f>OFFSET(AK42,0,-2)+1</f>
        <v>5</v>
      </c>
      <c r="AL42" s="4162">
        <f>OFFSET(AL42,0,-1)+1</f>
        <v>6</v>
      </c>
      <c r="AM42" s="4162"/>
      <c r="AN42" s="4162">
        <f>OFFSET(AN42,0,-1)+1</f>
        <v>1</v>
      </c>
      <c r="AO42" s="4162">
        <f>OFFSET(AO42,0,-1)+1</f>
        <v>2</v>
      </c>
      <c r="AP42" s="4162">
        <f>OFFSET(AP42,0,-1)+1</f>
        <v>3</v>
      </c>
      <c r="AQ42" s="4162">
        <f>OFFSET(AQ42,0,-1)+1</f>
        <v>4</v>
      </c>
      <c r="AR42" s="4162"/>
      <c r="AS42" s="4162">
        <f>OFFSET(AS42,0,-2)+1</f>
        <v>5</v>
      </c>
      <c r="AT42" s="4162">
        <f>OFFSET(AT42,0,-1)+1</f>
        <v>6</v>
      </c>
      <c r="AU42" s="4162"/>
      <c r="AV42" s="4162">
        <f>OFFSET(AV42,0,-1)+1</f>
        <v>1</v>
      </c>
      <c r="AW42" s="4162">
        <f>OFFSET(AW42,0,-1)+1</f>
        <v>2</v>
      </c>
      <c r="AX42" s="4162">
        <f>OFFSET(AX42,0,-1)+1</f>
        <v>3</v>
      </c>
      <c r="AY42" s="4162">
        <f>OFFSET(AY42,0,-1)+1</f>
        <v>4</v>
      </c>
      <c r="AZ42" s="4162"/>
      <c r="BA42" s="4162">
        <f>OFFSET(BA42,0,-2)+1</f>
        <v>5</v>
      </c>
      <c r="BB42" s="4162">
        <f>OFFSET(BB42,0,-1)+1</f>
        <v>6</v>
      </c>
      <c r="BC42" s="4162"/>
      <c r="BD42" s="4162">
        <f>OFFSET(BD42,0,-1)+1</f>
        <v>1</v>
      </c>
      <c r="BE42" s="4162">
        <f>OFFSET(BE42,0,-1)+1</f>
        <v>2</v>
      </c>
      <c r="BF42" s="4162">
        <f>OFFSET(BF42,0,-1)+1</f>
        <v>3</v>
      </c>
      <c r="BG42" s="4162">
        <f>OFFSET(BG42,0,-1)+1</f>
        <v>4</v>
      </c>
      <c r="BH42" s="4162"/>
      <c r="BI42" s="4162">
        <f>OFFSET(BI42,0,-2)+1</f>
        <v>5</v>
      </c>
      <c r="BJ42" s="4162">
        <f>OFFSET(BJ42,0,-1)+1</f>
        <v>6</v>
      </c>
      <c r="BK42" s="4162"/>
      <c r="BL42" s="4162">
        <f>OFFSET(BL42,0,-1)+1</f>
        <v>1</v>
      </c>
      <c r="BM42" s="4162">
        <f>OFFSET(BM42,0,-1)+1</f>
        <v>2</v>
      </c>
      <c r="BN42" s="4162">
        <f>OFFSET(BN42,0,-1)+1</f>
        <v>3</v>
      </c>
      <c r="BO42" s="4162">
        <f>OFFSET(BO42,0,-1)+1</f>
        <v>4</v>
      </c>
      <c r="BP42" s="4162"/>
      <c r="BQ42" s="4162">
        <f>OFFSET(BQ42,0,-2)+1</f>
        <v>5</v>
      </c>
      <c r="BR42" s="4162">
        <f>OFFSET(BR42,0,-1)+1</f>
        <v>6</v>
      </c>
      <c r="BS42" s="4162"/>
      <c r="BT42" s="4162">
        <f>OFFSET(BT42,0,-1)+1</f>
        <v>1</v>
      </c>
      <c r="BU42" s="4162">
        <f>OFFSET(BU42,0,-1)+1</f>
        <v>2</v>
      </c>
      <c r="BV42" s="4162">
        <f>OFFSET(BV42,0,-1)+1</f>
        <v>3</v>
      </c>
      <c r="BW42" s="4162">
        <f>OFFSET(BW42,0,-1)+1</f>
        <v>4</v>
      </c>
      <c r="BX42" s="4162"/>
      <c r="BY42" s="4162">
        <f>OFFSET(BY42,0,-2)+1</f>
        <v>5</v>
      </c>
      <c r="BZ42" s="4162">
        <f>OFFSET(BZ42,0,-1)+1</f>
        <v>6</v>
      </c>
      <c r="CA42" s="4162"/>
      <c r="CB42" s="4162">
        <f>OFFSET(CB42,0,-1)+1</f>
        <v>1</v>
      </c>
      <c r="CC42" s="4162">
        <f>OFFSET(CC42,0,-1)+1</f>
        <v>2</v>
      </c>
      <c r="CD42" s="4162">
        <f>OFFSET(CD42,0,-1)+1</f>
        <v>3</v>
      </c>
      <c r="CE42" s="4162">
        <f>OFFSET(CE42,0,-1)+1</f>
        <v>4</v>
      </c>
      <c r="CF42" s="4162"/>
      <c r="CG42" s="4162">
        <f>OFFSET(CG42,0,-2)+1</f>
        <v>5</v>
      </c>
      <c r="CH42" s="4162">
        <f>OFFSET(CH42,0,-1)+1</f>
        <v>6</v>
      </c>
      <c r="CI42" s="4162"/>
      <c r="CJ42" s="4162">
        <f>OFFSET(CJ42,0,-1)+1</f>
        <v>1</v>
      </c>
      <c r="CK42" s="4162">
        <f>OFFSET(CK42,0,-1)+1</f>
        <v>2</v>
      </c>
      <c r="CL42" s="4162">
        <f>OFFSET(CL42,0,-1)+1</f>
        <v>3</v>
      </c>
      <c r="CM42" s="4162">
        <f>OFFSET(CM42,0,-1)+1</f>
        <v>4</v>
      </c>
      <c r="CN42" s="4162"/>
      <c r="CO42" s="4162">
        <f>OFFSET(CO42,0,-2)+1</f>
        <v>5</v>
      </c>
      <c r="CP42" s="4162">
        <f>OFFSET(CP42,0,-1)+1</f>
        <v>6</v>
      </c>
      <c r="CQ42" s="4162"/>
      <c r="CR42" s="4162">
        <f>OFFSET(CR42,0,-1)+1</f>
        <v>1</v>
      </c>
      <c r="CS42" s="4162">
        <f>OFFSET(CS42,0,-1)+1</f>
        <v>2</v>
      </c>
      <c r="CT42" s="4162">
        <f>OFFSET(CT42,0,-1)+1</f>
        <v>3</v>
      </c>
      <c r="CU42" s="4162">
        <f>OFFSET(CU42,0,-1)+1</f>
        <v>4</v>
      </c>
      <c r="CV42" s="4162"/>
      <c r="CW42" s="4162">
        <f>OFFSET(CW42,0,-2)+1</f>
        <v>5</v>
      </c>
      <c r="CX42" s="4162">
        <f>OFFSET(CX42,0,-1)+1</f>
        <v>6</v>
      </c>
      <c r="CY42" s="4162"/>
      <c r="CZ42" s="4162">
        <f>OFFSET(CZ42,0,-1)+1</f>
        <v>1</v>
      </c>
      <c r="DA42" s="4162">
        <f>OFFSET(DA42,0,-1)+1</f>
        <v>2</v>
      </c>
      <c r="DB42" s="4162">
        <f>OFFSET(DB42,0,-1)+1</f>
        <v>3</v>
      </c>
      <c r="DC42" s="4162">
        <f>OFFSET(DC42,0,-1)+1</f>
        <v>4</v>
      </c>
      <c r="DD42" s="4162"/>
      <c r="DE42" s="4162">
        <f>OFFSET(DE42,0,-2)+1</f>
        <v>5</v>
      </c>
      <c r="DF42" s="1529">
        <f>OFFSET(DF42,0,-1)</f>
        <v>5</v>
      </c>
      <c r="DG42" s="1619">
        <f>OFFSET(DG42,0,-1)+1</f>
        <v>6</v>
      </c>
      <c r="DH42" s="795"/>
      <c r="DI42" s="795"/>
      <c r="DJ42" s="795"/>
      <c r="DK42" s="795"/>
      <c r="DL42" s="795"/>
      <c r="DM42" s="780">
        <v>0</v>
      </c>
    </row>
    <row customHeight="1" ht="22.049999999999997">
      <c r="A43" s="1647" t="s">
        <v>198</v>
      </c>
      <c r="B43" s="1647"/>
      <c r="C43" s="1647"/>
      <c r="D43" s="1647"/>
      <c r="E43" s="2542">
        <v>1</v>
      </c>
      <c r="F43" s="1647"/>
      <c r="G43" s="1647"/>
      <c r="H43" s="1647"/>
      <c r="I43" s="1647"/>
      <c r="J43" s="1647"/>
      <c r="K43" s="1647"/>
      <c r="L43" s="1648"/>
      <c r="M43" s="1649"/>
      <c r="N43" s="1649"/>
      <c r="O43" s="1649"/>
      <c r="P43" s="645"/>
      <c r="Q43" s="644"/>
      <c r="R43" s="639"/>
      <c r="S43" s="1620">
        <f>INDEX(PT_DIFFERENTIATION_NUM_NTAR,MATCH(A43,PT_DIFFERENTIATION_NTAR_ID,0))</f>
        <v>0</v>
      </c>
      <c r="T43" s="582" t="s">
        <v>153</v>
      </c>
      <c r="U43" s="584"/>
      <c r="V43" s="2526"/>
      <c r="W43" s="2527"/>
      <c r="X43" s="2527"/>
      <c r="Y43" s="2527"/>
      <c r="Z43" s="2527"/>
      <c r="AA43" s="2527"/>
      <c r="AB43" s="2527"/>
      <c r="AC43" s="2528"/>
      <c r="AD43" s="2526" t="str">
        <f>INDEX(PT_DIFFERENTIATION_NTAR,MATCH(A43,PT_DIFFERENTIATION_NTAR_ID,0))</f>
        <v/>
      </c>
      <c r="AE43" s="2527"/>
      <c r="AF43" s="2527"/>
      <c r="AG43" s="2527"/>
      <c r="AH43" s="2527"/>
      <c r="AI43" s="2527"/>
      <c r="AJ43" s="2527"/>
      <c r="AK43" s="2527"/>
      <c r="AL43" s="3962"/>
      <c r="AM43" s="3963"/>
      <c r="AN43" s="3963"/>
      <c r="AO43" s="3963"/>
      <c r="AP43" s="3963"/>
      <c r="AQ43" s="3963"/>
      <c r="AR43" s="3963"/>
      <c r="AS43" s="3964"/>
      <c r="AT43" s="3962"/>
      <c r="AU43" s="3963"/>
      <c r="AV43" s="3963"/>
      <c r="AW43" s="3963"/>
      <c r="AX43" s="3963"/>
      <c r="AY43" s="3963"/>
      <c r="AZ43" s="3963"/>
      <c r="BA43" s="3964"/>
      <c r="BB43" s="3962"/>
      <c r="BC43" s="3963"/>
      <c r="BD43" s="3963"/>
      <c r="BE43" s="3963"/>
      <c r="BF43" s="3963"/>
      <c r="BG43" s="3963"/>
      <c r="BH43" s="3963"/>
      <c r="BI43" s="3964"/>
      <c r="BJ43" s="3962"/>
      <c r="BK43" s="3963"/>
      <c r="BL43" s="3963"/>
      <c r="BM43" s="3963"/>
      <c r="BN43" s="3963"/>
      <c r="BO43" s="3963"/>
      <c r="BP43" s="3963"/>
      <c r="BQ43" s="3964"/>
      <c r="BR43" s="3962"/>
      <c r="BS43" s="3963"/>
      <c r="BT43" s="3963"/>
      <c r="BU43" s="3963"/>
      <c r="BV43" s="3963"/>
      <c r="BW43" s="3963"/>
      <c r="BX43" s="3963"/>
      <c r="BY43" s="3964"/>
      <c r="BZ43" s="3962"/>
      <c r="CA43" s="3963"/>
      <c r="CB43" s="3963"/>
      <c r="CC43" s="3963"/>
      <c r="CD43" s="3963"/>
      <c r="CE43" s="3963"/>
      <c r="CF43" s="3963"/>
      <c r="CG43" s="3964"/>
      <c r="CH43" s="3962"/>
      <c r="CI43" s="3963"/>
      <c r="CJ43" s="3963"/>
      <c r="CK43" s="3963"/>
      <c r="CL43" s="3963"/>
      <c r="CM43" s="3963"/>
      <c r="CN43" s="3963"/>
      <c r="CO43" s="3964"/>
      <c r="CP43" s="3962"/>
      <c r="CQ43" s="3963"/>
      <c r="CR43" s="3963"/>
      <c r="CS43" s="3963"/>
      <c r="CT43" s="3963"/>
      <c r="CU43" s="3963"/>
      <c r="CV43" s="3963"/>
      <c r="CW43" s="3964"/>
      <c r="CX43" s="3962"/>
      <c r="CY43" s="3963"/>
      <c r="CZ43" s="3963"/>
      <c r="DA43" s="3963"/>
      <c r="DB43" s="3963"/>
      <c r="DC43" s="3963"/>
      <c r="DD43" s="3963"/>
      <c r="DE43" s="3964"/>
      <c r="DF43" s="2528"/>
      <c r="DG43" s="154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784"/>
      <c r="DJ43" s="784" t="str">
        <f>IF(T43="","",T43)</f>
        <v>Наименование тарифа</v>
      </c>
      <c r="DK43" s="784"/>
      <c r="DL43" s="784"/>
      <c r="DM43" s="1439">
        <v>21</v>
      </c>
    </row>
    <row customHeight="1" ht="22.049999999999997">
      <c r="A44" s="1647" t="s">
        <v>198</v>
      </c>
      <c r="B44" s="1647" t="s">
        <v>199</v>
      </c>
      <c r="C44" s="1647"/>
      <c r="D44" s="1647"/>
      <c r="E44" s="2543"/>
      <c r="F44" s="2542">
        <v>1</v>
      </c>
      <c r="G44" s="1647"/>
      <c r="H44" s="1647"/>
      <c r="I44" s="1647"/>
      <c r="J44" s="1647"/>
      <c r="K44" s="1647"/>
      <c r="L44" s="1648"/>
      <c r="M44" s="1649"/>
      <c r="N44" s="1649"/>
      <c r="O44" s="1649"/>
      <c r="P44" s="1616"/>
      <c r="Q44" s="636"/>
      <c r="R44" s="637"/>
      <c r="S44" s="1620" t="str">
        <f>INDEX(PT_DIFFERENTIATION_NUM_TER,MATCH(B44,PT_DIFFERENTIATION_TER_ID,0))</f>
        <v>.</v>
      </c>
      <c r="T44" s="592" t="s">
        <v>457</v>
      </c>
      <c r="U44" s="584"/>
      <c r="V44" s="2526"/>
      <c r="W44" s="2527"/>
      <c r="X44" s="2527"/>
      <c r="Y44" s="2527"/>
      <c r="Z44" s="2527"/>
      <c r="AA44" s="2527"/>
      <c r="AB44" s="2527"/>
      <c r="AC44" s="2528"/>
      <c r="AD44" s="2526" t="str">
        <f>INDEX(PT_DIFFERENTIATION_TER,MATCH(B44,PT_DIFFERENTIATION_TER_ID,0))</f>
        <v/>
      </c>
      <c r="AE44" s="2527"/>
      <c r="AF44" s="2527"/>
      <c r="AG44" s="2527"/>
      <c r="AH44" s="2527"/>
      <c r="AI44" s="2527"/>
      <c r="AJ44" s="2527"/>
      <c r="AK44" s="2527"/>
      <c r="AL44" s="3962"/>
      <c r="AM44" s="3963"/>
      <c r="AN44" s="3963"/>
      <c r="AO44" s="3963"/>
      <c r="AP44" s="3963"/>
      <c r="AQ44" s="3963"/>
      <c r="AR44" s="3963"/>
      <c r="AS44" s="3964"/>
      <c r="AT44" s="3962"/>
      <c r="AU44" s="3963"/>
      <c r="AV44" s="3963"/>
      <c r="AW44" s="3963"/>
      <c r="AX44" s="3963"/>
      <c r="AY44" s="3963"/>
      <c r="AZ44" s="3963"/>
      <c r="BA44" s="3964"/>
      <c r="BB44" s="3962"/>
      <c r="BC44" s="3963"/>
      <c r="BD44" s="3963"/>
      <c r="BE44" s="3963"/>
      <c r="BF44" s="3963"/>
      <c r="BG44" s="3963"/>
      <c r="BH44" s="3963"/>
      <c r="BI44" s="3964"/>
      <c r="BJ44" s="3962"/>
      <c r="BK44" s="3963"/>
      <c r="BL44" s="3963"/>
      <c r="BM44" s="3963"/>
      <c r="BN44" s="3963"/>
      <c r="BO44" s="3963"/>
      <c r="BP44" s="3963"/>
      <c r="BQ44" s="3964"/>
      <c r="BR44" s="3962"/>
      <c r="BS44" s="3963"/>
      <c r="BT44" s="3963"/>
      <c r="BU44" s="3963"/>
      <c r="BV44" s="3963"/>
      <c r="BW44" s="3963"/>
      <c r="BX44" s="3963"/>
      <c r="BY44" s="3964"/>
      <c r="BZ44" s="3962"/>
      <c r="CA44" s="3963"/>
      <c r="CB44" s="3963"/>
      <c r="CC44" s="3963"/>
      <c r="CD44" s="3963"/>
      <c r="CE44" s="3963"/>
      <c r="CF44" s="3963"/>
      <c r="CG44" s="3964"/>
      <c r="CH44" s="3962"/>
      <c r="CI44" s="3963"/>
      <c r="CJ44" s="3963"/>
      <c r="CK44" s="3963"/>
      <c r="CL44" s="3963"/>
      <c r="CM44" s="3963"/>
      <c r="CN44" s="3963"/>
      <c r="CO44" s="3964"/>
      <c r="CP44" s="3962"/>
      <c r="CQ44" s="3963"/>
      <c r="CR44" s="3963"/>
      <c r="CS44" s="3963"/>
      <c r="CT44" s="3963"/>
      <c r="CU44" s="3963"/>
      <c r="CV44" s="3963"/>
      <c r="CW44" s="3964"/>
      <c r="CX44" s="3962"/>
      <c r="CY44" s="3963"/>
      <c r="CZ44" s="3963"/>
      <c r="DA44" s="3963"/>
      <c r="DB44" s="3963"/>
      <c r="DC44" s="3963"/>
      <c r="DD44" s="3963"/>
      <c r="DE44" s="3964"/>
      <c r="DF44" s="2528"/>
      <c r="DG44" s="1542" t="s">
        <v>458</v>
      </c>
      <c r="DI44" s="784"/>
      <c r="DJ44" s="784" t="str">
        <f>IF(T44="","",T44)</f>
        <v>Территория действия тарифа</v>
      </c>
      <c r="DK44" s="784"/>
      <c r="DL44" s="784"/>
      <c r="DM44" s="1439">
        <v>21</v>
      </c>
    </row>
    <row customHeight="1" ht="24">
      <c r="A45" s="1647" t="s">
        <v>198</v>
      </c>
      <c r="B45" s="1647" t="s">
        <v>199</v>
      </c>
      <c r="C45" s="1647" t="s">
        <v>200</v>
      </c>
      <c r="D45" s="1647"/>
      <c r="E45" s="2543"/>
      <c r="F45" s="2543"/>
      <c r="G45" s="2542">
        <v>1</v>
      </c>
      <c r="H45" s="1647"/>
      <c r="I45" s="1647"/>
      <c r="J45" s="1647"/>
      <c r="K45" s="1647"/>
      <c r="L45" s="1648"/>
      <c r="M45" s="1649"/>
      <c r="N45" s="1649"/>
      <c r="O45" s="1649"/>
      <c r="P45" s="638"/>
      <c r="Q45" s="636"/>
      <c r="R45" s="637"/>
      <c r="S45" s="1620" t="str">
        <f>INDEX(PT_DIFFERENTIATION_NUM_CS,MATCH(C45,PT_DIFFERENTIATION_CS_ID,0))</f>
        <v>..</v>
      </c>
      <c r="T45" s="593" t="s">
        <v>459</v>
      </c>
      <c r="U45" s="584"/>
      <c r="V45" s="2526"/>
      <c r="W45" s="2527"/>
      <c r="X45" s="2527"/>
      <c r="Y45" s="2527"/>
      <c r="Z45" s="2527"/>
      <c r="AA45" s="2527"/>
      <c r="AB45" s="2527"/>
      <c r="AC45" s="2528"/>
      <c r="AD45" s="2526" t="str">
        <f>INDEX(PT_DIFFERENTIATION_CS,MATCH(C45,PT_DIFFERENTIATION_CS_ID,0))</f>
        <v/>
      </c>
      <c r="AE45" s="2527"/>
      <c r="AF45" s="2527"/>
      <c r="AG45" s="2527"/>
      <c r="AH45" s="2527"/>
      <c r="AI45" s="2527"/>
      <c r="AJ45" s="2527"/>
      <c r="AK45" s="2527"/>
      <c r="AL45" s="3962"/>
      <c r="AM45" s="3963"/>
      <c r="AN45" s="3963"/>
      <c r="AO45" s="3963"/>
      <c r="AP45" s="3963"/>
      <c r="AQ45" s="3963"/>
      <c r="AR45" s="3963"/>
      <c r="AS45" s="3964"/>
      <c r="AT45" s="3962"/>
      <c r="AU45" s="3963"/>
      <c r="AV45" s="3963"/>
      <c r="AW45" s="3963"/>
      <c r="AX45" s="3963"/>
      <c r="AY45" s="3963"/>
      <c r="AZ45" s="3963"/>
      <c r="BA45" s="3964"/>
      <c r="BB45" s="3962"/>
      <c r="BC45" s="3963"/>
      <c r="BD45" s="3963"/>
      <c r="BE45" s="3963"/>
      <c r="BF45" s="3963"/>
      <c r="BG45" s="3963"/>
      <c r="BH45" s="3963"/>
      <c r="BI45" s="3964"/>
      <c r="BJ45" s="3962"/>
      <c r="BK45" s="3963"/>
      <c r="BL45" s="3963"/>
      <c r="BM45" s="3963"/>
      <c r="BN45" s="3963"/>
      <c r="BO45" s="3963"/>
      <c r="BP45" s="3963"/>
      <c r="BQ45" s="3964"/>
      <c r="BR45" s="3962"/>
      <c r="BS45" s="3963"/>
      <c r="BT45" s="3963"/>
      <c r="BU45" s="3963"/>
      <c r="BV45" s="3963"/>
      <c r="BW45" s="3963"/>
      <c r="BX45" s="3963"/>
      <c r="BY45" s="3964"/>
      <c r="BZ45" s="3962"/>
      <c r="CA45" s="3963"/>
      <c r="CB45" s="3963"/>
      <c r="CC45" s="3963"/>
      <c r="CD45" s="3963"/>
      <c r="CE45" s="3963"/>
      <c r="CF45" s="3963"/>
      <c r="CG45" s="3964"/>
      <c r="CH45" s="3962"/>
      <c r="CI45" s="3963"/>
      <c r="CJ45" s="3963"/>
      <c r="CK45" s="3963"/>
      <c r="CL45" s="3963"/>
      <c r="CM45" s="3963"/>
      <c r="CN45" s="3963"/>
      <c r="CO45" s="3964"/>
      <c r="CP45" s="3962"/>
      <c r="CQ45" s="3963"/>
      <c r="CR45" s="3963"/>
      <c r="CS45" s="3963"/>
      <c r="CT45" s="3963"/>
      <c r="CU45" s="3963"/>
      <c r="CV45" s="3963"/>
      <c r="CW45" s="3964"/>
      <c r="CX45" s="3962"/>
      <c r="CY45" s="3963"/>
      <c r="CZ45" s="3963"/>
      <c r="DA45" s="3963"/>
      <c r="DB45" s="3963"/>
      <c r="DC45" s="3963"/>
      <c r="DD45" s="3963"/>
      <c r="DE45" s="3964"/>
      <c r="DF45" s="2528"/>
      <c r="DG45" s="1542" t="s">
        <v>460</v>
      </c>
      <c r="DI45" s="784"/>
      <c r="DJ45" s="784" t="str">
        <f>IF(T45="","",T45)</f>
        <v>Наименование системы теплоснабжения </v>
      </c>
      <c r="DK45" s="784"/>
      <c r="DL45" s="784"/>
      <c r="DM45" s="1439">
        <v>23</v>
      </c>
    </row>
    <row customHeight="1" ht="22.049999999999997">
      <c r="A46" s="1647" t="s">
        <v>198</v>
      </c>
      <c r="B46" s="1647" t="s">
        <v>199</v>
      </c>
      <c r="C46" s="1647" t="s">
        <v>200</v>
      </c>
      <c r="D46" s="1647" t="s">
        <v>201</v>
      </c>
      <c r="E46" s="2543"/>
      <c r="F46" s="2543"/>
      <c r="G46" s="2543"/>
      <c r="H46" s="2542">
        <v>1</v>
      </c>
      <c r="I46" s="1647"/>
      <c r="J46" s="1647"/>
      <c r="K46" s="1647"/>
      <c r="L46" s="1648"/>
      <c r="M46" s="1649"/>
      <c r="N46" s="1649"/>
      <c r="O46" s="1649"/>
      <c r="P46" s="638"/>
      <c r="Q46" s="636"/>
      <c r="R46" s="637"/>
      <c r="S46" s="1620" t="str">
        <f>INDEX(PT_DIFFERENTIATION_NUM_IST_TE,MATCH(D46,PT_DIFFERENTIATION_IST_TE_ID,0))</f>
        <v>...</v>
      </c>
      <c r="T46" s="594" t="s">
        <v>461</v>
      </c>
      <c r="U46" s="584"/>
      <c r="V46" s="2526"/>
      <c r="W46" s="2527"/>
      <c r="X46" s="2527"/>
      <c r="Y46" s="2527"/>
      <c r="Z46" s="2527"/>
      <c r="AA46" s="2527"/>
      <c r="AB46" s="2527"/>
      <c r="AC46" s="2528"/>
      <c r="AD46" s="2526" t="str">
        <f>INDEX(PT_DIFFERENTIATION_IST_TE,MATCH(D46,PT_DIFFERENTIATION_IST_TE_ID,0))</f>
        <v/>
      </c>
      <c r="AE46" s="2527"/>
      <c r="AF46" s="2527"/>
      <c r="AG46" s="2527"/>
      <c r="AH46" s="2527"/>
      <c r="AI46" s="2527"/>
      <c r="AJ46" s="2527"/>
      <c r="AK46" s="2527"/>
      <c r="AL46" s="3962"/>
      <c r="AM46" s="3963"/>
      <c r="AN46" s="3963"/>
      <c r="AO46" s="3963"/>
      <c r="AP46" s="3963"/>
      <c r="AQ46" s="3963"/>
      <c r="AR46" s="3963"/>
      <c r="AS46" s="3964"/>
      <c r="AT46" s="3962"/>
      <c r="AU46" s="3963"/>
      <c r="AV46" s="3963"/>
      <c r="AW46" s="3963"/>
      <c r="AX46" s="3963"/>
      <c r="AY46" s="3963"/>
      <c r="AZ46" s="3963"/>
      <c r="BA46" s="3964"/>
      <c r="BB46" s="3962"/>
      <c r="BC46" s="3963"/>
      <c r="BD46" s="3963"/>
      <c r="BE46" s="3963"/>
      <c r="BF46" s="3963"/>
      <c r="BG46" s="3963"/>
      <c r="BH46" s="3963"/>
      <c r="BI46" s="3964"/>
      <c r="BJ46" s="3962"/>
      <c r="BK46" s="3963"/>
      <c r="BL46" s="3963"/>
      <c r="BM46" s="3963"/>
      <c r="BN46" s="3963"/>
      <c r="BO46" s="3963"/>
      <c r="BP46" s="3963"/>
      <c r="BQ46" s="3964"/>
      <c r="BR46" s="3962"/>
      <c r="BS46" s="3963"/>
      <c r="BT46" s="3963"/>
      <c r="BU46" s="3963"/>
      <c r="BV46" s="3963"/>
      <c r="BW46" s="3963"/>
      <c r="BX46" s="3963"/>
      <c r="BY46" s="3964"/>
      <c r="BZ46" s="3962"/>
      <c r="CA46" s="3963"/>
      <c r="CB46" s="3963"/>
      <c r="CC46" s="3963"/>
      <c r="CD46" s="3963"/>
      <c r="CE46" s="3963"/>
      <c r="CF46" s="3963"/>
      <c r="CG46" s="3964"/>
      <c r="CH46" s="3962"/>
      <c r="CI46" s="3963"/>
      <c r="CJ46" s="3963"/>
      <c r="CK46" s="3963"/>
      <c r="CL46" s="3963"/>
      <c r="CM46" s="3963"/>
      <c r="CN46" s="3963"/>
      <c r="CO46" s="3964"/>
      <c r="CP46" s="3962"/>
      <c r="CQ46" s="3963"/>
      <c r="CR46" s="3963"/>
      <c r="CS46" s="3963"/>
      <c r="CT46" s="3963"/>
      <c r="CU46" s="3963"/>
      <c r="CV46" s="3963"/>
      <c r="CW46" s="3964"/>
      <c r="CX46" s="3962"/>
      <c r="CY46" s="3963"/>
      <c r="CZ46" s="3963"/>
      <c r="DA46" s="3963"/>
      <c r="DB46" s="3963"/>
      <c r="DC46" s="3963"/>
      <c r="DD46" s="3963"/>
      <c r="DE46" s="3964"/>
      <c r="DF46" s="2528"/>
      <c r="DG46" s="1542" t="s">
        <v>462</v>
      </c>
      <c r="DI46" s="784"/>
      <c r="DJ46" s="784" t="str">
        <f>IF(T46="","",T46)</f>
        <v>Источник тепловой энергии  </v>
      </c>
      <c r="DK46" s="784"/>
      <c r="DL46" s="784"/>
      <c r="DM46" s="1439">
        <v>21</v>
      </c>
    </row>
    <row s="30621" customFormat="1" customHeight="1" ht="0">
      <c r="A47" s="1627" t="s">
        <v>198</v>
      </c>
      <c r="B47" s="1627" t="s">
        <v>199</v>
      </c>
      <c r="C47" s="1627" t="s">
        <v>200</v>
      </c>
      <c r="D47" s="1627" t="s">
        <v>201</v>
      </c>
      <c r="E47" s="2543"/>
      <c r="F47" s="2543"/>
      <c r="G47" s="2543"/>
      <c r="H47" s="2543"/>
      <c r="I47" s="2540" t="str">
        <f>S46&amp;".1"</f>
        <v>....1</v>
      </c>
      <c r="J47" s="1627"/>
      <c r="K47" s="1627"/>
      <c r="L47" s="1630" t="s">
        <v>463</v>
      </c>
      <c r="M47" s="794"/>
      <c r="N47" s="794"/>
      <c r="O47" s="794"/>
      <c r="P47" s="2541">
        <v>1</v>
      </c>
      <c r="Q47" s="1615"/>
      <c r="R47" s="640"/>
      <c r="S47" s="1326"/>
      <c r="T47" s="1667"/>
      <c r="U47" s="1668"/>
      <c r="V47" s="2580"/>
      <c r="W47" s="2581"/>
      <c r="X47" s="2581"/>
      <c r="Y47" s="2581"/>
      <c r="Z47" s="2581"/>
      <c r="AA47" s="2581"/>
      <c r="AB47" s="2581"/>
      <c r="AC47" s="2582"/>
      <c r="AD47" s="2580"/>
      <c r="AE47" s="2581"/>
      <c r="AF47" s="2581"/>
      <c r="AG47" s="2581"/>
      <c r="AH47" s="2581"/>
      <c r="AI47" s="2581"/>
      <c r="AJ47" s="2581"/>
      <c r="AK47" s="2581"/>
      <c r="AL47" s="3971"/>
      <c r="AM47" s="3972"/>
      <c r="AN47" s="3972"/>
      <c r="AO47" s="3972"/>
      <c r="AP47" s="3972"/>
      <c r="AQ47" s="3972"/>
      <c r="AR47" s="3972"/>
      <c r="AS47" s="3973"/>
      <c r="AT47" s="3971"/>
      <c r="AU47" s="3972"/>
      <c r="AV47" s="3972"/>
      <c r="AW47" s="3972"/>
      <c r="AX47" s="3972"/>
      <c r="AY47" s="3972"/>
      <c r="AZ47" s="3972"/>
      <c r="BA47" s="3973"/>
      <c r="BB47" s="3971"/>
      <c r="BC47" s="3972"/>
      <c r="BD47" s="3972"/>
      <c r="BE47" s="3972"/>
      <c r="BF47" s="3972"/>
      <c r="BG47" s="3972"/>
      <c r="BH47" s="3972"/>
      <c r="BI47" s="3973"/>
      <c r="BJ47" s="3971"/>
      <c r="BK47" s="3972"/>
      <c r="BL47" s="3972"/>
      <c r="BM47" s="3972"/>
      <c r="BN47" s="3972"/>
      <c r="BO47" s="3972"/>
      <c r="BP47" s="3972"/>
      <c r="BQ47" s="3973"/>
      <c r="BR47" s="3971"/>
      <c r="BS47" s="3972"/>
      <c r="BT47" s="3972"/>
      <c r="BU47" s="3972"/>
      <c r="BV47" s="3972"/>
      <c r="BW47" s="3972"/>
      <c r="BX47" s="3972"/>
      <c r="BY47" s="3973"/>
      <c r="BZ47" s="3971"/>
      <c r="CA47" s="3972"/>
      <c r="CB47" s="3972"/>
      <c r="CC47" s="3972"/>
      <c r="CD47" s="3972"/>
      <c r="CE47" s="3972"/>
      <c r="CF47" s="3972"/>
      <c r="CG47" s="3973"/>
      <c r="CH47" s="3971"/>
      <c r="CI47" s="3972"/>
      <c r="CJ47" s="3972"/>
      <c r="CK47" s="3972"/>
      <c r="CL47" s="3972"/>
      <c r="CM47" s="3972"/>
      <c r="CN47" s="3972"/>
      <c r="CO47" s="3973"/>
      <c r="CP47" s="3971"/>
      <c r="CQ47" s="3972"/>
      <c r="CR47" s="3972"/>
      <c r="CS47" s="3972"/>
      <c r="CT47" s="3972"/>
      <c r="CU47" s="3972"/>
      <c r="CV47" s="3972"/>
      <c r="CW47" s="3973"/>
      <c r="CX47" s="3971"/>
      <c r="CY47" s="3972"/>
      <c r="CZ47" s="3972"/>
      <c r="DA47" s="3972"/>
      <c r="DB47" s="3972"/>
      <c r="DC47" s="3972"/>
      <c r="DD47" s="3972"/>
      <c r="DE47" s="3973"/>
      <c r="DF47" s="2582"/>
      <c r="DG47" s="1669"/>
      <c r="DI47" s="784"/>
      <c r="DJ47" s="784" t="str">
        <f>IF(T47="","",T47)</f>
        <v/>
      </c>
      <c r="DK47" s="784"/>
      <c r="DL47" s="784"/>
      <c r="DM47" s="795">
        <v>0</v>
      </c>
    </row>
    <row customHeight="1" ht="22.049999999999997">
      <c r="A48" s="1647" t="s">
        <v>198</v>
      </c>
      <c r="B48" s="1647" t="s">
        <v>199</v>
      </c>
      <c r="C48" s="1647" t="s">
        <v>200</v>
      </c>
      <c r="D48" s="1647" t="s">
        <v>201</v>
      </c>
      <c r="E48" s="2543"/>
      <c r="F48" s="2543"/>
      <c r="G48" s="2543"/>
      <c r="H48" s="2543"/>
      <c r="I48" s="2570"/>
      <c r="J48" s="2540" t="str">
        <f>S46&amp;".1"</f>
        <v>....1</v>
      </c>
      <c r="K48" s="1647"/>
      <c r="L48" s="1648" t="s">
        <v>466</v>
      </c>
      <c r="P48" s="2541"/>
      <c r="Q48" s="2541">
        <v>1</v>
      </c>
      <c r="R48" s="641"/>
      <c r="S48" s="1620" t="str">
        <f>$J48</f>
        <v>....1</v>
      </c>
      <c r="T48" s="570" t="s">
        <v>467</v>
      </c>
      <c r="U48" s="584"/>
      <c r="V48" s="2529"/>
      <c r="W48" s="2530"/>
      <c r="X48" s="2530"/>
      <c r="Y48" s="2530"/>
      <c r="Z48" s="2530"/>
      <c r="AA48" s="2530"/>
      <c r="AB48" s="2530"/>
      <c r="AC48" s="2531"/>
      <c r="AD48" s="2529" t="s">
        <v>507</v>
      </c>
      <c r="AE48" s="2530"/>
      <c r="AF48" s="2530"/>
      <c r="AG48" s="2530"/>
      <c r="AH48" s="2530"/>
      <c r="AI48" s="2530"/>
      <c r="AJ48" s="2530"/>
      <c r="AK48" s="2530"/>
      <c r="AL48" s="3975"/>
      <c r="AM48" s="3976"/>
      <c r="AN48" s="3976"/>
      <c r="AO48" s="3976"/>
      <c r="AP48" s="3976"/>
      <c r="AQ48" s="3976"/>
      <c r="AR48" s="3976"/>
      <c r="AS48" s="3977"/>
      <c r="AT48" s="3975"/>
      <c r="AU48" s="3976"/>
      <c r="AV48" s="3976"/>
      <c r="AW48" s="3976"/>
      <c r="AX48" s="3976"/>
      <c r="AY48" s="3976"/>
      <c r="AZ48" s="3976"/>
      <c r="BA48" s="3977"/>
      <c r="BB48" s="3975"/>
      <c r="BC48" s="3976"/>
      <c r="BD48" s="3976"/>
      <c r="BE48" s="3976"/>
      <c r="BF48" s="3976"/>
      <c r="BG48" s="3976"/>
      <c r="BH48" s="3976"/>
      <c r="BI48" s="3977"/>
      <c r="BJ48" s="3975"/>
      <c r="BK48" s="3976"/>
      <c r="BL48" s="3976"/>
      <c r="BM48" s="3976"/>
      <c r="BN48" s="3976"/>
      <c r="BO48" s="3976"/>
      <c r="BP48" s="3976"/>
      <c r="BQ48" s="3977"/>
      <c r="BR48" s="3975"/>
      <c r="BS48" s="3976"/>
      <c r="BT48" s="3976"/>
      <c r="BU48" s="3976"/>
      <c r="BV48" s="3976"/>
      <c r="BW48" s="3976"/>
      <c r="BX48" s="3976"/>
      <c r="BY48" s="3977"/>
      <c r="BZ48" s="3975"/>
      <c r="CA48" s="3976"/>
      <c r="CB48" s="3976"/>
      <c r="CC48" s="3976"/>
      <c r="CD48" s="3976"/>
      <c r="CE48" s="3976"/>
      <c r="CF48" s="3976"/>
      <c r="CG48" s="3977"/>
      <c r="CH48" s="3975"/>
      <c r="CI48" s="3976"/>
      <c r="CJ48" s="3976"/>
      <c r="CK48" s="3976"/>
      <c r="CL48" s="3976"/>
      <c r="CM48" s="3976"/>
      <c r="CN48" s="3976"/>
      <c r="CO48" s="3977"/>
      <c r="CP48" s="3975"/>
      <c r="CQ48" s="3976"/>
      <c r="CR48" s="3976"/>
      <c r="CS48" s="3976"/>
      <c r="CT48" s="3976"/>
      <c r="CU48" s="3976"/>
      <c r="CV48" s="3976"/>
      <c r="CW48" s="3977"/>
      <c r="CX48" s="3975"/>
      <c r="CY48" s="3976"/>
      <c r="CZ48" s="3976"/>
      <c r="DA48" s="3976"/>
      <c r="DB48" s="3976"/>
      <c r="DC48" s="3976"/>
      <c r="DD48" s="3976"/>
      <c r="DE48" s="3977"/>
      <c r="DF48" s="2531"/>
      <c r="DG48" s="1542" t="s">
        <v>468</v>
      </c>
      <c r="DI48" s="784"/>
      <c r="DJ48" s="784" t="str">
        <f>IF(T48="","",T48)</f>
        <v>Группа потребителей</v>
      </c>
      <c r="DK48" s="784"/>
      <c r="DL48" s="784"/>
      <c r="DM48" s="1439">
        <v>21</v>
      </c>
    </row>
    <row customHeight="1" ht="22.049999999999997">
      <c r="A49" s="1647" t="s">
        <v>198</v>
      </c>
      <c r="B49" s="1647" t="s">
        <v>199</v>
      </c>
      <c r="C49" s="1647" t="s">
        <v>200</v>
      </c>
      <c r="D49" s="1647" t="s">
        <v>201</v>
      </c>
      <c r="E49" s="2543"/>
      <c r="F49" s="2543"/>
      <c r="G49" s="2543"/>
      <c r="H49" s="2543"/>
      <c r="I49" s="2570"/>
      <c r="J49" s="2570"/>
      <c r="K49" s="2540" t="str">
        <f>J48&amp;".1"</f>
        <v>....1.1</v>
      </c>
      <c r="L49" s="1648" t="s">
        <v>469</v>
      </c>
      <c r="P49" s="2541"/>
      <c r="Q49" s="2541"/>
      <c r="R49" s="641">
        <v>1</v>
      </c>
      <c r="S49" s="1620" t="str">
        <f>$K49</f>
        <v>....1.1</v>
      </c>
      <c r="T49" s="1631" t="s">
        <v>508</v>
      </c>
      <c r="U49" s="584"/>
      <c r="V49" s="1035"/>
      <c r="W49" s="609"/>
      <c r="X49" s="1035"/>
      <c r="Y49" s="1541"/>
      <c r="Z49" s="2549"/>
      <c r="AA49" s="2391" t="s">
        <v>64</v>
      </c>
      <c r="AB49" s="2549"/>
      <c r="AC49" s="2391" t="s">
        <v>64</v>
      </c>
      <c r="AD49" s="1035">
        <v>37.14</v>
      </c>
      <c r="AE49" s="609"/>
      <c r="AF49" s="1035"/>
      <c r="AG49" s="1541"/>
      <c r="AH49" s="3981">
        <v>45292</v>
      </c>
      <c r="AI49" s="2391" t="s">
        <v>64</v>
      </c>
      <c r="AJ49" s="4164">
        <v>45473</v>
      </c>
      <c r="AK49" s="2391" t="s">
        <v>64</v>
      </c>
      <c r="AL49" s="3978">
        <v>40.65</v>
      </c>
      <c r="AM49" s="3979"/>
      <c r="AN49" s="3978"/>
      <c r="AO49" s="3980"/>
      <c r="AP49" s="3981">
        <v>45474</v>
      </c>
      <c r="AQ49" s="3365" t="s">
        <v>64</v>
      </c>
      <c r="AR49" s="3981">
        <v>45657</v>
      </c>
      <c r="AS49" s="3365" t="s">
        <v>64</v>
      </c>
      <c r="AT49" s="3978">
        <v>40.65</v>
      </c>
      <c r="AU49" s="3979"/>
      <c r="AV49" s="3978"/>
      <c r="AW49" s="3980"/>
      <c r="AX49" s="3981">
        <v>45658</v>
      </c>
      <c r="AY49" s="3365" t="s">
        <v>64</v>
      </c>
      <c r="AZ49" s="3981">
        <v>45838</v>
      </c>
      <c r="BA49" s="3365" t="s">
        <v>64</v>
      </c>
      <c r="BB49" s="3978">
        <v>45.61</v>
      </c>
      <c r="BC49" s="3979"/>
      <c r="BD49" s="3978"/>
      <c r="BE49" s="3980"/>
      <c r="BF49" s="3981">
        <v>45839</v>
      </c>
      <c r="BG49" s="3365" t="s">
        <v>64</v>
      </c>
      <c r="BH49" s="3981">
        <v>46022</v>
      </c>
      <c r="BI49" s="3365" t="s">
        <v>64</v>
      </c>
      <c r="BJ49" s="3978">
        <v>41.74</v>
      </c>
      <c r="BK49" s="3979"/>
      <c r="BL49" s="3978"/>
      <c r="BM49" s="3980"/>
      <c r="BN49" s="3981">
        <v>46023</v>
      </c>
      <c r="BO49" s="3365" t="s">
        <v>64</v>
      </c>
      <c r="BP49" s="3981">
        <v>46203</v>
      </c>
      <c r="BQ49" s="3365" t="s">
        <v>64</v>
      </c>
      <c r="BR49" s="3978">
        <v>42.12</v>
      </c>
      <c r="BS49" s="3979"/>
      <c r="BT49" s="3978"/>
      <c r="BU49" s="3980"/>
      <c r="BV49" s="3981">
        <v>46204</v>
      </c>
      <c r="BW49" s="3365" t="s">
        <v>64</v>
      </c>
      <c r="BX49" s="3981">
        <v>46387</v>
      </c>
      <c r="BY49" s="3365" t="s">
        <v>64</v>
      </c>
      <c r="BZ49" s="3978">
        <v>42.12</v>
      </c>
      <c r="CA49" s="3979"/>
      <c r="CB49" s="3978"/>
      <c r="CC49" s="3980"/>
      <c r="CD49" s="3981">
        <v>46388</v>
      </c>
      <c r="CE49" s="3365" t="s">
        <v>64</v>
      </c>
      <c r="CF49" s="3981">
        <v>46568</v>
      </c>
      <c r="CG49" s="3365" t="s">
        <v>64</v>
      </c>
      <c r="CH49" s="3978">
        <v>44.81</v>
      </c>
      <c r="CI49" s="3979"/>
      <c r="CJ49" s="3978"/>
      <c r="CK49" s="3980"/>
      <c r="CL49" s="3981">
        <v>46569</v>
      </c>
      <c r="CM49" s="3365" t="s">
        <v>64</v>
      </c>
      <c r="CN49" s="3981">
        <v>46752</v>
      </c>
      <c r="CO49" s="3365" t="s">
        <v>64</v>
      </c>
      <c r="CP49" s="3978">
        <v>44.81</v>
      </c>
      <c r="CQ49" s="3979"/>
      <c r="CR49" s="3978"/>
      <c r="CS49" s="3980"/>
      <c r="CT49" s="3981">
        <v>46753</v>
      </c>
      <c r="CU49" s="3365" t="s">
        <v>64</v>
      </c>
      <c r="CV49" s="3981">
        <v>46934</v>
      </c>
      <c r="CW49" s="3365" t="s">
        <v>64</v>
      </c>
      <c r="CX49" s="3978">
        <v>45.25</v>
      </c>
      <c r="CY49" s="3979"/>
      <c r="CZ49" s="3978"/>
      <c r="DA49" s="3980"/>
      <c r="DB49" s="3981">
        <v>46935</v>
      </c>
      <c r="DC49" s="3365" t="s">
        <v>64</v>
      </c>
      <c r="DD49" s="3981">
        <v>47118</v>
      </c>
      <c r="DE49" s="3365" t="s">
        <v>64</v>
      </c>
      <c r="DF49" s="1632"/>
      <c r="DG49" s="2537" t="s">
        <v>509</v>
      </c>
      <c r="DH49" s="795">
        <f>STRCHECKDATE(V50:DF50)</f>
      </c>
      <c r="DI49" s="784"/>
      <c r="DJ49" s="784" t="str">
        <f>IF(T49="","",T49)</f>
        <v>вода</v>
      </c>
      <c r="DK49" s="784"/>
      <c r="DL49" s="784"/>
      <c r="DM49" s="1439">
        <v>21</v>
      </c>
    </row>
    <row customHeight="1" ht="1.05">
      <c r="A50" s="1647" t="s">
        <v>198</v>
      </c>
      <c r="B50" s="1647" t="s">
        <v>199</v>
      </c>
      <c r="C50" s="1647" t="s">
        <v>200</v>
      </c>
      <c r="D50" s="1647" t="s">
        <v>201</v>
      </c>
      <c r="E50" s="2543"/>
      <c r="F50" s="2543"/>
      <c r="G50" s="2543"/>
      <c r="H50" s="2543"/>
      <c r="I50" s="2570"/>
      <c r="J50" s="2570"/>
      <c r="K50" s="2540"/>
      <c r="L50" s="1648"/>
      <c r="P50" s="2541"/>
      <c r="Q50" s="2541"/>
      <c r="R50" s="641"/>
      <c r="S50" s="1626"/>
      <c r="T50" s="584"/>
      <c r="U50" s="584"/>
      <c r="V50" s="609"/>
      <c r="W50" s="609"/>
      <c r="X50" s="609"/>
      <c r="Y50" s="612" t="str">
        <f>Z49&amp;"-"&amp;AB49</f>
        <v>-</v>
      </c>
      <c r="Z50" s="2550"/>
      <c r="AA50" s="2391"/>
      <c r="AB50" s="2550"/>
      <c r="AC50" s="2391"/>
      <c r="AD50" s="609"/>
      <c r="AE50" s="609"/>
      <c r="AF50" s="609"/>
      <c r="AG50" s="612" t="str">
        <f>AH49&amp;"-"&amp;AJ49</f>
        <v>45292-45473</v>
      </c>
      <c r="AH50" s="2550"/>
      <c r="AI50" s="2391"/>
      <c r="AJ50" s="2572"/>
      <c r="AK50" s="2391"/>
      <c r="AL50" s="3979"/>
      <c r="AM50" s="3979"/>
      <c r="AN50" s="3979"/>
      <c r="AO50" s="3982" t="str">
        <f>AP49&amp;"-"&amp;AR49</f>
        <v>45474-45657</v>
      </c>
      <c r="AP50" s="3983"/>
      <c r="AQ50" s="3365"/>
      <c r="AR50" s="3983"/>
      <c r="AS50" s="3365"/>
      <c r="AT50" s="3979"/>
      <c r="AU50" s="3979"/>
      <c r="AV50" s="3979"/>
      <c r="AW50" s="3982" t="str">
        <f>AX49&amp;"-"&amp;AZ49</f>
        <v>45658-45838</v>
      </c>
      <c r="AX50" s="3983"/>
      <c r="AY50" s="3365"/>
      <c r="AZ50" s="3983"/>
      <c r="BA50" s="3365"/>
      <c r="BB50" s="3979"/>
      <c r="BC50" s="3979"/>
      <c r="BD50" s="3979"/>
      <c r="BE50" s="3982" t="str">
        <f>BF49&amp;"-"&amp;BH49</f>
        <v>45839-46022</v>
      </c>
      <c r="BF50" s="3983"/>
      <c r="BG50" s="3365"/>
      <c r="BH50" s="3983"/>
      <c r="BI50" s="3365"/>
      <c r="BJ50" s="3979"/>
      <c r="BK50" s="3979"/>
      <c r="BL50" s="3979"/>
      <c r="BM50" s="3982" t="str">
        <f>BN49&amp;"-"&amp;BP49</f>
        <v>46023-46203</v>
      </c>
      <c r="BN50" s="3983"/>
      <c r="BO50" s="3365"/>
      <c r="BP50" s="3983"/>
      <c r="BQ50" s="3365"/>
      <c r="BR50" s="3979"/>
      <c r="BS50" s="3979"/>
      <c r="BT50" s="3979"/>
      <c r="BU50" s="3982" t="str">
        <f>BV49&amp;"-"&amp;BX49</f>
        <v>46204-46387</v>
      </c>
      <c r="BV50" s="3983"/>
      <c r="BW50" s="3365"/>
      <c r="BX50" s="3983"/>
      <c r="BY50" s="3365"/>
      <c r="BZ50" s="3979"/>
      <c r="CA50" s="3979"/>
      <c r="CB50" s="3979"/>
      <c r="CC50" s="3982" t="str">
        <f>CD49&amp;"-"&amp;CF49</f>
        <v>46388-46568</v>
      </c>
      <c r="CD50" s="3983"/>
      <c r="CE50" s="3365"/>
      <c r="CF50" s="3983"/>
      <c r="CG50" s="3365"/>
      <c r="CH50" s="3979"/>
      <c r="CI50" s="3979"/>
      <c r="CJ50" s="3979"/>
      <c r="CK50" s="3982" t="str">
        <f>CL49&amp;"-"&amp;CN49</f>
        <v>46569-46752</v>
      </c>
      <c r="CL50" s="3983"/>
      <c r="CM50" s="3365"/>
      <c r="CN50" s="3983"/>
      <c r="CO50" s="3365"/>
      <c r="CP50" s="3979"/>
      <c r="CQ50" s="3979"/>
      <c r="CR50" s="3979"/>
      <c r="CS50" s="3982" t="str">
        <f>CT49&amp;"-"&amp;CV49</f>
        <v>46753-46934</v>
      </c>
      <c r="CT50" s="3983"/>
      <c r="CU50" s="3365"/>
      <c r="CV50" s="3983"/>
      <c r="CW50" s="3365"/>
      <c r="CX50" s="3979"/>
      <c r="CY50" s="3979"/>
      <c r="CZ50" s="3979"/>
      <c r="DA50" s="3982" t="str">
        <f>DB49&amp;"-"&amp;DD49</f>
        <v>46935-47118</v>
      </c>
      <c r="DB50" s="3983"/>
      <c r="DC50" s="3365"/>
      <c r="DD50" s="3983"/>
      <c r="DE50" s="3365"/>
      <c r="DF50" s="1633"/>
      <c r="DG50" s="2538"/>
      <c r="DI50" s="784"/>
      <c r="DJ50" s="784" t="str">
        <f>IF(T50="","",T50)</f>
        <v/>
      </c>
      <c r="DK50" s="784"/>
      <c r="DL50" s="784"/>
      <c r="DM50" s="1439">
        <v>1</v>
      </c>
    </row>
    <row customHeight="1" ht="11.549999999999999">
      <c r="A51" s="1647" t="s">
        <v>198</v>
      </c>
      <c r="B51" s="1647" t="s">
        <v>199</v>
      </c>
      <c r="C51" s="1647" t="s">
        <v>200</v>
      </c>
      <c r="D51" s="1647" t="s">
        <v>201</v>
      </c>
      <c r="E51" s="2543"/>
      <c r="F51" s="2543"/>
      <c r="G51" s="2543"/>
      <c r="H51" s="2543"/>
      <c r="I51" s="2570"/>
      <c r="J51" s="2540"/>
      <c r="K51" s="1647"/>
      <c r="L51" s="1648"/>
      <c r="P51" s="2541"/>
      <c r="Q51" s="2541"/>
      <c r="R51" s="640"/>
      <c r="S51" s="1562"/>
      <c r="T51" s="571" t="s">
        <v>471</v>
      </c>
      <c r="U51" s="651"/>
      <c r="V51" s="651"/>
      <c r="W51" s="651"/>
      <c r="X51" s="651"/>
      <c r="Y51" s="651"/>
      <c r="Z51" s="651"/>
      <c r="AA51" s="651"/>
      <c r="AB51" s="651"/>
      <c r="AC51" s="651"/>
      <c r="AD51" s="651"/>
      <c r="AE51" s="651"/>
      <c r="AF51" s="651"/>
      <c r="AG51" s="651"/>
      <c r="AH51" s="651"/>
      <c r="AI51" s="651"/>
      <c r="AJ51" s="651"/>
      <c r="AK51" s="651"/>
      <c r="AL51" s="4165"/>
      <c r="AM51" s="4166"/>
      <c r="AN51" s="4167"/>
      <c r="AO51" s="4168"/>
      <c r="AP51" s="4169"/>
      <c r="AQ51" s="4170"/>
      <c r="AR51" s="4171"/>
      <c r="AS51" s="4172"/>
      <c r="AT51" s="4173"/>
      <c r="AU51" s="4174"/>
      <c r="AV51" s="4175"/>
      <c r="AW51" s="4176"/>
      <c r="AX51" s="4177"/>
      <c r="AY51" s="4178"/>
      <c r="AZ51" s="4179"/>
      <c r="BA51" s="4180"/>
      <c r="BB51" s="4181"/>
      <c r="BC51" s="4182"/>
      <c r="BD51" s="4183"/>
      <c r="BE51" s="4184"/>
      <c r="BF51" s="4185"/>
      <c r="BG51" s="4186"/>
      <c r="BH51" s="4187"/>
      <c r="BI51" s="4188"/>
      <c r="BJ51" s="4189"/>
      <c r="BK51" s="4190"/>
      <c r="BL51" s="4191"/>
      <c r="BM51" s="4192"/>
      <c r="BN51" s="4193"/>
      <c r="BO51" s="4194"/>
      <c r="BP51" s="4195"/>
      <c r="BQ51" s="4196"/>
      <c r="BR51" s="4197"/>
      <c r="BS51" s="4198"/>
      <c r="BT51" s="4199"/>
      <c r="BU51" s="4200"/>
      <c r="BV51" s="4201"/>
      <c r="BW51" s="4202"/>
      <c r="BX51" s="4203"/>
      <c r="BY51" s="4204"/>
      <c r="BZ51" s="4205"/>
      <c r="CA51" s="4206"/>
      <c r="CB51" s="4207"/>
      <c r="CC51" s="4208"/>
      <c r="CD51" s="4209"/>
      <c r="CE51" s="4210"/>
      <c r="CF51" s="4211"/>
      <c r="CG51" s="4212"/>
      <c r="CH51" s="4213"/>
      <c r="CI51" s="4214"/>
      <c r="CJ51" s="4215"/>
      <c r="CK51" s="4216"/>
      <c r="CL51" s="4217"/>
      <c r="CM51" s="4218"/>
      <c r="CN51" s="4219"/>
      <c r="CO51" s="4220"/>
      <c r="CP51" s="4221"/>
      <c r="CQ51" s="4222"/>
      <c r="CR51" s="4223"/>
      <c r="CS51" s="4224"/>
      <c r="CT51" s="4225"/>
      <c r="CU51" s="4226"/>
      <c r="CV51" s="4227"/>
      <c r="CW51" s="4228"/>
      <c r="CX51" s="4229"/>
      <c r="CY51" s="4230"/>
      <c r="CZ51" s="4231"/>
      <c r="DA51" s="4232"/>
      <c r="DB51" s="4233"/>
      <c r="DC51" s="4234"/>
      <c r="DD51" s="4235"/>
      <c r="DE51" s="4236"/>
      <c r="DF51" s="608"/>
      <c r="DG51" s="2539"/>
      <c r="DI51" s="784"/>
      <c r="DJ51" s="784" t="str">
        <f>IF(T51="","",T51)</f>
        <v>Добавить вид теплоносителя (параметры теплоносителя)</v>
      </c>
      <c r="DK51" s="784"/>
      <c r="DL51" s="784"/>
      <c r="DM51" s="1439">
        <v>11</v>
      </c>
    </row>
    <row s="31833" customFormat="1" customHeight="1" ht="21">
      <c r="A52" s="4238"/>
      <c r="B52" s="4238"/>
      <c r="C52" s="4238"/>
      <c r="D52" s="4238"/>
      <c r="E52" s="4239"/>
      <c r="F52" s="4239"/>
      <c r="G52" s="4239"/>
      <c r="H52" s="4239"/>
      <c r="I52" s="4240"/>
      <c r="J52" s="4241" t="str">
        <f>S46&amp;".2"</f>
        <v>....2</v>
      </c>
      <c r="K52" s="4238"/>
      <c r="L52" s="4242" t="s">
        <v>466</v>
      </c>
      <c r="M52" s="4135"/>
      <c r="N52" s="4135"/>
      <c r="O52" s="4243"/>
      <c r="P52" s="4244"/>
      <c r="Q52" s="4245" t="s">
        <v>106</v>
      </c>
      <c r="R52" s="4246"/>
      <c r="S52" s="4247" t="str">
        <f>$J52</f>
        <v>....2</v>
      </c>
      <c r="T52" s="4248" t="s">
        <v>467</v>
      </c>
      <c r="U52" s="4249"/>
      <c r="V52" s="3975"/>
      <c r="W52" s="3976"/>
      <c r="X52" s="3976"/>
      <c r="Y52" s="3976"/>
      <c r="Z52" s="3976"/>
      <c r="AA52" s="3976"/>
      <c r="AB52" s="3976"/>
      <c r="AC52" s="3977"/>
      <c r="AD52" s="3975" t="s">
        <v>510</v>
      </c>
      <c r="AE52" s="3976"/>
      <c r="AF52" s="3976"/>
      <c r="AG52" s="3976"/>
      <c r="AH52" s="3976"/>
      <c r="AI52" s="3976"/>
      <c r="AJ52" s="3976"/>
      <c r="AK52" s="3976"/>
      <c r="AL52" s="3975"/>
      <c r="AM52" s="3976"/>
      <c r="AN52" s="3976"/>
      <c r="AO52" s="3976"/>
      <c r="AP52" s="3976"/>
      <c r="AQ52" s="3976"/>
      <c r="AR52" s="3976"/>
      <c r="AS52" s="3977"/>
      <c r="AT52" s="3975"/>
      <c r="AU52" s="3976"/>
      <c r="AV52" s="3976"/>
      <c r="AW52" s="3976"/>
      <c r="AX52" s="3976"/>
      <c r="AY52" s="3976"/>
      <c r="AZ52" s="3976"/>
      <c r="BA52" s="3977"/>
      <c r="BB52" s="3975"/>
      <c r="BC52" s="3976"/>
      <c r="BD52" s="3976"/>
      <c r="BE52" s="3976"/>
      <c r="BF52" s="3976"/>
      <c r="BG52" s="3976"/>
      <c r="BH52" s="3976"/>
      <c r="BI52" s="3977"/>
      <c r="BJ52" s="3975"/>
      <c r="BK52" s="3976"/>
      <c r="BL52" s="3976"/>
      <c r="BM52" s="3976"/>
      <c r="BN52" s="3976"/>
      <c r="BO52" s="3976"/>
      <c r="BP52" s="3976"/>
      <c r="BQ52" s="3977"/>
      <c r="BR52" s="3975"/>
      <c r="BS52" s="3976"/>
      <c r="BT52" s="3976"/>
      <c r="BU52" s="3976"/>
      <c r="BV52" s="3976"/>
      <c r="BW52" s="3976"/>
      <c r="BX52" s="3976"/>
      <c r="BY52" s="3977"/>
      <c r="BZ52" s="3975"/>
      <c r="CA52" s="3976"/>
      <c r="CB52" s="3976"/>
      <c r="CC52" s="3976"/>
      <c r="CD52" s="3976"/>
      <c r="CE52" s="3976"/>
      <c r="CF52" s="3976"/>
      <c r="CG52" s="3977"/>
      <c r="CH52" s="3975"/>
      <c r="CI52" s="3976"/>
      <c r="CJ52" s="3976"/>
      <c r="CK52" s="3976"/>
      <c r="CL52" s="3976"/>
      <c r="CM52" s="3976"/>
      <c r="CN52" s="3976"/>
      <c r="CO52" s="3977"/>
      <c r="CP52" s="3975"/>
      <c r="CQ52" s="3976"/>
      <c r="CR52" s="3976"/>
      <c r="CS52" s="3976"/>
      <c r="CT52" s="3976"/>
      <c r="CU52" s="3976"/>
      <c r="CV52" s="3976"/>
      <c r="CW52" s="3977"/>
      <c r="CX52" s="3975"/>
      <c r="CY52" s="3976"/>
      <c r="CZ52" s="3976"/>
      <c r="DA52" s="3976"/>
      <c r="DB52" s="3976"/>
      <c r="DC52" s="3976"/>
      <c r="DD52" s="3976"/>
      <c r="DE52" s="3977"/>
      <c r="DF52" s="3977"/>
      <c r="DG52" s="4250" t="s">
        <v>468</v>
      </c>
      <c r="DH52" s="4143"/>
      <c r="DI52" s="4251"/>
      <c r="DJ52" s="4251" t="str">
        <f>IF(T52="","",T52)</f>
        <v>Группа потребителей</v>
      </c>
      <c r="DK52" s="4251"/>
      <c r="DL52" s="4251"/>
      <c r="DM52" s="3961">
        <v>0</v>
      </c>
    </row>
    <row s="31848" customFormat="1" customHeight="1" ht="21">
      <c r="A53" s="4238"/>
      <c r="B53" s="4238"/>
      <c r="C53" s="4238"/>
      <c r="D53" s="4238"/>
      <c r="E53" s="4239"/>
      <c r="F53" s="4239"/>
      <c r="G53" s="4239"/>
      <c r="H53" s="4239"/>
      <c r="I53" s="4240"/>
      <c r="J53" s="4240" t="str">
        <f>S46&amp;".1"</f>
        <v>....1</v>
      </c>
      <c r="K53" s="4241" t="str">
        <f>J52&amp;".1"</f>
        <v>....2.1</v>
      </c>
      <c r="L53" s="4242" t="s">
        <v>469</v>
      </c>
      <c r="M53" s="4135"/>
      <c r="N53" s="4135"/>
      <c r="O53" s="4135"/>
      <c r="P53" s="4244"/>
      <c r="Q53" s="4244"/>
      <c r="R53" s="4246">
        <v>1</v>
      </c>
      <c r="S53" s="4247" t="str">
        <f>$K53</f>
        <v>....2.1</v>
      </c>
      <c r="T53" s="4253" t="s">
        <v>508</v>
      </c>
      <c r="U53" s="4249"/>
      <c r="V53" s="3978"/>
      <c r="W53" s="3979"/>
      <c r="X53" s="3978"/>
      <c r="Y53" s="3980"/>
      <c r="Z53" s="3981"/>
      <c r="AA53" s="3365" t="s">
        <v>64</v>
      </c>
      <c r="AB53" s="3981"/>
      <c r="AC53" s="3365" t="s">
        <v>64</v>
      </c>
      <c r="AD53" s="3978">
        <v>44.57</v>
      </c>
      <c r="AE53" s="3979"/>
      <c r="AF53" s="3978"/>
      <c r="AG53" s="3980"/>
      <c r="AH53" s="3981">
        <v>45292</v>
      </c>
      <c r="AI53" s="3365" t="s">
        <v>64</v>
      </c>
      <c r="AJ53" s="3981">
        <v>45473</v>
      </c>
      <c r="AK53" s="3365" t="s">
        <v>64</v>
      </c>
      <c r="AL53" s="3978">
        <v>48.78</v>
      </c>
      <c r="AM53" s="3979"/>
      <c r="AN53" s="3978"/>
      <c r="AO53" s="3980"/>
      <c r="AP53" s="3981">
        <v>45474</v>
      </c>
      <c r="AQ53" s="3365" t="s">
        <v>64</v>
      </c>
      <c r="AR53" s="3981">
        <v>45657</v>
      </c>
      <c r="AS53" s="3365" t="s">
        <v>64</v>
      </c>
      <c r="AT53" s="3978">
        <v>48.78</v>
      </c>
      <c r="AU53" s="3979"/>
      <c r="AV53" s="3978"/>
      <c r="AW53" s="3980"/>
      <c r="AX53" s="3981">
        <v>45658</v>
      </c>
      <c r="AY53" s="3365" t="s">
        <v>64</v>
      </c>
      <c r="AZ53" s="3981">
        <v>45838</v>
      </c>
      <c r="BA53" s="3365" t="s">
        <v>64</v>
      </c>
      <c r="BB53" s="3978">
        <v>54.73</v>
      </c>
      <c r="BC53" s="3979"/>
      <c r="BD53" s="3978"/>
      <c r="BE53" s="3980"/>
      <c r="BF53" s="3981">
        <v>45839</v>
      </c>
      <c r="BG53" s="3365" t="s">
        <v>64</v>
      </c>
      <c r="BH53" s="3981">
        <v>46022</v>
      </c>
      <c r="BI53" s="3365" t="s">
        <v>64</v>
      </c>
      <c r="BJ53" s="3978">
        <v>50.08</v>
      </c>
      <c r="BK53" s="3979"/>
      <c r="BL53" s="3978"/>
      <c r="BM53" s="3980"/>
      <c r="BN53" s="3981">
        <v>46023</v>
      </c>
      <c r="BO53" s="3365" t="s">
        <v>64</v>
      </c>
      <c r="BP53" s="3981">
        <v>46203</v>
      </c>
      <c r="BQ53" s="3365" t="s">
        <v>64</v>
      </c>
      <c r="BR53" s="3978">
        <v>50.54</v>
      </c>
      <c r="BS53" s="3979"/>
      <c r="BT53" s="3978"/>
      <c r="BU53" s="3980"/>
      <c r="BV53" s="3981">
        <v>46204</v>
      </c>
      <c r="BW53" s="3365" t="s">
        <v>64</v>
      </c>
      <c r="BX53" s="3981">
        <v>46387</v>
      </c>
      <c r="BY53" s="3365" t="s">
        <v>64</v>
      </c>
      <c r="BZ53" s="3978">
        <v>50.54</v>
      </c>
      <c r="CA53" s="3979"/>
      <c r="CB53" s="3978"/>
      <c r="CC53" s="3980"/>
      <c r="CD53" s="3981">
        <v>46388</v>
      </c>
      <c r="CE53" s="3365" t="s">
        <v>64</v>
      </c>
      <c r="CF53" s="3981">
        <v>46568</v>
      </c>
      <c r="CG53" s="3365" t="s">
        <v>64</v>
      </c>
      <c r="CH53" s="3978">
        <v>53.77</v>
      </c>
      <c r="CI53" s="3979"/>
      <c r="CJ53" s="3978"/>
      <c r="CK53" s="3980"/>
      <c r="CL53" s="3981">
        <v>46569</v>
      </c>
      <c r="CM53" s="3365" t="s">
        <v>64</v>
      </c>
      <c r="CN53" s="3981">
        <v>46752</v>
      </c>
      <c r="CO53" s="3365" t="s">
        <v>64</v>
      </c>
      <c r="CP53" s="3978">
        <v>53.77</v>
      </c>
      <c r="CQ53" s="3979"/>
      <c r="CR53" s="3978"/>
      <c r="CS53" s="3980"/>
      <c r="CT53" s="3981">
        <v>46753</v>
      </c>
      <c r="CU53" s="3365" t="s">
        <v>64</v>
      </c>
      <c r="CV53" s="3981">
        <v>46934</v>
      </c>
      <c r="CW53" s="3365" t="s">
        <v>64</v>
      </c>
      <c r="CX53" s="3978">
        <v>54.3</v>
      </c>
      <c r="CY53" s="3979"/>
      <c r="CZ53" s="3978"/>
      <c r="DA53" s="3980"/>
      <c r="DB53" s="3981">
        <v>46935</v>
      </c>
      <c r="DC53" s="3365" t="s">
        <v>64</v>
      </c>
      <c r="DD53" s="3981">
        <v>47118</v>
      </c>
      <c r="DE53" s="3365" t="s">
        <v>64</v>
      </c>
      <c r="DF53" s="3979"/>
      <c r="DG53" s="4254" t="s">
        <v>470</v>
      </c>
      <c r="DH53" s="4143">
        <f>STRCHECKDATE(V54:DF54)</f>
      </c>
      <c r="DI53" s="4251"/>
      <c r="DJ53" s="4251" t="str">
        <f>IF(T53="","",T53)</f>
        <v>вода</v>
      </c>
      <c r="DK53" s="4251"/>
      <c r="DL53" s="4251"/>
      <c r="DM53" s="3961">
        <v>0</v>
      </c>
    </row>
    <row s="31851" customFormat="1" customHeight="1" ht="0.75">
      <c r="A54" s="4238"/>
      <c r="B54" s="4238"/>
      <c r="C54" s="4238"/>
      <c r="D54" s="4238"/>
      <c r="E54" s="4239"/>
      <c r="F54" s="4239"/>
      <c r="G54" s="4239"/>
      <c r="H54" s="4239"/>
      <c r="I54" s="4240"/>
      <c r="J54" s="4240" t="str">
        <f>S46&amp;".1"</f>
        <v>....1</v>
      </c>
      <c r="K54" s="4241"/>
      <c r="L54" s="4242"/>
      <c r="M54" s="4135"/>
      <c r="N54" s="4135"/>
      <c r="O54" s="4135"/>
      <c r="P54" s="4244"/>
      <c r="Q54" s="4244"/>
      <c r="R54" s="4246"/>
      <c r="S54" s="4256"/>
      <c r="T54" s="4249"/>
      <c r="U54" s="4249"/>
      <c r="V54" s="3979"/>
      <c r="W54" s="3979"/>
      <c r="X54" s="3979"/>
      <c r="Y54" s="3982" t="str">
        <f>Z53&amp;"-"&amp;AB53</f>
        <v>-</v>
      </c>
      <c r="Z54" s="3983"/>
      <c r="AA54" s="3365"/>
      <c r="AB54" s="3983"/>
      <c r="AC54" s="3365"/>
      <c r="AD54" s="3979"/>
      <c r="AE54" s="3979"/>
      <c r="AF54" s="3979"/>
      <c r="AG54" s="3982" t="str">
        <f>AH53&amp;"-"&amp;AJ53</f>
        <v>45292-45473</v>
      </c>
      <c r="AH54" s="3983"/>
      <c r="AI54" s="3365"/>
      <c r="AJ54" s="3983"/>
      <c r="AK54" s="3365"/>
      <c r="AL54" s="3979"/>
      <c r="AM54" s="3979"/>
      <c r="AN54" s="3979"/>
      <c r="AO54" s="3982" t="str">
        <f>AP53&amp;"-"&amp;AR53</f>
        <v>45474-45657</v>
      </c>
      <c r="AP54" s="3983"/>
      <c r="AQ54" s="3365"/>
      <c r="AR54" s="3983"/>
      <c r="AS54" s="3365"/>
      <c r="AT54" s="3979"/>
      <c r="AU54" s="3979"/>
      <c r="AV54" s="3979"/>
      <c r="AW54" s="3982" t="str">
        <f>AX53&amp;"-"&amp;AZ53</f>
        <v>45658-45838</v>
      </c>
      <c r="AX54" s="3983"/>
      <c r="AY54" s="3365"/>
      <c r="AZ54" s="3983"/>
      <c r="BA54" s="3365"/>
      <c r="BB54" s="3979"/>
      <c r="BC54" s="3979"/>
      <c r="BD54" s="3979"/>
      <c r="BE54" s="3982" t="str">
        <f>BF53&amp;"-"&amp;BH53</f>
        <v>45839-46022</v>
      </c>
      <c r="BF54" s="3983"/>
      <c r="BG54" s="3365"/>
      <c r="BH54" s="3983"/>
      <c r="BI54" s="3365"/>
      <c r="BJ54" s="3979"/>
      <c r="BK54" s="3979"/>
      <c r="BL54" s="3979"/>
      <c r="BM54" s="3982" t="str">
        <f>BN53&amp;"-"&amp;BP53</f>
        <v>46023-46203</v>
      </c>
      <c r="BN54" s="3983"/>
      <c r="BO54" s="3365"/>
      <c r="BP54" s="3983"/>
      <c r="BQ54" s="3365"/>
      <c r="BR54" s="3979"/>
      <c r="BS54" s="3979"/>
      <c r="BT54" s="3979"/>
      <c r="BU54" s="3982" t="str">
        <f>BV53&amp;"-"&amp;BX53</f>
        <v>46204-46387</v>
      </c>
      <c r="BV54" s="3983"/>
      <c r="BW54" s="3365"/>
      <c r="BX54" s="3983"/>
      <c r="BY54" s="3365"/>
      <c r="BZ54" s="3979"/>
      <c r="CA54" s="3979"/>
      <c r="CB54" s="3979"/>
      <c r="CC54" s="3982" t="str">
        <f>CD53&amp;"-"&amp;CF53</f>
        <v>46388-46568</v>
      </c>
      <c r="CD54" s="3983"/>
      <c r="CE54" s="3365"/>
      <c r="CF54" s="3983"/>
      <c r="CG54" s="3365"/>
      <c r="CH54" s="3979"/>
      <c r="CI54" s="3979"/>
      <c r="CJ54" s="3979"/>
      <c r="CK54" s="3982" t="str">
        <f>CL53&amp;"-"&amp;CN53</f>
        <v>46569-46752</v>
      </c>
      <c r="CL54" s="3983"/>
      <c r="CM54" s="3365"/>
      <c r="CN54" s="3983"/>
      <c r="CO54" s="3365"/>
      <c r="CP54" s="3979"/>
      <c r="CQ54" s="3979"/>
      <c r="CR54" s="3979"/>
      <c r="CS54" s="3982" t="str">
        <f>CT53&amp;"-"&amp;CV53</f>
        <v>46753-46934</v>
      </c>
      <c r="CT54" s="3983"/>
      <c r="CU54" s="3365"/>
      <c r="CV54" s="3983"/>
      <c r="CW54" s="3365"/>
      <c r="CX54" s="3979"/>
      <c r="CY54" s="3979"/>
      <c r="CZ54" s="3979"/>
      <c r="DA54" s="3982" t="str">
        <f>DB53&amp;"-"&amp;DD53</f>
        <v>46935-47118</v>
      </c>
      <c r="DB54" s="3983"/>
      <c r="DC54" s="3365"/>
      <c r="DD54" s="3983"/>
      <c r="DE54" s="3365"/>
      <c r="DF54" s="3979"/>
      <c r="DG54" s="4257"/>
      <c r="DH54" s="4143"/>
      <c r="DI54" s="4251"/>
      <c r="DJ54" s="4251" t="str">
        <f>IF(T54="","",T54)</f>
        <v/>
      </c>
      <c r="DK54" s="4251"/>
      <c r="DL54" s="4251"/>
      <c r="DM54" s="3961">
        <v>0</v>
      </c>
    </row>
    <row s="31854" customFormat="1" customHeight="1" ht="15">
      <c r="A55" s="4238"/>
      <c r="B55" s="4238"/>
      <c r="C55" s="4238"/>
      <c r="D55" s="4238"/>
      <c r="E55" s="4239"/>
      <c r="F55" s="4239"/>
      <c r="G55" s="4239"/>
      <c r="H55" s="4239"/>
      <c r="I55" s="4240"/>
      <c r="J55" s="4241" t="str">
        <f>S46&amp;".1"</f>
        <v>....1</v>
      </c>
      <c r="K55" s="4238"/>
      <c r="L55" s="4242"/>
      <c r="M55" s="4135"/>
      <c r="N55" s="4135"/>
      <c r="O55" s="4243"/>
      <c r="P55" s="4244"/>
      <c r="Q55" s="4244"/>
      <c r="R55" s="4259"/>
      <c r="S55" s="4260"/>
      <c r="T55" s="4261" t="s">
        <v>471</v>
      </c>
      <c r="U55" s="4262"/>
      <c r="V55" s="4263"/>
      <c r="W55" s="4264"/>
      <c r="X55" s="4265"/>
      <c r="Y55" s="4266"/>
      <c r="Z55" s="4267"/>
      <c r="AA55" s="4268"/>
      <c r="AB55" s="4269"/>
      <c r="AC55" s="4270"/>
      <c r="AD55" s="4271"/>
      <c r="AE55" s="4272"/>
      <c r="AF55" s="4273"/>
      <c r="AG55" s="4274"/>
      <c r="AH55" s="4275"/>
      <c r="AI55" s="4276"/>
      <c r="AJ55" s="4277"/>
      <c r="AK55" s="4278"/>
      <c r="AL55" s="4279"/>
      <c r="AM55" s="4280"/>
      <c r="AN55" s="4281"/>
      <c r="AO55" s="4282"/>
      <c r="AP55" s="4283"/>
      <c r="AQ55" s="4284"/>
      <c r="AR55" s="4285"/>
      <c r="AS55" s="4286"/>
      <c r="AT55" s="4287"/>
      <c r="AU55" s="4288"/>
      <c r="AV55" s="4289"/>
      <c r="AW55" s="4290"/>
      <c r="AX55" s="4291"/>
      <c r="AY55" s="4292"/>
      <c r="AZ55" s="4293"/>
      <c r="BA55" s="4294"/>
      <c r="BB55" s="4295"/>
      <c r="BC55" s="4296"/>
      <c r="BD55" s="4297"/>
      <c r="BE55" s="4298"/>
      <c r="BF55" s="4299"/>
      <c r="BG55" s="4300"/>
      <c r="BH55" s="4301"/>
      <c r="BI55" s="4302"/>
      <c r="BJ55" s="4303"/>
      <c r="BK55" s="4304"/>
      <c r="BL55" s="4305"/>
      <c r="BM55" s="4306"/>
      <c r="BN55" s="4307"/>
      <c r="BO55" s="4308"/>
      <c r="BP55" s="4309"/>
      <c r="BQ55" s="4310"/>
      <c r="BR55" s="4311"/>
      <c r="BS55" s="4312"/>
      <c r="BT55" s="4313"/>
      <c r="BU55" s="4314"/>
      <c r="BV55" s="4315"/>
      <c r="BW55" s="4316"/>
      <c r="BX55" s="4317"/>
      <c r="BY55" s="4318"/>
      <c r="BZ55" s="4319"/>
      <c r="CA55" s="4320"/>
      <c r="CB55" s="4321"/>
      <c r="CC55" s="4322"/>
      <c r="CD55" s="4323"/>
      <c r="CE55" s="4324"/>
      <c r="CF55" s="4325"/>
      <c r="CG55" s="4326"/>
      <c r="CH55" s="4327"/>
      <c r="CI55" s="4328"/>
      <c r="CJ55" s="4329"/>
      <c r="CK55" s="4330"/>
      <c r="CL55" s="4331"/>
      <c r="CM55" s="4332"/>
      <c r="CN55" s="4333"/>
      <c r="CO55" s="4334"/>
      <c r="CP55" s="4335"/>
      <c r="CQ55" s="4336"/>
      <c r="CR55" s="4337"/>
      <c r="CS55" s="4338"/>
      <c r="CT55" s="4339"/>
      <c r="CU55" s="4340"/>
      <c r="CV55" s="4341"/>
      <c r="CW55" s="4342"/>
      <c r="CX55" s="4343"/>
      <c r="CY55" s="4344"/>
      <c r="CZ55" s="4345"/>
      <c r="DA55" s="4346"/>
      <c r="DB55" s="4347"/>
      <c r="DC55" s="4348"/>
      <c r="DD55" s="4349"/>
      <c r="DE55" s="4350"/>
      <c r="DF55" s="4351"/>
      <c r="DG55" s="4352"/>
      <c r="DH55" s="4143"/>
      <c r="DI55" s="4251"/>
      <c r="DJ55" s="4251" t="str">
        <f>IF(T55="","",T55)</f>
        <v>Добавить вид теплоносителя (параметры теплоносителя)</v>
      </c>
      <c r="DK55" s="4251"/>
      <c r="DL55" s="4251"/>
      <c r="DM55" s="3961">
        <v>0</v>
      </c>
    </row>
    <row customHeight="1" ht="11.549999999999999">
      <c r="A56" s="1647" t="s">
        <v>198</v>
      </c>
      <c r="B56" s="1647" t="s">
        <v>199</v>
      </c>
      <c r="C56" s="1647" t="s">
        <v>200</v>
      </c>
      <c r="D56" s="1647" t="s">
        <v>201</v>
      </c>
      <c r="E56" s="2543"/>
      <c r="F56" s="2543"/>
      <c r="G56" s="2543"/>
      <c r="H56" s="2543"/>
      <c r="I56" s="2540"/>
      <c r="J56" s="1647"/>
      <c r="K56" s="1647"/>
      <c r="L56" s="1648"/>
      <c r="P56" s="2541"/>
      <c r="Q56" s="1615"/>
      <c r="R56" s="640"/>
      <c r="S56" s="1562"/>
      <c r="T56" s="649" t="s">
        <v>472</v>
      </c>
      <c r="U56" s="651"/>
      <c r="V56" s="651"/>
      <c r="W56" s="651"/>
      <c r="X56" s="651"/>
      <c r="Y56" s="651"/>
      <c r="Z56" s="651"/>
      <c r="AA56" s="651"/>
      <c r="AB56" s="651"/>
      <c r="AC56" s="650"/>
      <c r="AD56" s="651"/>
      <c r="AE56" s="651"/>
      <c r="AF56" s="651"/>
      <c r="AG56" s="651"/>
      <c r="AH56" s="651"/>
      <c r="AI56" s="651"/>
      <c r="AJ56" s="651"/>
      <c r="AK56" s="650"/>
      <c r="AL56" s="4353"/>
      <c r="AM56" s="4354"/>
      <c r="AN56" s="4355"/>
      <c r="AO56" s="4356"/>
      <c r="AP56" s="4357"/>
      <c r="AQ56" s="4358"/>
      <c r="AR56" s="4359"/>
      <c r="AS56" s="4360"/>
      <c r="AT56" s="4361"/>
      <c r="AU56" s="4362"/>
      <c r="AV56" s="4363"/>
      <c r="AW56" s="4364"/>
      <c r="AX56" s="4365"/>
      <c r="AY56" s="4366"/>
      <c r="AZ56" s="4367"/>
      <c r="BA56" s="4368"/>
      <c r="BB56" s="4369"/>
      <c r="BC56" s="4370"/>
      <c r="BD56" s="4371"/>
      <c r="BE56" s="4372"/>
      <c r="BF56" s="4373"/>
      <c r="BG56" s="4374"/>
      <c r="BH56" s="4375"/>
      <c r="BI56" s="4376"/>
      <c r="BJ56" s="4377"/>
      <c r="BK56" s="4378"/>
      <c r="BL56" s="4379"/>
      <c r="BM56" s="4380"/>
      <c r="BN56" s="4381"/>
      <c r="BO56" s="4382"/>
      <c r="BP56" s="4383"/>
      <c r="BQ56" s="4384"/>
      <c r="BR56" s="4385"/>
      <c r="BS56" s="4386"/>
      <c r="BT56" s="4387"/>
      <c r="BU56" s="4388"/>
      <c r="BV56" s="4389"/>
      <c r="BW56" s="4390"/>
      <c r="BX56" s="4391"/>
      <c r="BY56" s="4392"/>
      <c r="BZ56" s="4393"/>
      <c r="CA56" s="4394"/>
      <c r="CB56" s="4395"/>
      <c r="CC56" s="4396"/>
      <c r="CD56" s="4397"/>
      <c r="CE56" s="4398"/>
      <c r="CF56" s="4399"/>
      <c r="CG56" s="4400"/>
      <c r="CH56" s="4401"/>
      <c r="CI56" s="4402"/>
      <c r="CJ56" s="4403"/>
      <c r="CK56" s="4404"/>
      <c r="CL56" s="4405"/>
      <c r="CM56" s="4406"/>
      <c r="CN56" s="4407"/>
      <c r="CO56" s="4408"/>
      <c r="CP56" s="4409"/>
      <c r="CQ56" s="4410"/>
      <c r="CR56" s="4411"/>
      <c r="CS56" s="4412"/>
      <c r="CT56" s="4413"/>
      <c r="CU56" s="4414"/>
      <c r="CV56" s="4415"/>
      <c r="CW56" s="4416"/>
      <c r="CX56" s="4417"/>
      <c r="CY56" s="4418"/>
      <c r="CZ56" s="4419"/>
      <c r="DA56" s="4420"/>
      <c r="DB56" s="4421"/>
      <c r="DC56" s="4422"/>
      <c r="DD56" s="4423"/>
      <c r="DE56" s="4424"/>
      <c r="DF56" s="651"/>
      <c r="DG56" s="587"/>
      <c r="DI56" s="784"/>
      <c r="DJ56" s="784" t="str">
        <f>IF(T56="","",T56)</f>
        <v>Добавить группу потребителей</v>
      </c>
      <c r="DK56" s="784"/>
      <c r="DL56" s="784"/>
      <c r="DM56" s="1439">
        <v>11</v>
      </c>
    </row>
    <row customHeight="1" ht="0">
      <c r="A57" s="1647" t="s">
        <v>198</v>
      </c>
      <c r="B57" s="1647" t="s">
        <v>199</v>
      </c>
      <c r="C57" s="1647" t="s">
        <v>200</v>
      </c>
      <c r="D57" s="1647" t="s">
        <v>201</v>
      </c>
      <c r="E57" s="2543"/>
      <c r="F57" s="2543"/>
      <c r="G57" s="2543"/>
      <c r="H57" s="2542"/>
      <c r="I57" s="1647"/>
      <c r="J57" s="1647"/>
      <c r="K57" s="1647"/>
      <c r="L57" s="1648"/>
      <c r="M57" s="1649"/>
      <c r="N57" s="1649"/>
      <c r="O57" s="821"/>
      <c r="P57" s="644"/>
      <c r="Q57" s="659"/>
      <c r="R57" s="639"/>
      <c r="S57" s="1670"/>
      <c r="T57" s="1671"/>
      <c r="U57" s="1672"/>
      <c r="V57" s="1672"/>
      <c r="W57" s="1672"/>
      <c r="X57" s="1672"/>
      <c r="Y57" s="1672"/>
      <c r="Z57" s="1672"/>
      <c r="AA57" s="1672"/>
      <c r="AB57" s="1672"/>
      <c r="AC57" s="1672"/>
      <c r="AD57" s="1672"/>
      <c r="AE57" s="1672"/>
      <c r="AF57" s="1672"/>
      <c r="AG57" s="1672"/>
      <c r="AH57" s="1672"/>
      <c r="AI57" s="1672"/>
      <c r="AJ57" s="1672"/>
      <c r="AK57" s="1672"/>
      <c r="AL57" s="4131"/>
      <c r="AM57" s="4131"/>
      <c r="AN57" s="4131"/>
      <c r="AO57" s="4131"/>
      <c r="AP57" s="4131"/>
      <c r="AQ57" s="4131"/>
      <c r="AR57" s="4131"/>
      <c r="AS57" s="4131"/>
      <c r="AT57" s="4131"/>
      <c r="AU57" s="4131"/>
      <c r="AV57" s="4131"/>
      <c r="AW57" s="4131"/>
      <c r="AX57" s="4131"/>
      <c r="AY57" s="4131"/>
      <c r="AZ57" s="4131"/>
      <c r="BA57" s="4131"/>
      <c r="BB57" s="4131"/>
      <c r="BC57" s="4131"/>
      <c r="BD57" s="4131"/>
      <c r="BE57" s="4131"/>
      <c r="BF57" s="4131"/>
      <c r="BG57" s="4131"/>
      <c r="BH57" s="4131"/>
      <c r="BI57" s="4131"/>
      <c r="BJ57" s="4131"/>
      <c r="BK57" s="4131"/>
      <c r="BL57" s="4131"/>
      <c r="BM57" s="4131"/>
      <c r="BN57" s="4131"/>
      <c r="BO57" s="4131"/>
      <c r="BP57" s="4131"/>
      <c r="BQ57" s="4131"/>
      <c r="BR57" s="4131"/>
      <c r="BS57" s="4131"/>
      <c r="BT57" s="4131"/>
      <c r="BU57" s="4131"/>
      <c r="BV57" s="4131"/>
      <c r="BW57" s="4131"/>
      <c r="BX57" s="4131"/>
      <c r="BY57" s="4131"/>
      <c r="BZ57" s="4131"/>
      <c r="CA57" s="4131"/>
      <c r="CB57" s="4131"/>
      <c r="CC57" s="4131"/>
      <c r="CD57" s="4131"/>
      <c r="CE57" s="4131"/>
      <c r="CF57" s="4131"/>
      <c r="CG57" s="4131"/>
      <c r="CH57" s="4131"/>
      <c r="CI57" s="4131"/>
      <c r="CJ57" s="4131"/>
      <c r="CK57" s="4131"/>
      <c r="CL57" s="4131"/>
      <c r="CM57" s="4131"/>
      <c r="CN57" s="4131"/>
      <c r="CO57" s="4131"/>
      <c r="CP57" s="4131"/>
      <c r="CQ57" s="4131"/>
      <c r="CR57" s="4131"/>
      <c r="CS57" s="4131"/>
      <c r="CT57" s="4131"/>
      <c r="CU57" s="4131"/>
      <c r="CV57" s="4131"/>
      <c r="CW57" s="4131"/>
      <c r="CX57" s="4131"/>
      <c r="CY57" s="4131"/>
      <c r="CZ57" s="4131"/>
      <c r="DA57" s="4131"/>
      <c r="DB57" s="4131"/>
      <c r="DC57" s="4131"/>
      <c r="DD57" s="4131"/>
      <c r="DE57" s="4131"/>
      <c r="DF57" s="1672"/>
      <c r="DG57" s="1673"/>
      <c r="DI57" s="784"/>
      <c r="DJ57" s="784" t="str">
        <f>IF(T57="","",T57)</f>
        <v/>
      </c>
      <c r="DK57" s="784"/>
      <c r="DL57" s="784"/>
      <c r="DM57" s="1439">
        <v>0</v>
      </c>
    </row>
    <row s="30621" customFormat="1" customHeight="1" ht="1.05">
      <c r="A58" s="1627" t="s">
        <v>198</v>
      </c>
      <c r="B58" s="1627" t="s">
        <v>199</v>
      </c>
      <c r="C58" s="1627" t="s">
        <v>200</v>
      </c>
      <c r="D58" s="1598"/>
      <c r="E58" s="2543"/>
      <c r="F58" s="2543"/>
      <c r="G58" s="2542"/>
      <c r="H58" s="1598"/>
      <c r="I58" s="1598"/>
      <c r="J58" s="1598"/>
      <c r="K58" s="1598"/>
      <c r="L58" s="1623"/>
      <c r="M58" s="1599"/>
      <c r="N58" s="1599"/>
      <c r="P58" s="1600"/>
      <c r="Q58" s="1601"/>
      <c r="R58" s="1600"/>
      <c r="S58" s="1606"/>
      <c r="T58" s="1609" t="s">
        <v>213</v>
      </c>
      <c r="U58" s="1608"/>
      <c r="V58" s="1608"/>
      <c r="W58" s="1608"/>
      <c r="X58" s="1608"/>
      <c r="Y58" s="1608"/>
      <c r="Z58" s="1608"/>
      <c r="AA58" s="1608"/>
      <c r="AB58" s="1608"/>
      <c r="AC58" s="1608"/>
      <c r="AD58" s="1608"/>
      <c r="AE58" s="1608"/>
      <c r="AF58" s="1608"/>
      <c r="AG58" s="1608"/>
      <c r="AH58" s="1608"/>
      <c r="AI58" s="1608"/>
      <c r="AJ58" s="1608"/>
      <c r="AK58" s="1608"/>
      <c r="AL58" s="4134"/>
      <c r="AM58" s="4134"/>
      <c r="AN58" s="4134"/>
      <c r="AO58" s="4134"/>
      <c r="AP58" s="4134"/>
      <c r="AQ58" s="4134"/>
      <c r="AR58" s="4134"/>
      <c r="AS58" s="4134"/>
      <c r="AT58" s="4134"/>
      <c r="AU58" s="4134"/>
      <c r="AV58" s="4134"/>
      <c r="AW58" s="4134"/>
      <c r="AX58" s="4134"/>
      <c r="AY58" s="4134"/>
      <c r="AZ58" s="4134"/>
      <c r="BA58" s="4134"/>
      <c r="BB58" s="4134"/>
      <c r="BC58" s="4134"/>
      <c r="BD58" s="4134"/>
      <c r="BE58" s="4134"/>
      <c r="BF58" s="4134"/>
      <c r="BG58" s="4134"/>
      <c r="BH58" s="4134"/>
      <c r="BI58" s="4134"/>
      <c r="BJ58" s="4134"/>
      <c r="BK58" s="4134"/>
      <c r="BL58" s="4134"/>
      <c r="BM58" s="4134"/>
      <c r="BN58" s="4134"/>
      <c r="BO58" s="4134"/>
      <c r="BP58" s="4134"/>
      <c r="BQ58" s="4134"/>
      <c r="BR58" s="4134"/>
      <c r="BS58" s="4134"/>
      <c r="BT58" s="4134"/>
      <c r="BU58" s="4134"/>
      <c r="BV58" s="4134"/>
      <c r="BW58" s="4134"/>
      <c r="BX58" s="4134"/>
      <c r="BY58" s="4134"/>
      <c r="BZ58" s="4134"/>
      <c r="CA58" s="4134"/>
      <c r="CB58" s="4134"/>
      <c r="CC58" s="4134"/>
      <c r="CD58" s="4134"/>
      <c r="CE58" s="4134"/>
      <c r="CF58" s="4134"/>
      <c r="CG58" s="4134"/>
      <c r="CH58" s="4134"/>
      <c r="CI58" s="4134"/>
      <c r="CJ58" s="4134"/>
      <c r="CK58" s="4134"/>
      <c r="CL58" s="4134"/>
      <c r="CM58" s="4134"/>
      <c r="CN58" s="4134"/>
      <c r="CO58" s="4134"/>
      <c r="CP58" s="4134"/>
      <c r="CQ58" s="4134"/>
      <c r="CR58" s="4134"/>
      <c r="CS58" s="4134"/>
      <c r="CT58" s="4134"/>
      <c r="CU58" s="4134"/>
      <c r="CV58" s="4134"/>
      <c r="CW58" s="4134"/>
      <c r="CX58" s="4134"/>
      <c r="CY58" s="4134"/>
      <c r="CZ58" s="4134"/>
      <c r="DA58" s="4134"/>
      <c r="DB58" s="4134"/>
      <c r="DC58" s="4134"/>
      <c r="DD58" s="4134"/>
      <c r="DE58" s="4134"/>
      <c r="DF58" s="1608"/>
      <c r="DG58" s="1608"/>
      <c r="DI58" s="1073"/>
      <c r="DJ58" s="1073" t="str">
        <f>IF(T58="","",T58)</f>
        <v>Добавить источник для дифференциации</v>
      </c>
      <c r="DK58" s="1073"/>
      <c r="DL58" s="1073"/>
      <c r="DM58" s="802">
        <v>1</v>
      </c>
    </row>
    <row s="30621" customFormat="1" customHeight="1" ht="1.05">
      <c r="A59" s="1627" t="s">
        <v>198</v>
      </c>
      <c r="B59" s="1627" t="s">
        <v>199</v>
      </c>
      <c r="C59" s="1598"/>
      <c r="D59" s="1598"/>
      <c r="E59" s="2543"/>
      <c r="F59" s="2542"/>
      <c r="G59" s="1598"/>
      <c r="H59" s="1598"/>
      <c r="I59" s="1598"/>
      <c r="J59" s="1598"/>
      <c r="K59" s="1598"/>
      <c r="L59" s="1623"/>
      <c r="M59" s="1605"/>
      <c r="N59" s="1605"/>
      <c r="P59" s="1600"/>
      <c r="Q59" s="1601"/>
      <c r="R59" s="1600"/>
      <c r="S59" s="1606"/>
      <c r="T59" s="1609" t="s">
        <v>214</v>
      </c>
      <c r="U59" s="1608"/>
      <c r="V59" s="1608"/>
      <c r="W59" s="1608"/>
      <c r="X59" s="1608"/>
      <c r="Y59" s="1608"/>
      <c r="Z59" s="1608"/>
      <c r="AA59" s="1608"/>
      <c r="AB59" s="1608"/>
      <c r="AC59" s="1608"/>
      <c r="AD59" s="1608"/>
      <c r="AE59" s="1608"/>
      <c r="AF59" s="1608"/>
      <c r="AG59" s="1608"/>
      <c r="AH59" s="1608"/>
      <c r="AI59" s="1608"/>
      <c r="AJ59" s="1608"/>
      <c r="AK59" s="1608"/>
      <c r="AL59" s="4134"/>
      <c r="AM59" s="4134"/>
      <c r="AN59" s="4134"/>
      <c r="AO59" s="4134"/>
      <c r="AP59" s="4134"/>
      <c r="AQ59" s="4134"/>
      <c r="AR59" s="4134"/>
      <c r="AS59" s="4134"/>
      <c r="AT59" s="4134"/>
      <c r="AU59" s="4134"/>
      <c r="AV59" s="4134"/>
      <c r="AW59" s="4134"/>
      <c r="AX59" s="4134"/>
      <c r="AY59" s="4134"/>
      <c r="AZ59" s="4134"/>
      <c r="BA59" s="4134"/>
      <c r="BB59" s="4134"/>
      <c r="BC59" s="4134"/>
      <c r="BD59" s="4134"/>
      <c r="BE59" s="4134"/>
      <c r="BF59" s="4134"/>
      <c r="BG59" s="4134"/>
      <c r="BH59" s="4134"/>
      <c r="BI59" s="4134"/>
      <c r="BJ59" s="4134"/>
      <c r="BK59" s="4134"/>
      <c r="BL59" s="4134"/>
      <c r="BM59" s="4134"/>
      <c r="BN59" s="4134"/>
      <c r="BO59" s="4134"/>
      <c r="BP59" s="4134"/>
      <c r="BQ59" s="4134"/>
      <c r="BR59" s="4134"/>
      <c r="BS59" s="4134"/>
      <c r="BT59" s="4134"/>
      <c r="BU59" s="4134"/>
      <c r="BV59" s="4134"/>
      <c r="BW59" s="4134"/>
      <c r="BX59" s="4134"/>
      <c r="BY59" s="4134"/>
      <c r="BZ59" s="4134"/>
      <c r="CA59" s="4134"/>
      <c r="CB59" s="4134"/>
      <c r="CC59" s="4134"/>
      <c r="CD59" s="4134"/>
      <c r="CE59" s="4134"/>
      <c r="CF59" s="4134"/>
      <c r="CG59" s="4134"/>
      <c r="CH59" s="4134"/>
      <c r="CI59" s="4134"/>
      <c r="CJ59" s="4134"/>
      <c r="CK59" s="4134"/>
      <c r="CL59" s="4134"/>
      <c r="CM59" s="4134"/>
      <c r="CN59" s="4134"/>
      <c r="CO59" s="4134"/>
      <c r="CP59" s="4134"/>
      <c r="CQ59" s="4134"/>
      <c r="CR59" s="4134"/>
      <c r="CS59" s="4134"/>
      <c r="CT59" s="4134"/>
      <c r="CU59" s="4134"/>
      <c r="CV59" s="4134"/>
      <c r="CW59" s="4134"/>
      <c r="CX59" s="4134"/>
      <c r="CY59" s="4134"/>
      <c r="CZ59" s="4134"/>
      <c r="DA59" s="4134"/>
      <c r="DB59" s="4134"/>
      <c r="DC59" s="4134"/>
      <c r="DD59" s="4134"/>
      <c r="DE59" s="4134"/>
      <c r="DF59" s="1608"/>
      <c r="DG59" s="1608"/>
      <c r="DI59" s="1073"/>
      <c r="DJ59" s="1073" t="str">
        <f>IF(T59="","",T59)</f>
        <v>Добавить централизованную систему для дифференциации</v>
      </c>
      <c r="DK59" s="1073"/>
      <c r="DL59" s="1073"/>
      <c r="DM59" s="802">
        <v>1</v>
      </c>
    </row>
    <row s="32021" customFormat="1" customHeight="1" ht="21">
      <c r="A60" s="4238"/>
      <c r="B60" s="4238" t="s">
        <v>202</v>
      </c>
      <c r="C60" s="4238"/>
      <c r="D60" s="4238"/>
      <c r="E60" s="4239"/>
      <c r="F60" s="4426" t="s">
        <v>105</v>
      </c>
      <c r="G60" s="4238"/>
      <c r="H60" s="4238"/>
      <c r="I60" s="4238"/>
      <c r="J60" s="4238"/>
      <c r="K60" s="4238"/>
      <c r="L60" s="4242"/>
      <c r="M60" s="4427"/>
      <c r="N60" s="4427"/>
      <c r="O60" s="4427"/>
      <c r="P60" s="4428"/>
      <c r="Q60" s="4429"/>
      <c r="R60" s="4430"/>
      <c r="S60" s="4247" t="str">
        <f>INDEX(PT_DIFFERENTIATION_NUM_TER,MATCH(B60,PT_DIFFERENTIATION_TER_ID,0))</f>
        <v>.</v>
      </c>
      <c r="T60" s="4431" t="s">
        <v>457</v>
      </c>
      <c r="U60" s="4249"/>
      <c r="V60" s="3962"/>
      <c r="W60" s="3963"/>
      <c r="X60" s="3963"/>
      <c r="Y60" s="3963"/>
      <c r="Z60" s="3963"/>
      <c r="AA60" s="3963"/>
      <c r="AB60" s="3963"/>
      <c r="AC60" s="3964"/>
      <c r="AD60" s="3962" t="str">
        <f>INDEX(PT_DIFFERENTIATION_TER,MATCH(B60,PT_DIFFERENTIATION_TER_ID,0))</f>
        <v/>
      </c>
      <c r="AE60" s="3963"/>
      <c r="AF60" s="3963"/>
      <c r="AG60" s="3963"/>
      <c r="AH60" s="3963"/>
      <c r="AI60" s="3963"/>
      <c r="AJ60" s="3963"/>
      <c r="AK60" s="3963"/>
      <c r="AL60" s="3962"/>
      <c r="AM60" s="3963"/>
      <c r="AN60" s="3963"/>
      <c r="AO60" s="3963"/>
      <c r="AP60" s="3963"/>
      <c r="AQ60" s="3963"/>
      <c r="AR60" s="3963"/>
      <c r="AS60" s="3964"/>
      <c r="AT60" s="3962"/>
      <c r="AU60" s="3963"/>
      <c r="AV60" s="3963"/>
      <c r="AW60" s="3963"/>
      <c r="AX60" s="3963"/>
      <c r="AY60" s="3963"/>
      <c r="AZ60" s="3963"/>
      <c r="BA60" s="3964"/>
      <c r="BB60" s="3962"/>
      <c r="BC60" s="3963"/>
      <c r="BD60" s="3963"/>
      <c r="BE60" s="3963"/>
      <c r="BF60" s="3963"/>
      <c r="BG60" s="3963"/>
      <c r="BH60" s="3963"/>
      <c r="BI60" s="3964"/>
      <c r="BJ60" s="3962"/>
      <c r="BK60" s="3963"/>
      <c r="BL60" s="3963"/>
      <c r="BM60" s="3963"/>
      <c r="BN60" s="3963"/>
      <c r="BO60" s="3963"/>
      <c r="BP60" s="3963"/>
      <c r="BQ60" s="3964"/>
      <c r="BR60" s="3962"/>
      <c r="BS60" s="3963"/>
      <c r="BT60" s="3963"/>
      <c r="BU60" s="3963"/>
      <c r="BV60" s="3963"/>
      <c r="BW60" s="3963"/>
      <c r="BX60" s="3963"/>
      <c r="BY60" s="3964"/>
      <c r="BZ60" s="3962"/>
      <c r="CA60" s="3963"/>
      <c r="CB60" s="3963"/>
      <c r="CC60" s="3963"/>
      <c r="CD60" s="3963"/>
      <c r="CE60" s="3963"/>
      <c r="CF60" s="3963"/>
      <c r="CG60" s="3964"/>
      <c r="CH60" s="3962"/>
      <c r="CI60" s="3963"/>
      <c r="CJ60" s="3963"/>
      <c r="CK60" s="3963"/>
      <c r="CL60" s="3963"/>
      <c r="CM60" s="3963"/>
      <c r="CN60" s="3963"/>
      <c r="CO60" s="3964"/>
      <c r="CP60" s="3962"/>
      <c r="CQ60" s="3963"/>
      <c r="CR60" s="3963"/>
      <c r="CS60" s="3963"/>
      <c r="CT60" s="3963"/>
      <c r="CU60" s="3963"/>
      <c r="CV60" s="3963"/>
      <c r="CW60" s="3964"/>
      <c r="CX60" s="3962"/>
      <c r="CY60" s="3963"/>
      <c r="CZ60" s="3963"/>
      <c r="DA60" s="3963"/>
      <c r="DB60" s="3963"/>
      <c r="DC60" s="3963"/>
      <c r="DD60" s="3963"/>
      <c r="DE60" s="3964"/>
      <c r="DF60" s="3964"/>
      <c r="DG60" s="4250" t="s">
        <v>458</v>
      </c>
      <c r="DH60" s="4143"/>
      <c r="DI60" s="4251"/>
      <c r="DJ60" s="4251" t="str">
        <f>IF(T60="","",T60)</f>
        <v>Территория действия тарифа</v>
      </c>
      <c r="DK60" s="4251"/>
      <c r="DL60" s="4251"/>
      <c r="DM60" s="3961">
        <v>0</v>
      </c>
    </row>
    <row s="32028" customFormat="1" customHeight="1" ht="23.25">
      <c r="A61" s="4238"/>
      <c r="B61" s="4238"/>
      <c r="C61" s="4238" t="s">
        <v>203</v>
      </c>
      <c r="D61" s="4238"/>
      <c r="E61" s="4239"/>
      <c r="F61" s="4239">
        <v>1</v>
      </c>
      <c r="G61" s="4426">
        <v>1</v>
      </c>
      <c r="H61" s="4238"/>
      <c r="I61" s="4238"/>
      <c r="J61" s="4238"/>
      <c r="K61" s="4238"/>
      <c r="L61" s="4242"/>
      <c r="M61" s="4427"/>
      <c r="N61" s="4427"/>
      <c r="O61" s="4427"/>
      <c r="P61" s="4433"/>
      <c r="Q61" s="4429"/>
      <c r="R61" s="4430"/>
      <c r="S61" s="4247" t="str">
        <f>INDEX(PT_DIFFERENTIATION_NUM_CS,MATCH(C61,PT_DIFFERENTIATION_CS_ID,0))</f>
        <v>..</v>
      </c>
      <c r="T61" s="4434" t="s">
        <v>459</v>
      </c>
      <c r="U61" s="4249"/>
      <c r="V61" s="3962"/>
      <c r="W61" s="3963"/>
      <c r="X61" s="3963"/>
      <c r="Y61" s="3963"/>
      <c r="Z61" s="3963"/>
      <c r="AA61" s="3963"/>
      <c r="AB61" s="3963"/>
      <c r="AC61" s="3964"/>
      <c r="AD61" s="3962" t="str">
        <f>INDEX(PT_DIFFERENTIATION_CS,MATCH(C61,PT_DIFFERENTIATION_CS_ID,0))</f>
        <v/>
      </c>
      <c r="AE61" s="3963"/>
      <c r="AF61" s="3963"/>
      <c r="AG61" s="3963"/>
      <c r="AH61" s="3963"/>
      <c r="AI61" s="3963"/>
      <c r="AJ61" s="3963"/>
      <c r="AK61" s="3963"/>
      <c r="AL61" s="3962"/>
      <c r="AM61" s="3963"/>
      <c r="AN61" s="3963"/>
      <c r="AO61" s="3963"/>
      <c r="AP61" s="3963"/>
      <c r="AQ61" s="3963"/>
      <c r="AR61" s="3963"/>
      <c r="AS61" s="3964"/>
      <c r="AT61" s="3962"/>
      <c r="AU61" s="3963"/>
      <c r="AV61" s="3963"/>
      <c r="AW61" s="3963"/>
      <c r="AX61" s="3963"/>
      <c r="AY61" s="3963"/>
      <c r="AZ61" s="3963"/>
      <c r="BA61" s="3964"/>
      <c r="BB61" s="3962"/>
      <c r="BC61" s="3963"/>
      <c r="BD61" s="3963"/>
      <c r="BE61" s="3963"/>
      <c r="BF61" s="3963"/>
      <c r="BG61" s="3963"/>
      <c r="BH61" s="3963"/>
      <c r="BI61" s="3964"/>
      <c r="BJ61" s="3962"/>
      <c r="BK61" s="3963"/>
      <c r="BL61" s="3963"/>
      <c r="BM61" s="3963"/>
      <c r="BN61" s="3963"/>
      <c r="BO61" s="3963"/>
      <c r="BP61" s="3963"/>
      <c r="BQ61" s="3964"/>
      <c r="BR61" s="3962"/>
      <c r="BS61" s="3963"/>
      <c r="BT61" s="3963"/>
      <c r="BU61" s="3963"/>
      <c r="BV61" s="3963"/>
      <c r="BW61" s="3963"/>
      <c r="BX61" s="3963"/>
      <c r="BY61" s="3964"/>
      <c r="BZ61" s="3962"/>
      <c r="CA61" s="3963"/>
      <c r="CB61" s="3963"/>
      <c r="CC61" s="3963"/>
      <c r="CD61" s="3963"/>
      <c r="CE61" s="3963"/>
      <c r="CF61" s="3963"/>
      <c r="CG61" s="3964"/>
      <c r="CH61" s="3962"/>
      <c r="CI61" s="3963"/>
      <c r="CJ61" s="3963"/>
      <c r="CK61" s="3963"/>
      <c r="CL61" s="3963"/>
      <c r="CM61" s="3963"/>
      <c r="CN61" s="3963"/>
      <c r="CO61" s="3964"/>
      <c r="CP61" s="3962"/>
      <c r="CQ61" s="3963"/>
      <c r="CR61" s="3963"/>
      <c r="CS61" s="3963"/>
      <c r="CT61" s="3963"/>
      <c r="CU61" s="3963"/>
      <c r="CV61" s="3963"/>
      <c r="CW61" s="3964"/>
      <c r="CX61" s="3962"/>
      <c r="CY61" s="3963"/>
      <c r="CZ61" s="3963"/>
      <c r="DA61" s="3963"/>
      <c r="DB61" s="3963"/>
      <c r="DC61" s="3963"/>
      <c r="DD61" s="3963"/>
      <c r="DE61" s="3964"/>
      <c r="DF61" s="3964"/>
      <c r="DG61" s="4250" t="s">
        <v>460</v>
      </c>
      <c r="DH61" s="4143"/>
      <c r="DI61" s="4251"/>
      <c r="DJ61" s="4251" t="str">
        <f>IF(T61="","",T61)</f>
        <v>Наименование системы теплоснабжения </v>
      </c>
      <c r="DK61" s="4251"/>
      <c r="DL61" s="4251"/>
      <c r="DM61" s="3961">
        <v>0</v>
      </c>
    </row>
    <row s="32031" customFormat="1" customHeight="1" ht="21">
      <c r="A62" s="4238"/>
      <c r="B62" s="4238"/>
      <c r="C62" s="4238"/>
      <c r="D62" s="4238" t="s">
        <v>204</v>
      </c>
      <c r="E62" s="4239"/>
      <c r="F62" s="4239">
        <v>1</v>
      </c>
      <c r="G62" s="4239"/>
      <c r="H62" s="4426">
        <v>1</v>
      </c>
      <c r="I62" s="4238"/>
      <c r="J62" s="4238"/>
      <c r="K62" s="4238"/>
      <c r="L62" s="4242"/>
      <c r="M62" s="4427"/>
      <c r="N62" s="4427"/>
      <c r="O62" s="4427"/>
      <c r="P62" s="4433"/>
      <c r="Q62" s="4429"/>
      <c r="R62" s="4430"/>
      <c r="S62" s="4247" t="str">
        <f>INDEX(PT_DIFFERENTIATION_NUM_IST_TE,MATCH(D62,PT_DIFFERENTIATION_IST_TE_ID,0))</f>
        <v>...</v>
      </c>
      <c r="T62" s="4436" t="s">
        <v>461</v>
      </c>
      <c r="U62" s="4249"/>
      <c r="V62" s="3962"/>
      <c r="W62" s="3963"/>
      <c r="X62" s="3963"/>
      <c r="Y62" s="3963"/>
      <c r="Z62" s="3963"/>
      <c r="AA62" s="3963"/>
      <c r="AB62" s="3963"/>
      <c r="AC62" s="3964"/>
      <c r="AD62" s="3962" t="str">
        <f>INDEX(PT_DIFFERENTIATION_IST_TE,MATCH(D62,PT_DIFFERENTIATION_IST_TE_ID,0))</f>
        <v/>
      </c>
      <c r="AE62" s="3963"/>
      <c r="AF62" s="3963"/>
      <c r="AG62" s="3963"/>
      <c r="AH62" s="3963"/>
      <c r="AI62" s="3963"/>
      <c r="AJ62" s="3963"/>
      <c r="AK62" s="3963"/>
      <c r="AL62" s="3962"/>
      <c r="AM62" s="3963"/>
      <c r="AN62" s="3963"/>
      <c r="AO62" s="3963"/>
      <c r="AP62" s="3963"/>
      <c r="AQ62" s="3963"/>
      <c r="AR62" s="3963"/>
      <c r="AS62" s="3964"/>
      <c r="AT62" s="3962"/>
      <c r="AU62" s="3963"/>
      <c r="AV62" s="3963"/>
      <c r="AW62" s="3963"/>
      <c r="AX62" s="3963"/>
      <c r="AY62" s="3963"/>
      <c r="AZ62" s="3963"/>
      <c r="BA62" s="3964"/>
      <c r="BB62" s="3962"/>
      <c r="BC62" s="3963"/>
      <c r="BD62" s="3963"/>
      <c r="BE62" s="3963"/>
      <c r="BF62" s="3963"/>
      <c r="BG62" s="3963"/>
      <c r="BH62" s="3963"/>
      <c r="BI62" s="3964"/>
      <c r="BJ62" s="3962"/>
      <c r="BK62" s="3963"/>
      <c r="BL62" s="3963"/>
      <c r="BM62" s="3963"/>
      <c r="BN62" s="3963"/>
      <c r="BO62" s="3963"/>
      <c r="BP62" s="3963"/>
      <c r="BQ62" s="3964"/>
      <c r="BR62" s="3962"/>
      <c r="BS62" s="3963"/>
      <c r="BT62" s="3963"/>
      <c r="BU62" s="3963"/>
      <c r="BV62" s="3963"/>
      <c r="BW62" s="3963"/>
      <c r="BX62" s="3963"/>
      <c r="BY62" s="3964"/>
      <c r="BZ62" s="3962"/>
      <c r="CA62" s="3963"/>
      <c r="CB62" s="3963"/>
      <c r="CC62" s="3963"/>
      <c r="CD62" s="3963"/>
      <c r="CE62" s="3963"/>
      <c r="CF62" s="3963"/>
      <c r="CG62" s="3964"/>
      <c r="CH62" s="3962"/>
      <c r="CI62" s="3963"/>
      <c r="CJ62" s="3963"/>
      <c r="CK62" s="3963"/>
      <c r="CL62" s="3963"/>
      <c r="CM62" s="3963"/>
      <c r="CN62" s="3963"/>
      <c r="CO62" s="3964"/>
      <c r="CP62" s="3962"/>
      <c r="CQ62" s="3963"/>
      <c r="CR62" s="3963"/>
      <c r="CS62" s="3963"/>
      <c r="CT62" s="3963"/>
      <c r="CU62" s="3963"/>
      <c r="CV62" s="3963"/>
      <c r="CW62" s="3964"/>
      <c r="CX62" s="3962"/>
      <c r="CY62" s="3963"/>
      <c r="CZ62" s="3963"/>
      <c r="DA62" s="3963"/>
      <c r="DB62" s="3963"/>
      <c r="DC62" s="3963"/>
      <c r="DD62" s="3963"/>
      <c r="DE62" s="3964"/>
      <c r="DF62" s="3964"/>
      <c r="DG62" s="4250" t="s">
        <v>462</v>
      </c>
      <c r="DH62" s="4143"/>
      <c r="DI62" s="4251"/>
      <c r="DJ62" s="4251" t="str">
        <f>IF(T62="","",T62)</f>
        <v>Источник тепловой энергии  </v>
      </c>
      <c r="DK62" s="4251"/>
      <c r="DL62" s="4251"/>
      <c r="DM62" s="3961">
        <v>0</v>
      </c>
    </row>
    <row s="32033" customFormat="1" customHeight="1" ht="14.25">
      <c r="A63" s="4238"/>
      <c r="B63" s="4238"/>
      <c r="C63" s="4238"/>
      <c r="D63" s="4238"/>
      <c r="E63" s="4239"/>
      <c r="F63" s="4239">
        <v>1</v>
      </c>
      <c r="G63" s="4239"/>
      <c r="H63" s="4239"/>
      <c r="I63" s="4241" t="str">
        <f>S62&amp;".1"</f>
        <v>....1</v>
      </c>
      <c r="J63" s="4238"/>
      <c r="K63" s="4238"/>
      <c r="L63" s="4242" t="s">
        <v>463</v>
      </c>
      <c r="M63" s="4135"/>
      <c r="N63" s="4243"/>
      <c r="O63" s="4243"/>
      <c r="P63" s="4244">
        <v>1</v>
      </c>
      <c r="Q63" s="4244"/>
      <c r="R63" s="4259"/>
      <c r="S63" s="4438"/>
      <c r="T63" s="4439"/>
      <c r="U63" s="4440"/>
      <c r="V63" s="3971"/>
      <c r="W63" s="3972"/>
      <c r="X63" s="3972"/>
      <c r="Y63" s="3972"/>
      <c r="Z63" s="3972"/>
      <c r="AA63" s="3972"/>
      <c r="AB63" s="3972"/>
      <c r="AC63" s="3973"/>
      <c r="AD63" s="3971"/>
      <c r="AE63" s="3972"/>
      <c r="AF63" s="3972"/>
      <c r="AG63" s="3972"/>
      <c r="AH63" s="3972"/>
      <c r="AI63" s="3972"/>
      <c r="AJ63" s="3972"/>
      <c r="AK63" s="3972"/>
      <c r="AL63" s="3971"/>
      <c r="AM63" s="3972"/>
      <c r="AN63" s="3972"/>
      <c r="AO63" s="3972"/>
      <c r="AP63" s="3972"/>
      <c r="AQ63" s="3972"/>
      <c r="AR63" s="3972"/>
      <c r="AS63" s="3973"/>
      <c r="AT63" s="3971"/>
      <c r="AU63" s="3972"/>
      <c r="AV63" s="3972"/>
      <c r="AW63" s="3972"/>
      <c r="AX63" s="3972"/>
      <c r="AY63" s="3972"/>
      <c r="AZ63" s="3972"/>
      <c r="BA63" s="3973"/>
      <c r="BB63" s="3971"/>
      <c r="BC63" s="3972"/>
      <c r="BD63" s="3972"/>
      <c r="BE63" s="3972"/>
      <c r="BF63" s="3972"/>
      <c r="BG63" s="3972"/>
      <c r="BH63" s="3972"/>
      <c r="BI63" s="3973"/>
      <c r="BJ63" s="3971"/>
      <c r="BK63" s="3972"/>
      <c r="BL63" s="3972"/>
      <c r="BM63" s="3972"/>
      <c r="BN63" s="3972"/>
      <c r="BO63" s="3972"/>
      <c r="BP63" s="3972"/>
      <c r="BQ63" s="3973"/>
      <c r="BR63" s="3971"/>
      <c r="BS63" s="3972"/>
      <c r="BT63" s="3972"/>
      <c r="BU63" s="3972"/>
      <c r="BV63" s="3972"/>
      <c r="BW63" s="3972"/>
      <c r="BX63" s="3972"/>
      <c r="BY63" s="3973"/>
      <c r="BZ63" s="3971"/>
      <c r="CA63" s="3972"/>
      <c r="CB63" s="3972"/>
      <c r="CC63" s="3972"/>
      <c r="CD63" s="3972"/>
      <c r="CE63" s="3972"/>
      <c r="CF63" s="3972"/>
      <c r="CG63" s="3973"/>
      <c r="CH63" s="3971"/>
      <c r="CI63" s="3972"/>
      <c r="CJ63" s="3972"/>
      <c r="CK63" s="3972"/>
      <c r="CL63" s="3972"/>
      <c r="CM63" s="3972"/>
      <c r="CN63" s="3972"/>
      <c r="CO63" s="3973"/>
      <c r="CP63" s="3971"/>
      <c r="CQ63" s="3972"/>
      <c r="CR63" s="3972"/>
      <c r="CS63" s="3972"/>
      <c r="CT63" s="3972"/>
      <c r="CU63" s="3972"/>
      <c r="CV63" s="3972"/>
      <c r="CW63" s="3973"/>
      <c r="CX63" s="3971"/>
      <c r="CY63" s="3972"/>
      <c r="CZ63" s="3972"/>
      <c r="DA63" s="3972"/>
      <c r="DB63" s="3972"/>
      <c r="DC63" s="3972"/>
      <c r="DD63" s="3972"/>
      <c r="DE63" s="3973"/>
      <c r="DF63" s="3973"/>
      <c r="DG63" s="4441"/>
      <c r="DH63" s="4143"/>
      <c r="DI63" s="4251"/>
      <c r="DJ63" s="4251" t="str">
        <f>IF(T63="","",T63)</f>
        <v/>
      </c>
      <c r="DK63" s="4251"/>
      <c r="DL63" s="4251"/>
      <c r="DM63" s="3961">
        <v>0</v>
      </c>
    </row>
    <row s="32038" customFormat="1" customHeight="1" ht="21">
      <c r="A64" s="4238"/>
      <c r="B64" s="4238"/>
      <c r="C64" s="4238"/>
      <c r="D64" s="4238"/>
      <c r="E64" s="4239"/>
      <c r="F64" s="4239">
        <v>1</v>
      </c>
      <c r="G64" s="4239"/>
      <c r="H64" s="4239"/>
      <c r="I64" s="4240"/>
      <c r="J64" s="4241" t="str">
        <f>I63&amp;".1"</f>
        <v>....1.1</v>
      </c>
      <c r="K64" s="4238"/>
      <c r="L64" s="4242" t="s">
        <v>466</v>
      </c>
      <c r="M64" s="4135"/>
      <c r="N64" s="4135"/>
      <c r="O64" s="4243"/>
      <c r="P64" s="4244"/>
      <c r="Q64" s="4244">
        <v>1</v>
      </c>
      <c r="R64" s="4246"/>
      <c r="S64" s="4247" t="str">
        <f>$J64</f>
        <v>....1.1</v>
      </c>
      <c r="T64" s="4248" t="s">
        <v>467</v>
      </c>
      <c r="U64" s="4249"/>
      <c r="V64" s="3975"/>
      <c r="W64" s="3976"/>
      <c r="X64" s="3976"/>
      <c r="Y64" s="3976"/>
      <c r="Z64" s="3976"/>
      <c r="AA64" s="3976"/>
      <c r="AB64" s="3976"/>
      <c r="AC64" s="3977"/>
      <c r="AD64" s="3975" t="s">
        <v>507</v>
      </c>
      <c r="AE64" s="3976"/>
      <c r="AF64" s="3976"/>
      <c r="AG64" s="3976"/>
      <c r="AH64" s="3976"/>
      <c r="AI64" s="3976"/>
      <c r="AJ64" s="3976"/>
      <c r="AK64" s="3976"/>
      <c r="AL64" s="3975"/>
      <c r="AM64" s="3976"/>
      <c r="AN64" s="3976"/>
      <c r="AO64" s="3976"/>
      <c r="AP64" s="3976"/>
      <c r="AQ64" s="3976"/>
      <c r="AR64" s="3976"/>
      <c r="AS64" s="3977"/>
      <c r="AT64" s="3975"/>
      <c r="AU64" s="3976"/>
      <c r="AV64" s="3976"/>
      <c r="AW64" s="3976"/>
      <c r="AX64" s="3976"/>
      <c r="AY64" s="3976"/>
      <c r="AZ64" s="3976"/>
      <c r="BA64" s="3977"/>
      <c r="BB64" s="3975"/>
      <c r="BC64" s="3976"/>
      <c r="BD64" s="3976"/>
      <c r="BE64" s="3976"/>
      <c r="BF64" s="3976"/>
      <c r="BG64" s="3976"/>
      <c r="BH64" s="3976"/>
      <c r="BI64" s="3977"/>
      <c r="BJ64" s="3975"/>
      <c r="BK64" s="3976"/>
      <c r="BL64" s="3976"/>
      <c r="BM64" s="3976"/>
      <c r="BN64" s="3976"/>
      <c r="BO64" s="3976"/>
      <c r="BP64" s="3976"/>
      <c r="BQ64" s="3977"/>
      <c r="BR64" s="3975"/>
      <c r="BS64" s="3976"/>
      <c r="BT64" s="3976"/>
      <c r="BU64" s="3976"/>
      <c r="BV64" s="3976"/>
      <c r="BW64" s="3976"/>
      <c r="BX64" s="3976"/>
      <c r="BY64" s="3977"/>
      <c r="BZ64" s="3975"/>
      <c r="CA64" s="3976"/>
      <c r="CB64" s="3976"/>
      <c r="CC64" s="3976"/>
      <c r="CD64" s="3976"/>
      <c r="CE64" s="3976"/>
      <c r="CF64" s="3976"/>
      <c r="CG64" s="3977"/>
      <c r="CH64" s="3975"/>
      <c r="CI64" s="3976"/>
      <c r="CJ64" s="3976"/>
      <c r="CK64" s="3976"/>
      <c r="CL64" s="3976"/>
      <c r="CM64" s="3976"/>
      <c r="CN64" s="3976"/>
      <c r="CO64" s="3977"/>
      <c r="CP64" s="3975"/>
      <c r="CQ64" s="3976"/>
      <c r="CR64" s="3976"/>
      <c r="CS64" s="3976"/>
      <c r="CT64" s="3976"/>
      <c r="CU64" s="3976"/>
      <c r="CV64" s="3976"/>
      <c r="CW64" s="3977"/>
      <c r="CX64" s="3975"/>
      <c r="CY64" s="3976"/>
      <c r="CZ64" s="3976"/>
      <c r="DA64" s="3976"/>
      <c r="DB64" s="3976"/>
      <c r="DC64" s="3976"/>
      <c r="DD64" s="3976"/>
      <c r="DE64" s="3977"/>
      <c r="DF64" s="3977"/>
      <c r="DG64" s="4250" t="s">
        <v>468</v>
      </c>
      <c r="DH64" s="4143"/>
      <c r="DI64" s="4251"/>
      <c r="DJ64" s="4251" t="str">
        <f>IF(T64="","",T64)</f>
        <v>Группа потребителей</v>
      </c>
      <c r="DK64" s="4251"/>
      <c r="DL64" s="4251"/>
      <c r="DM64" s="3961">
        <v>0</v>
      </c>
    </row>
    <row s="32039" customFormat="1" customHeight="1" ht="21">
      <c r="A65" s="4238"/>
      <c r="B65" s="4238"/>
      <c r="C65" s="4238"/>
      <c r="D65" s="4238"/>
      <c r="E65" s="4239"/>
      <c r="F65" s="4239">
        <v>1</v>
      </c>
      <c r="G65" s="4239"/>
      <c r="H65" s="4239"/>
      <c r="I65" s="4240"/>
      <c r="J65" s="4240"/>
      <c r="K65" s="4241" t="str">
        <f>J64&amp;".1"</f>
        <v>....1.1.1</v>
      </c>
      <c r="L65" s="4242" t="s">
        <v>469</v>
      </c>
      <c r="M65" s="4135"/>
      <c r="N65" s="4135"/>
      <c r="O65" s="4135"/>
      <c r="P65" s="4244"/>
      <c r="Q65" s="4244"/>
      <c r="R65" s="4246">
        <v>1</v>
      </c>
      <c r="S65" s="4247" t="str">
        <f>$K65</f>
        <v>....1.1.1</v>
      </c>
      <c r="T65" s="4253" t="s">
        <v>508</v>
      </c>
      <c r="U65" s="4249"/>
      <c r="V65" s="3978"/>
      <c r="W65" s="3979"/>
      <c r="X65" s="3978"/>
      <c r="Y65" s="3980"/>
      <c r="Z65" s="3981"/>
      <c r="AA65" s="3365" t="s">
        <v>64</v>
      </c>
      <c r="AB65" s="3981"/>
      <c r="AC65" s="3365" t="s">
        <v>64</v>
      </c>
      <c r="AD65" s="3978">
        <v>21.97</v>
      </c>
      <c r="AE65" s="3979"/>
      <c r="AF65" s="3978"/>
      <c r="AG65" s="3980"/>
      <c r="AH65" s="3981">
        <v>45292</v>
      </c>
      <c r="AI65" s="3365" t="s">
        <v>64</v>
      </c>
      <c r="AJ65" s="3981">
        <v>45473</v>
      </c>
      <c r="AK65" s="3365" t="s">
        <v>64</v>
      </c>
      <c r="AL65" s="3978">
        <v>26.68</v>
      </c>
      <c r="AM65" s="3979"/>
      <c r="AN65" s="3978"/>
      <c r="AO65" s="3980"/>
      <c r="AP65" s="3981">
        <v>45474</v>
      </c>
      <c r="AQ65" s="3365" t="s">
        <v>64</v>
      </c>
      <c r="AR65" s="3981">
        <v>45657</v>
      </c>
      <c r="AS65" s="3365" t="s">
        <v>64</v>
      </c>
      <c r="AT65" s="3978">
        <v>26.68</v>
      </c>
      <c r="AU65" s="3979"/>
      <c r="AV65" s="3978"/>
      <c r="AW65" s="3980"/>
      <c r="AX65" s="3981">
        <v>45658</v>
      </c>
      <c r="AY65" s="3365" t="s">
        <v>64</v>
      </c>
      <c r="AZ65" s="3981">
        <v>45838</v>
      </c>
      <c r="BA65" s="3365" t="s">
        <v>64</v>
      </c>
      <c r="BB65" s="3978">
        <v>29.93</v>
      </c>
      <c r="BC65" s="3979"/>
      <c r="BD65" s="3978"/>
      <c r="BE65" s="3980"/>
      <c r="BF65" s="3981">
        <v>45839</v>
      </c>
      <c r="BG65" s="3365" t="s">
        <v>64</v>
      </c>
      <c r="BH65" s="3981">
        <v>46022</v>
      </c>
      <c r="BI65" s="3365" t="s">
        <v>64</v>
      </c>
      <c r="BJ65" s="3978">
        <v>31.09</v>
      </c>
      <c r="BK65" s="3979"/>
      <c r="BL65" s="3978"/>
      <c r="BM65" s="3980"/>
      <c r="BN65" s="3981">
        <v>46023</v>
      </c>
      <c r="BO65" s="3365" t="s">
        <v>64</v>
      </c>
      <c r="BP65" s="3981">
        <v>46203</v>
      </c>
      <c r="BQ65" s="3365" t="s">
        <v>64</v>
      </c>
      <c r="BR65" s="3978">
        <v>36.47</v>
      </c>
      <c r="BS65" s="3979"/>
      <c r="BT65" s="3978"/>
      <c r="BU65" s="3980"/>
      <c r="BV65" s="3981">
        <v>46204</v>
      </c>
      <c r="BW65" s="3365" t="s">
        <v>64</v>
      </c>
      <c r="BX65" s="3981">
        <v>46387</v>
      </c>
      <c r="BY65" s="3365" t="s">
        <v>64</v>
      </c>
      <c r="BZ65" s="3978">
        <v>36.47</v>
      </c>
      <c r="CA65" s="3979"/>
      <c r="CB65" s="3978"/>
      <c r="CC65" s="3980"/>
      <c r="CD65" s="3981">
        <v>46388</v>
      </c>
      <c r="CE65" s="3365" t="s">
        <v>64</v>
      </c>
      <c r="CF65" s="3981">
        <v>46568</v>
      </c>
      <c r="CG65" s="3365" t="s">
        <v>64</v>
      </c>
      <c r="CH65" s="3978">
        <v>37.96</v>
      </c>
      <c r="CI65" s="3979"/>
      <c r="CJ65" s="3978"/>
      <c r="CK65" s="3980"/>
      <c r="CL65" s="3981">
        <v>46569</v>
      </c>
      <c r="CM65" s="3365" t="s">
        <v>64</v>
      </c>
      <c r="CN65" s="3981">
        <v>46752</v>
      </c>
      <c r="CO65" s="3365" t="s">
        <v>64</v>
      </c>
      <c r="CP65" s="3978">
        <v>37.96</v>
      </c>
      <c r="CQ65" s="3979"/>
      <c r="CR65" s="3978"/>
      <c r="CS65" s="3980"/>
      <c r="CT65" s="3981">
        <v>46753</v>
      </c>
      <c r="CU65" s="3365" t="s">
        <v>64</v>
      </c>
      <c r="CV65" s="3981">
        <v>46934</v>
      </c>
      <c r="CW65" s="3365" t="s">
        <v>64</v>
      </c>
      <c r="CX65" s="3978">
        <v>38.93</v>
      </c>
      <c r="CY65" s="3979"/>
      <c r="CZ65" s="3978"/>
      <c r="DA65" s="3980"/>
      <c r="DB65" s="3981">
        <v>46935</v>
      </c>
      <c r="DC65" s="3365" t="s">
        <v>64</v>
      </c>
      <c r="DD65" s="3981">
        <v>47118</v>
      </c>
      <c r="DE65" s="3365" t="s">
        <v>64</v>
      </c>
      <c r="DF65" s="3979"/>
      <c r="DG65" s="4254" t="s">
        <v>470</v>
      </c>
      <c r="DH65" s="4143">
        <f>STRCHECKDATE(V66:DF66)</f>
      </c>
      <c r="DI65" s="4251"/>
      <c r="DJ65" s="4251" t="str">
        <f>IF(T65="","",T65)</f>
        <v>вода</v>
      </c>
      <c r="DK65" s="4251"/>
      <c r="DL65" s="4251"/>
      <c r="DM65" s="3961">
        <v>0</v>
      </c>
    </row>
    <row s="32040" customFormat="1" customHeight="1" ht="0.75">
      <c r="A66" s="4238"/>
      <c r="B66" s="4238"/>
      <c r="C66" s="4238"/>
      <c r="D66" s="4238"/>
      <c r="E66" s="4239"/>
      <c r="F66" s="4239">
        <v>1</v>
      </c>
      <c r="G66" s="4239"/>
      <c r="H66" s="4239"/>
      <c r="I66" s="4240"/>
      <c r="J66" s="4240"/>
      <c r="K66" s="4241"/>
      <c r="L66" s="4242"/>
      <c r="M66" s="4135"/>
      <c r="N66" s="4135"/>
      <c r="O66" s="4135"/>
      <c r="P66" s="4244"/>
      <c r="Q66" s="4244"/>
      <c r="R66" s="4246"/>
      <c r="S66" s="4256"/>
      <c r="T66" s="4249"/>
      <c r="U66" s="4249"/>
      <c r="V66" s="3979"/>
      <c r="W66" s="3979"/>
      <c r="X66" s="3979"/>
      <c r="Y66" s="3982" t="str">
        <f>Z65&amp;"-"&amp;AB65</f>
        <v>-</v>
      </c>
      <c r="Z66" s="3983"/>
      <c r="AA66" s="3365"/>
      <c r="AB66" s="3983"/>
      <c r="AC66" s="3365"/>
      <c r="AD66" s="3979"/>
      <c r="AE66" s="3979"/>
      <c r="AF66" s="3979"/>
      <c r="AG66" s="3982" t="str">
        <f>AH65&amp;"-"&amp;AJ65</f>
        <v>45292-45473</v>
      </c>
      <c r="AH66" s="3983"/>
      <c r="AI66" s="3365"/>
      <c r="AJ66" s="3983"/>
      <c r="AK66" s="3365"/>
      <c r="AL66" s="3979"/>
      <c r="AM66" s="3979"/>
      <c r="AN66" s="3979"/>
      <c r="AO66" s="3982" t="str">
        <f>AP65&amp;"-"&amp;AR65</f>
        <v>45474-45657</v>
      </c>
      <c r="AP66" s="3983"/>
      <c r="AQ66" s="3365"/>
      <c r="AR66" s="3983"/>
      <c r="AS66" s="3365"/>
      <c r="AT66" s="3979"/>
      <c r="AU66" s="3979"/>
      <c r="AV66" s="3979"/>
      <c r="AW66" s="3982" t="str">
        <f>AX65&amp;"-"&amp;AZ65</f>
        <v>45658-45838</v>
      </c>
      <c r="AX66" s="3983"/>
      <c r="AY66" s="3365"/>
      <c r="AZ66" s="3983"/>
      <c r="BA66" s="3365"/>
      <c r="BB66" s="3979"/>
      <c r="BC66" s="3979"/>
      <c r="BD66" s="3979"/>
      <c r="BE66" s="3982" t="str">
        <f>BF65&amp;"-"&amp;BH65</f>
        <v>45839-46022</v>
      </c>
      <c r="BF66" s="3983"/>
      <c r="BG66" s="3365"/>
      <c r="BH66" s="3983"/>
      <c r="BI66" s="3365"/>
      <c r="BJ66" s="3979"/>
      <c r="BK66" s="3979"/>
      <c r="BL66" s="3979"/>
      <c r="BM66" s="3982" t="str">
        <f>BN65&amp;"-"&amp;BP65</f>
        <v>46023-46203</v>
      </c>
      <c r="BN66" s="3983"/>
      <c r="BO66" s="3365"/>
      <c r="BP66" s="3983"/>
      <c r="BQ66" s="3365"/>
      <c r="BR66" s="3979"/>
      <c r="BS66" s="3979"/>
      <c r="BT66" s="3979"/>
      <c r="BU66" s="3982" t="str">
        <f>BV65&amp;"-"&amp;BX65</f>
        <v>46204-46387</v>
      </c>
      <c r="BV66" s="3983"/>
      <c r="BW66" s="3365"/>
      <c r="BX66" s="3983"/>
      <c r="BY66" s="3365"/>
      <c r="BZ66" s="3979"/>
      <c r="CA66" s="3979"/>
      <c r="CB66" s="3979"/>
      <c r="CC66" s="3982" t="str">
        <f>CD65&amp;"-"&amp;CF65</f>
        <v>46388-46568</v>
      </c>
      <c r="CD66" s="3983"/>
      <c r="CE66" s="3365"/>
      <c r="CF66" s="3983"/>
      <c r="CG66" s="3365"/>
      <c r="CH66" s="3979"/>
      <c r="CI66" s="3979"/>
      <c r="CJ66" s="3979"/>
      <c r="CK66" s="3982" t="str">
        <f>CL65&amp;"-"&amp;CN65</f>
        <v>46569-46752</v>
      </c>
      <c r="CL66" s="3983"/>
      <c r="CM66" s="3365"/>
      <c r="CN66" s="3983"/>
      <c r="CO66" s="3365"/>
      <c r="CP66" s="3979"/>
      <c r="CQ66" s="3979"/>
      <c r="CR66" s="3979"/>
      <c r="CS66" s="3982" t="str">
        <f>CT65&amp;"-"&amp;CV65</f>
        <v>46753-46934</v>
      </c>
      <c r="CT66" s="3983"/>
      <c r="CU66" s="3365"/>
      <c r="CV66" s="3983"/>
      <c r="CW66" s="3365"/>
      <c r="CX66" s="3979"/>
      <c r="CY66" s="3979"/>
      <c r="CZ66" s="3979"/>
      <c r="DA66" s="3982" t="str">
        <f>DB65&amp;"-"&amp;DD65</f>
        <v>46935-47118</v>
      </c>
      <c r="DB66" s="3983"/>
      <c r="DC66" s="3365"/>
      <c r="DD66" s="3983"/>
      <c r="DE66" s="3365"/>
      <c r="DF66" s="3979"/>
      <c r="DG66" s="4257"/>
      <c r="DH66" s="4143"/>
      <c r="DI66" s="4251"/>
      <c r="DJ66" s="4251" t="str">
        <f>IF(T66="","",T66)</f>
        <v/>
      </c>
      <c r="DK66" s="4251"/>
      <c r="DL66" s="4251"/>
      <c r="DM66" s="3961">
        <v>0</v>
      </c>
    </row>
    <row s="32041" customFormat="1" customHeight="1" ht="15">
      <c r="A67" s="4238"/>
      <c r="B67" s="4238"/>
      <c r="C67" s="4238"/>
      <c r="D67" s="4238"/>
      <c r="E67" s="4239"/>
      <c r="F67" s="4239">
        <v>1</v>
      </c>
      <c r="G67" s="4239"/>
      <c r="H67" s="4239"/>
      <c r="I67" s="4240"/>
      <c r="J67" s="4241"/>
      <c r="K67" s="4238"/>
      <c r="L67" s="4242"/>
      <c r="M67" s="4135"/>
      <c r="N67" s="4135"/>
      <c r="O67" s="4243"/>
      <c r="P67" s="4244"/>
      <c r="Q67" s="4244"/>
      <c r="R67" s="4259"/>
      <c r="S67" s="4446"/>
      <c r="T67" s="4447" t="s">
        <v>471</v>
      </c>
      <c r="U67" s="4448"/>
      <c r="V67" s="4449"/>
      <c r="W67" s="4450"/>
      <c r="X67" s="4451"/>
      <c r="Y67" s="4452"/>
      <c r="Z67" s="4453"/>
      <c r="AA67" s="4454"/>
      <c r="AB67" s="4455"/>
      <c r="AC67" s="4456"/>
      <c r="AD67" s="4457"/>
      <c r="AE67" s="4458"/>
      <c r="AF67" s="4459"/>
      <c r="AG67" s="4460"/>
      <c r="AH67" s="4461"/>
      <c r="AI67" s="4462"/>
      <c r="AJ67" s="4463"/>
      <c r="AK67" s="4464"/>
      <c r="AL67" s="4465"/>
      <c r="AM67" s="4466"/>
      <c r="AN67" s="4467"/>
      <c r="AO67" s="4468"/>
      <c r="AP67" s="4469"/>
      <c r="AQ67" s="4470"/>
      <c r="AR67" s="4471"/>
      <c r="AS67" s="4472"/>
      <c r="AT67" s="4473"/>
      <c r="AU67" s="4474"/>
      <c r="AV67" s="4475"/>
      <c r="AW67" s="4476"/>
      <c r="AX67" s="4477"/>
      <c r="AY67" s="4478"/>
      <c r="AZ67" s="4479"/>
      <c r="BA67" s="4480"/>
      <c r="BB67" s="4481"/>
      <c r="BC67" s="4482"/>
      <c r="BD67" s="4483"/>
      <c r="BE67" s="4484"/>
      <c r="BF67" s="4485"/>
      <c r="BG67" s="4486"/>
      <c r="BH67" s="4487"/>
      <c r="BI67" s="4488"/>
      <c r="BJ67" s="4489"/>
      <c r="BK67" s="4490"/>
      <c r="BL67" s="4491"/>
      <c r="BM67" s="4492"/>
      <c r="BN67" s="4493"/>
      <c r="BO67" s="4494"/>
      <c r="BP67" s="4495"/>
      <c r="BQ67" s="4496"/>
      <c r="BR67" s="4497"/>
      <c r="BS67" s="4498"/>
      <c r="BT67" s="4499"/>
      <c r="BU67" s="4500"/>
      <c r="BV67" s="4501"/>
      <c r="BW67" s="4502"/>
      <c r="BX67" s="4503"/>
      <c r="BY67" s="4504"/>
      <c r="BZ67" s="4505"/>
      <c r="CA67" s="4506"/>
      <c r="CB67" s="4507"/>
      <c r="CC67" s="4508"/>
      <c r="CD67" s="4509"/>
      <c r="CE67" s="4510"/>
      <c r="CF67" s="4511"/>
      <c r="CG67" s="4512"/>
      <c r="CH67" s="4513"/>
      <c r="CI67" s="4514"/>
      <c r="CJ67" s="4515"/>
      <c r="CK67" s="4516"/>
      <c r="CL67" s="4517"/>
      <c r="CM67" s="4518"/>
      <c r="CN67" s="4519"/>
      <c r="CO67" s="4520"/>
      <c r="CP67" s="4521"/>
      <c r="CQ67" s="4522"/>
      <c r="CR67" s="4523"/>
      <c r="CS67" s="4524"/>
      <c r="CT67" s="4525"/>
      <c r="CU67" s="4526"/>
      <c r="CV67" s="4527"/>
      <c r="CW67" s="4528"/>
      <c r="CX67" s="4529"/>
      <c r="CY67" s="4530"/>
      <c r="CZ67" s="4531"/>
      <c r="DA67" s="4532"/>
      <c r="DB67" s="4533"/>
      <c r="DC67" s="4534"/>
      <c r="DD67" s="4535"/>
      <c r="DE67" s="4536"/>
      <c r="DF67" s="4537"/>
      <c r="DG67" s="4352"/>
      <c r="DH67" s="4143"/>
      <c r="DI67" s="4251"/>
      <c r="DJ67" s="4251" t="str">
        <f>IF(T67="","",T67)</f>
        <v>Добавить вид теплоносителя (параметры теплоносителя)</v>
      </c>
      <c r="DK67" s="4251"/>
      <c r="DL67" s="4251"/>
      <c r="DM67" s="3961">
        <v>0</v>
      </c>
    </row>
    <row s="32134" customFormat="1" customHeight="1" ht="21">
      <c r="A68" s="4238"/>
      <c r="B68" s="4238"/>
      <c r="C68" s="4238"/>
      <c r="D68" s="4238"/>
      <c r="E68" s="4239"/>
      <c r="F68" s="4239"/>
      <c r="G68" s="4239"/>
      <c r="H68" s="4239"/>
      <c r="I68" s="4240"/>
      <c r="J68" s="4241" t="str">
        <f>I63&amp;".2"</f>
        <v>....1.2</v>
      </c>
      <c r="K68" s="4238"/>
      <c r="L68" s="4242" t="s">
        <v>466</v>
      </c>
      <c r="M68" s="4135"/>
      <c r="N68" s="4135"/>
      <c r="O68" s="4243"/>
      <c r="P68" s="4244"/>
      <c r="Q68" s="4245" t="s">
        <v>106</v>
      </c>
      <c r="R68" s="4246"/>
      <c r="S68" s="4247" t="str">
        <f>$J68</f>
        <v>....1.2</v>
      </c>
      <c r="T68" s="4248" t="s">
        <v>467</v>
      </c>
      <c r="U68" s="4249"/>
      <c r="V68" s="3975"/>
      <c r="W68" s="3976"/>
      <c r="X68" s="3976"/>
      <c r="Y68" s="3976"/>
      <c r="Z68" s="3976"/>
      <c r="AA68" s="3976"/>
      <c r="AB68" s="3976"/>
      <c r="AC68" s="3977"/>
      <c r="AD68" s="3975" t="s">
        <v>510</v>
      </c>
      <c r="AE68" s="3976"/>
      <c r="AF68" s="3976"/>
      <c r="AG68" s="3976"/>
      <c r="AH68" s="3976"/>
      <c r="AI68" s="3976"/>
      <c r="AJ68" s="3976"/>
      <c r="AK68" s="3976"/>
      <c r="AL68" s="3975"/>
      <c r="AM68" s="3976"/>
      <c r="AN68" s="3976"/>
      <c r="AO68" s="3976"/>
      <c r="AP68" s="3976"/>
      <c r="AQ68" s="3976"/>
      <c r="AR68" s="3976"/>
      <c r="AS68" s="3977"/>
      <c r="AT68" s="3975"/>
      <c r="AU68" s="3976"/>
      <c r="AV68" s="3976"/>
      <c r="AW68" s="3976"/>
      <c r="AX68" s="3976"/>
      <c r="AY68" s="3976"/>
      <c r="AZ68" s="3976"/>
      <c r="BA68" s="3977"/>
      <c r="BB68" s="3975"/>
      <c r="BC68" s="3976"/>
      <c r="BD68" s="3976"/>
      <c r="BE68" s="3976"/>
      <c r="BF68" s="3976"/>
      <c r="BG68" s="3976"/>
      <c r="BH68" s="3976"/>
      <c r="BI68" s="3977"/>
      <c r="BJ68" s="3975"/>
      <c r="BK68" s="3976"/>
      <c r="BL68" s="3976"/>
      <c r="BM68" s="3976"/>
      <c r="BN68" s="3976"/>
      <c r="BO68" s="3976"/>
      <c r="BP68" s="3976"/>
      <c r="BQ68" s="3977"/>
      <c r="BR68" s="3975"/>
      <c r="BS68" s="3976"/>
      <c r="BT68" s="3976"/>
      <c r="BU68" s="3976"/>
      <c r="BV68" s="3976"/>
      <c r="BW68" s="3976"/>
      <c r="BX68" s="3976"/>
      <c r="BY68" s="3977"/>
      <c r="BZ68" s="3975"/>
      <c r="CA68" s="3976"/>
      <c r="CB68" s="3976"/>
      <c r="CC68" s="3976"/>
      <c r="CD68" s="3976"/>
      <c r="CE68" s="3976"/>
      <c r="CF68" s="3976"/>
      <c r="CG68" s="3977"/>
      <c r="CH68" s="3975"/>
      <c r="CI68" s="3976"/>
      <c r="CJ68" s="3976"/>
      <c r="CK68" s="3976"/>
      <c r="CL68" s="3976"/>
      <c r="CM68" s="3976"/>
      <c r="CN68" s="3976"/>
      <c r="CO68" s="3977"/>
      <c r="CP68" s="3975"/>
      <c r="CQ68" s="3976"/>
      <c r="CR68" s="3976"/>
      <c r="CS68" s="3976"/>
      <c r="CT68" s="3976"/>
      <c r="CU68" s="3976"/>
      <c r="CV68" s="3976"/>
      <c r="CW68" s="3977"/>
      <c r="CX68" s="3975"/>
      <c r="CY68" s="3976"/>
      <c r="CZ68" s="3976"/>
      <c r="DA68" s="3976"/>
      <c r="DB68" s="3976"/>
      <c r="DC68" s="3976"/>
      <c r="DD68" s="3976"/>
      <c r="DE68" s="3977"/>
      <c r="DF68" s="3977"/>
      <c r="DG68" s="4250" t="s">
        <v>468</v>
      </c>
      <c r="DH68" s="4143"/>
      <c r="DI68" s="4251"/>
      <c r="DJ68" s="4251" t="str">
        <f>IF(T68="","",T68)</f>
        <v>Группа потребителей</v>
      </c>
      <c r="DK68" s="4251"/>
      <c r="DL68" s="4251"/>
      <c r="DM68" s="3961">
        <v>0</v>
      </c>
    </row>
    <row s="32135" customFormat="1" customHeight="1" ht="21">
      <c r="A69" s="4238"/>
      <c r="B69" s="4238"/>
      <c r="C69" s="4238"/>
      <c r="D69" s="4238"/>
      <c r="E69" s="4239"/>
      <c r="F69" s="4239"/>
      <c r="G69" s="4239"/>
      <c r="H69" s="4239"/>
      <c r="I69" s="4240"/>
      <c r="J69" s="4240" t="str">
        <f>I63&amp;".1"</f>
        <v>....1.1</v>
      </c>
      <c r="K69" s="4241" t="str">
        <f>J68&amp;".1"</f>
        <v>....1.2.1</v>
      </c>
      <c r="L69" s="4242" t="s">
        <v>469</v>
      </c>
      <c r="M69" s="4135"/>
      <c r="N69" s="4135"/>
      <c r="O69" s="4135"/>
      <c r="P69" s="4244"/>
      <c r="Q69" s="4244"/>
      <c r="R69" s="4246">
        <v>1</v>
      </c>
      <c r="S69" s="4247" t="str">
        <f>$K69</f>
        <v>....1.2.1</v>
      </c>
      <c r="T69" s="4253" t="s">
        <v>508</v>
      </c>
      <c r="U69" s="4249"/>
      <c r="V69" s="3978"/>
      <c r="W69" s="3979"/>
      <c r="X69" s="3978"/>
      <c r="Y69" s="3980"/>
      <c r="Z69" s="3981"/>
      <c r="AA69" s="3365" t="s">
        <v>64</v>
      </c>
      <c r="AB69" s="3981"/>
      <c r="AC69" s="3365" t="s">
        <v>64</v>
      </c>
      <c r="AD69" s="3978">
        <v>26.37</v>
      </c>
      <c r="AE69" s="3979"/>
      <c r="AF69" s="3978"/>
      <c r="AG69" s="3980"/>
      <c r="AH69" s="3981">
        <v>45292</v>
      </c>
      <c r="AI69" s="3365" t="s">
        <v>64</v>
      </c>
      <c r="AJ69" s="3981">
        <v>45473</v>
      </c>
      <c r="AK69" s="3365" t="s">
        <v>64</v>
      </c>
      <c r="AL69" s="3978">
        <v>32.01</v>
      </c>
      <c r="AM69" s="3979"/>
      <c r="AN69" s="3978"/>
      <c r="AO69" s="3980"/>
      <c r="AP69" s="3981">
        <v>45474</v>
      </c>
      <c r="AQ69" s="3365" t="s">
        <v>64</v>
      </c>
      <c r="AR69" s="3981">
        <v>45657</v>
      </c>
      <c r="AS69" s="3365" t="s">
        <v>64</v>
      </c>
      <c r="AT69" s="3978">
        <v>32.01</v>
      </c>
      <c r="AU69" s="3979"/>
      <c r="AV69" s="3978"/>
      <c r="AW69" s="3980"/>
      <c r="AX69" s="3981">
        <v>45658</v>
      </c>
      <c r="AY69" s="3365" t="s">
        <v>64</v>
      </c>
      <c r="AZ69" s="3981">
        <v>45838</v>
      </c>
      <c r="BA69" s="3365" t="s">
        <v>64</v>
      </c>
      <c r="BB69" s="3978">
        <v>35.92</v>
      </c>
      <c r="BC69" s="3979"/>
      <c r="BD69" s="3978"/>
      <c r="BE69" s="3980"/>
      <c r="BF69" s="3981">
        <v>45839</v>
      </c>
      <c r="BG69" s="3365" t="s">
        <v>64</v>
      </c>
      <c r="BH69" s="3981">
        <v>46022</v>
      </c>
      <c r="BI69" s="3365" t="s">
        <v>64</v>
      </c>
      <c r="BJ69" s="3978">
        <v>37.31</v>
      </c>
      <c r="BK69" s="3979"/>
      <c r="BL69" s="3978"/>
      <c r="BM69" s="3980"/>
      <c r="BN69" s="3981">
        <v>46023</v>
      </c>
      <c r="BO69" s="3365" t="s">
        <v>64</v>
      </c>
      <c r="BP69" s="3981">
        <v>46203</v>
      </c>
      <c r="BQ69" s="3365" t="s">
        <v>64</v>
      </c>
      <c r="BR69" s="3978">
        <v>43.77</v>
      </c>
      <c r="BS69" s="3979"/>
      <c r="BT69" s="3978"/>
      <c r="BU69" s="3980"/>
      <c r="BV69" s="3981">
        <v>46204</v>
      </c>
      <c r="BW69" s="3365" t="s">
        <v>64</v>
      </c>
      <c r="BX69" s="3981">
        <v>46387</v>
      </c>
      <c r="BY69" s="3365" t="s">
        <v>64</v>
      </c>
      <c r="BZ69" s="3978">
        <v>43.77</v>
      </c>
      <c r="CA69" s="3979"/>
      <c r="CB69" s="3978"/>
      <c r="CC69" s="3980"/>
      <c r="CD69" s="3981">
        <v>46388</v>
      </c>
      <c r="CE69" s="3365" t="s">
        <v>64</v>
      </c>
      <c r="CF69" s="3981">
        <v>46568</v>
      </c>
      <c r="CG69" s="3365" t="s">
        <v>64</v>
      </c>
      <c r="CH69" s="3978">
        <v>45.55</v>
      </c>
      <c r="CI69" s="3979"/>
      <c r="CJ69" s="3978"/>
      <c r="CK69" s="3980"/>
      <c r="CL69" s="3981">
        <v>46569</v>
      </c>
      <c r="CM69" s="3365" t="s">
        <v>64</v>
      </c>
      <c r="CN69" s="3981">
        <v>46752</v>
      </c>
      <c r="CO69" s="3365" t="s">
        <v>64</v>
      </c>
      <c r="CP69" s="3978">
        <v>45.55</v>
      </c>
      <c r="CQ69" s="3979"/>
      <c r="CR69" s="3978"/>
      <c r="CS69" s="3980"/>
      <c r="CT69" s="3981">
        <v>46753</v>
      </c>
      <c r="CU69" s="3365" t="s">
        <v>64</v>
      </c>
      <c r="CV69" s="3981">
        <v>46934</v>
      </c>
      <c r="CW69" s="3365" t="s">
        <v>64</v>
      </c>
      <c r="CX69" s="3978">
        <v>46.71</v>
      </c>
      <c r="CY69" s="3979"/>
      <c r="CZ69" s="3978"/>
      <c r="DA69" s="3980"/>
      <c r="DB69" s="3981">
        <v>46935</v>
      </c>
      <c r="DC69" s="3365" t="s">
        <v>64</v>
      </c>
      <c r="DD69" s="3981">
        <v>47118</v>
      </c>
      <c r="DE69" s="3365" t="s">
        <v>64</v>
      </c>
      <c r="DF69" s="3979"/>
      <c r="DG69" s="4254" t="s">
        <v>470</v>
      </c>
      <c r="DH69" s="4143">
        <f>STRCHECKDATE(V70:DF70)</f>
      </c>
      <c r="DI69" s="4251"/>
      <c r="DJ69" s="4251" t="str">
        <f>IF(T69="","",T69)</f>
        <v>вода</v>
      </c>
      <c r="DK69" s="4251"/>
      <c r="DL69" s="4251"/>
      <c r="DM69" s="3961">
        <v>0</v>
      </c>
    </row>
    <row s="32136" customFormat="1" customHeight="1" ht="0.75">
      <c r="A70" s="4238"/>
      <c r="B70" s="4238"/>
      <c r="C70" s="4238"/>
      <c r="D70" s="4238"/>
      <c r="E70" s="4239"/>
      <c r="F70" s="4239"/>
      <c r="G70" s="4239"/>
      <c r="H70" s="4239"/>
      <c r="I70" s="4240"/>
      <c r="J70" s="4240" t="str">
        <f>I63&amp;".1"</f>
        <v>....1.1</v>
      </c>
      <c r="K70" s="4241"/>
      <c r="L70" s="4242"/>
      <c r="M70" s="4135"/>
      <c r="N70" s="4135"/>
      <c r="O70" s="4135"/>
      <c r="P70" s="4244"/>
      <c r="Q70" s="4244"/>
      <c r="R70" s="4246"/>
      <c r="S70" s="4256"/>
      <c r="T70" s="4249"/>
      <c r="U70" s="4249"/>
      <c r="V70" s="3979"/>
      <c r="W70" s="3979"/>
      <c r="X70" s="3979"/>
      <c r="Y70" s="3982" t="str">
        <f>Z69&amp;"-"&amp;AB69</f>
        <v>-</v>
      </c>
      <c r="Z70" s="3983"/>
      <c r="AA70" s="3365"/>
      <c r="AB70" s="3983"/>
      <c r="AC70" s="3365"/>
      <c r="AD70" s="3979"/>
      <c r="AE70" s="3979"/>
      <c r="AF70" s="3979"/>
      <c r="AG70" s="3982" t="str">
        <f>AH69&amp;"-"&amp;AJ69</f>
        <v>45292-45473</v>
      </c>
      <c r="AH70" s="3983"/>
      <c r="AI70" s="3365"/>
      <c r="AJ70" s="3983"/>
      <c r="AK70" s="3365"/>
      <c r="AL70" s="3979"/>
      <c r="AM70" s="3979"/>
      <c r="AN70" s="3979"/>
      <c r="AO70" s="3982" t="str">
        <f>AP69&amp;"-"&amp;AR69</f>
        <v>45474-45657</v>
      </c>
      <c r="AP70" s="3983"/>
      <c r="AQ70" s="3365"/>
      <c r="AR70" s="3983"/>
      <c r="AS70" s="3365"/>
      <c r="AT70" s="3979"/>
      <c r="AU70" s="3979"/>
      <c r="AV70" s="3979"/>
      <c r="AW70" s="3982" t="str">
        <f>AX69&amp;"-"&amp;AZ69</f>
        <v>45658-45838</v>
      </c>
      <c r="AX70" s="3983"/>
      <c r="AY70" s="3365"/>
      <c r="AZ70" s="3983"/>
      <c r="BA70" s="3365"/>
      <c r="BB70" s="3979"/>
      <c r="BC70" s="3979"/>
      <c r="BD70" s="3979"/>
      <c r="BE70" s="3982" t="str">
        <f>BF69&amp;"-"&amp;BH69</f>
        <v>45839-46022</v>
      </c>
      <c r="BF70" s="3983"/>
      <c r="BG70" s="3365"/>
      <c r="BH70" s="3983"/>
      <c r="BI70" s="3365"/>
      <c r="BJ70" s="3979"/>
      <c r="BK70" s="3979"/>
      <c r="BL70" s="3979"/>
      <c r="BM70" s="3982" t="str">
        <f>BN69&amp;"-"&amp;BP69</f>
        <v>46023-46203</v>
      </c>
      <c r="BN70" s="3983"/>
      <c r="BO70" s="3365"/>
      <c r="BP70" s="3983"/>
      <c r="BQ70" s="3365"/>
      <c r="BR70" s="3979"/>
      <c r="BS70" s="3979"/>
      <c r="BT70" s="3979"/>
      <c r="BU70" s="3982" t="str">
        <f>BV69&amp;"-"&amp;BX69</f>
        <v>46204-46387</v>
      </c>
      <c r="BV70" s="3983"/>
      <c r="BW70" s="3365"/>
      <c r="BX70" s="3983"/>
      <c r="BY70" s="3365"/>
      <c r="BZ70" s="3979"/>
      <c r="CA70" s="3979"/>
      <c r="CB70" s="3979"/>
      <c r="CC70" s="3982" t="str">
        <f>CD69&amp;"-"&amp;CF69</f>
        <v>46388-46568</v>
      </c>
      <c r="CD70" s="3983"/>
      <c r="CE70" s="3365"/>
      <c r="CF70" s="3983"/>
      <c r="CG70" s="3365"/>
      <c r="CH70" s="3979"/>
      <c r="CI70" s="3979"/>
      <c r="CJ70" s="3979"/>
      <c r="CK70" s="3982" t="str">
        <f>CL69&amp;"-"&amp;CN69</f>
        <v>46569-46752</v>
      </c>
      <c r="CL70" s="3983"/>
      <c r="CM70" s="3365"/>
      <c r="CN70" s="3983"/>
      <c r="CO70" s="3365"/>
      <c r="CP70" s="3979"/>
      <c r="CQ70" s="3979"/>
      <c r="CR70" s="3979"/>
      <c r="CS70" s="3982" t="str">
        <f>CT69&amp;"-"&amp;CV69</f>
        <v>46753-46934</v>
      </c>
      <c r="CT70" s="3983"/>
      <c r="CU70" s="3365"/>
      <c r="CV70" s="3983"/>
      <c r="CW70" s="3365"/>
      <c r="CX70" s="3979"/>
      <c r="CY70" s="3979"/>
      <c r="CZ70" s="3979"/>
      <c r="DA70" s="3982" t="str">
        <f>DB69&amp;"-"&amp;DD69</f>
        <v>46935-47118</v>
      </c>
      <c r="DB70" s="3983"/>
      <c r="DC70" s="3365"/>
      <c r="DD70" s="3983"/>
      <c r="DE70" s="3365"/>
      <c r="DF70" s="3979"/>
      <c r="DG70" s="4257"/>
      <c r="DH70" s="4143"/>
      <c r="DI70" s="4251"/>
      <c r="DJ70" s="4251" t="str">
        <f>IF(T70="","",T70)</f>
        <v/>
      </c>
      <c r="DK70" s="4251"/>
      <c r="DL70" s="4251"/>
      <c r="DM70" s="3961">
        <v>0</v>
      </c>
    </row>
    <row s="32137" customFormat="1" customHeight="1" ht="15">
      <c r="A71" s="4238"/>
      <c r="B71" s="4238"/>
      <c r="C71" s="4238"/>
      <c r="D71" s="4238"/>
      <c r="E71" s="4239"/>
      <c r="F71" s="4239"/>
      <c r="G71" s="4239"/>
      <c r="H71" s="4239"/>
      <c r="I71" s="4240"/>
      <c r="J71" s="4241" t="str">
        <f>I63&amp;".1"</f>
        <v>....1.1</v>
      </c>
      <c r="K71" s="4238"/>
      <c r="L71" s="4242"/>
      <c r="M71" s="4135"/>
      <c r="N71" s="4135"/>
      <c r="O71" s="4243"/>
      <c r="P71" s="4244"/>
      <c r="Q71" s="4244"/>
      <c r="R71" s="4259"/>
      <c r="S71" s="4542"/>
      <c r="T71" s="4543" t="s">
        <v>471</v>
      </c>
      <c r="U71" s="4544"/>
      <c r="V71" s="4545"/>
      <c r="W71" s="4546"/>
      <c r="X71" s="4547"/>
      <c r="Y71" s="4548"/>
      <c r="Z71" s="4549"/>
      <c r="AA71" s="4550"/>
      <c r="AB71" s="4551"/>
      <c r="AC71" s="4552"/>
      <c r="AD71" s="4553"/>
      <c r="AE71" s="4554"/>
      <c r="AF71" s="4555"/>
      <c r="AG71" s="4556"/>
      <c r="AH71" s="4557"/>
      <c r="AI71" s="4558"/>
      <c r="AJ71" s="4559"/>
      <c r="AK71" s="4560"/>
      <c r="AL71" s="4561"/>
      <c r="AM71" s="4562"/>
      <c r="AN71" s="4563"/>
      <c r="AO71" s="4564"/>
      <c r="AP71" s="4565"/>
      <c r="AQ71" s="4566"/>
      <c r="AR71" s="4567"/>
      <c r="AS71" s="4568"/>
      <c r="AT71" s="4569"/>
      <c r="AU71" s="4570"/>
      <c r="AV71" s="4571"/>
      <c r="AW71" s="4572"/>
      <c r="AX71" s="4573"/>
      <c r="AY71" s="4574"/>
      <c r="AZ71" s="4575"/>
      <c r="BA71" s="4576"/>
      <c r="BB71" s="4577"/>
      <c r="BC71" s="4578"/>
      <c r="BD71" s="4579"/>
      <c r="BE71" s="4580"/>
      <c r="BF71" s="4581"/>
      <c r="BG71" s="4582"/>
      <c r="BH71" s="4583"/>
      <c r="BI71" s="4584"/>
      <c r="BJ71" s="4585"/>
      <c r="BK71" s="4586"/>
      <c r="BL71" s="4587"/>
      <c r="BM71" s="4588"/>
      <c r="BN71" s="4589"/>
      <c r="BO71" s="4590"/>
      <c r="BP71" s="4591"/>
      <c r="BQ71" s="4592"/>
      <c r="BR71" s="4593"/>
      <c r="BS71" s="4594"/>
      <c r="BT71" s="4595"/>
      <c r="BU71" s="4596"/>
      <c r="BV71" s="4597"/>
      <c r="BW71" s="4598"/>
      <c r="BX71" s="4599"/>
      <c r="BY71" s="4600"/>
      <c r="BZ71" s="4601"/>
      <c r="CA71" s="4602"/>
      <c r="CB71" s="4603"/>
      <c r="CC71" s="4604"/>
      <c r="CD71" s="4605"/>
      <c r="CE71" s="4606"/>
      <c r="CF71" s="4607"/>
      <c r="CG71" s="4608"/>
      <c r="CH71" s="4609"/>
      <c r="CI71" s="4610"/>
      <c r="CJ71" s="4611"/>
      <c r="CK71" s="4612"/>
      <c r="CL71" s="4613"/>
      <c r="CM71" s="4614"/>
      <c r="CN71" s="4615"/>
      <c r="CO71" s="4616"/>
      <c r="CP71" s="4617"/>
      <c r="CQ71" s="4618"/>
      <c r="CR71" s="4619"/>
      <c r="CS71" s="4620"/>
      <c r="CT71" s="4621"/>
      <c r="CU71" s="4622"/>
      <c r="CV71" s="4623"/>
      <c r="CW71" s="4624"/>
      <c r="CX71" s="4625"/>
      <c r="CY71" s="4626"/>
      <c r="CZ71" s="4627"/>
      <c r="DA71" s="4628"/>
      <c r="DB71" s="4629"/>
      <c r="DC71" s="4630"/>
      <c r="DD71" s="4631"/>
      <c r="DE71" s="4632"/>
      <c r="DF71" s="4633"/>
      <c r="DG71" s="4352"/>
      <c r="DH71" s="4143"/>
      <c r="DI71" s="4251"/>
      <c r="DJ71" s="4251" t="str">
        <f>IF(T71="","",T71)</f>
        <v>Добавить вид теплоносителя (параметры теплоносителя)</v>
      </c>
      <c r="DK71" s="4251"/>
      <c r="DL71" s="4251"/>
      <c r="DM71" s="3961">
        <v>0</v>
      </c>
    </row>
    <row s="32230" customFormat="1" customHeight="1" ht="15">
      <c r="A72" s="4238"/>
      <c r="B72" s="4238"/>
      <c r="C72" s="4238"/>
      <c r="D72" s="4238"/>
      <c r="E72" s="4239"/>
      <c r="F72" s="4239">
        <v>1</v>
      </c>
      <c r="G72" s="4239"/>
      <c r="H72" s="4239"/>
      <c r="I72" s="4241"/>
      <c r="J72" s="4238"/>
      <c r="K72" s="4238"/>
      <c r="L72" s="4242"/>
      <c r="M72" s="4135"/>
      <c r="N72" s="4243"/>
      <c r="O72" s="4243"/>
      <c r="P72" s="4244"/>
      <c r="Q72" s="4244"/>
      <c r="R72" s="4259"/>
      <c r="S72" s="4635"/>
      <c r="T72" s="4636" t="s">
        <v>472</v>
      </c>
      <c r="U72" s="4637"/>
      <c r="V72" s="4638"/>
      <c r="W72" s="4639"/>
      <c r="X72" s="4640"/>
      <c r="Y72" s="4641"/>
      <c r="Z72" s="4642"/>
      <c r="AA72" s="4643"/>
      <c r="AB72" s="4644"/>
      <c r="AC72" s="4645"/>
      <c r="AD72" s="4646"/>
      <c r="AE72" s="4647"/>
      <c r="AF72" s="4648"/>
      <c r="AG72" s="4649"/>
      <c r="AH72" s="4650"/>
      <c r="AI72" s="4651"/>
      <c r="AJ72" s="4652"/>
      <c r="AK72" s="4653"/>
      <c r="AL72" s="4654"/>
      <c r="AM72" s="4655"/>
      <c r="AN72" s="4656"/>
      <c r="AO72" s="4657"/>
      <c r="AP72" s="4658"/>
      <c r="AQ72" s="4659"/>
      <c r="AR72" s="4660"/>
      <c r="AS72" s="4661"/>
      <c r="AT72" s="4662"/>
      <c r="AU72" s="4663"/>
      <c r="AV72" s="4664"/>
      <c r="AW72" s="4665"/>
      <c r="AX72" s="4666"/>
      <c r="AY72" s="4667"/>
      <c r="AZ72" s="4668"/>
      <c r="BA72" s="4669"/>
      <c r="BB72" s="4670"/>
      <c r="BC72" s="4671"/>
      <c r="BD72" s="4672"/>
      <c r="BE72" s="4673"/>
      <c r="BF72" s="4674"/>
      <c r="BG72" s="4675"/>
      <c r="BH72" s="4676"/>
      <c r="BI72" s="4677"/>
      <c r="BJ72" s="4678"/>
      <c r="BK72" s="4679"/>
      <c r="BL72" s="4680"/>
      <c r="BM72" s="4681"/>
      <c r="BN72" s="4682"/>
      <c r="BO72" s="4683"/>
      <c r="BP72" s="4684"/>
      <c r="BQ72" s="4685"/>
      <c r="BR72" s="4686"/>
      <c r="BS72" s="4687"/>
      <c r="BT72" s="4688"/>
      <c r="BU72" s="4689"/>
      <c r="BV72" s="4690"/>
      <c r="BW72" s="4691"/>
      <c r="BX72" s="4692"/>
      <c r="BY72" s="4693"/>
      <c r="BZ72" s="4694"/>
      <c r="CA72" s="4695"/>
      <c r="CB72" s="4696"/>
      <c r="CC72" s="4697"/>
      <c r="CD72" s="4698"/>
      <c r="CE72" s="4699"/>
      <c r="CF72" s="4700"/>
      <c r="CG72" s="4701"/>
      <c r="CH72" s="4702"/>
      <c r="CI72" s="4703"/>
      <c r="CJ72" s="4704"/>
      <c r="CK72" s="4705"/>
      <c r="CL72" s="4706"/>
      <c r="CM72" s="4707"/>
      <c r="CN72" s="4708"/>
      <c r="CO72" s="4709"/>
      <c r="CP72" s="4710"/>
      <c r="CQ72" s="4711"/>
      <c r="CR72" s="4712"/>
      <c r="CS72" s="4713"/>
      <c r="CT72" s="4714"/>
      <c r="CU72" s="4715"/>
      <c r="CV72" s="4716"/>
      <c r="CW72" s="4717"/>
      <c r="CX72" s="4718"/>
      <c r="CY72" s="4719"/>
      <c r="CZ72" s="4720"/>
      <c r="DA72" s="4721"/>
      <c r="DB72" s="4722"/>
      <c r="DC72" s="4723"/>
      <c r="DD72" s="4724"/>
      <c r="DE72" s="4725"/>
      <c r="DF72" s="4726"/>
      <c r="DG72" s="4727"/>
      <c r="DH72" s="4143"/>
      <c r="DI72" s="4251"/>
      <c r="DJ72" s="4251" t="str">
        <f>IF(T72="","",T72)</f>
        <v>Добавить группу потребителей</v>
      </c>
      <c r="DK72" s="4251"/>
      <c r="DL72" s="4251"/>
      <c r="DM72" s="3961">
        <v>0</v>
      </c>
    </row>
    <row s="32324" customFormat="1" customHeight="1" ht="14.25">
      <c r="A73" s="4238"/>
      <c r="B73" s="4238"/>
      <c r="C73" s="4238"/>
      <c r="D73" s="4238"/>
      <c r="E73" s="4239"/>
      <c r="F73" s="4239">
        <v>1</v>
      </c>
      <c r="G73" s="4239"/>
      <c r="H73" s="4426"/>
      <c r="I73" s="4238"/>
      <c r="J73" s="4238"/>
      <c r="K73" s="4238"/>
      <c r="L73" s="4242"/>
      <c r="M73" s="4427"/>
      <c r="N73" s="4427"/>
      <c r="O73" s="4135"/>
      <c r="P73" s="4729"/>
      <c r="Q73" s="4730"/>
      <c r="R73" s="4731"/>
      <c r="S73" s="4732"/>
      <c r="T73" s="4733"/>
      <c r="U73" s="4131"/>
      <c r="V73" s="4131"/>
      <c r="W73" s="4131"/>
      <c r="X73" s="4131"/>
      <c r="Y73" s="4131"/>
      <c r="Z73" s="4131"/>
      <c r="AA73" s="4131"/>
      <c r="AB73" s="4131"/>
      <c r="AC73" s="4131"/>
      <c r="AD73" s="4131"/>
      <c r="AE73" s="4131"/>
      <c r="AF73" s="4131"/>
      <c r="AG73" s="4131"/>
      <c r="AH73" s="4131"/>
      <c r="AI73" s="4131"/>
      <c r="AJ73" s="4131"/>
      <c r="AK73" s="4131"/>
      <c r="AL73" s="4131"/>
      <c r="AM73" s="4131"/>
      <c r="AN73" s="4131"/>
      <c r="AO73" s="4131"/>
      <c r="AP73" s="4131"/>
      <c r="AQ73" s="4131"/>
      <c r="AR73" s="4131"/>
      <c r="AS73" s="4131"/>
      <c r="AT73" s="4131"/>
      <c r="AU73" s="4131"/>
      <c r="AV73" s="4131"/>
      <c r="AW73" s="4131"/>
      <c r="AX73" s="4131"/>
      <c r="AY73" s="4131"/>
      <c r="AZ73" s="4131"/>
      <c r="BA73" s="4131"/>
      <c r="BB73" s="4131"/>
      <c r="BC73" s="4131"/>
      <c r="BD73" s="4131"/>
      <c r="BE73" s="4131"/>
      <c r="BF73" s="4131"/>
      <c r="BG73" s="4131"/>
      <c r="BH73" s="4131"/>
      <c r="BI73" s="4131"/>
      <c r="BJ73" s="4131"/>
      <c r="BK73" s="4131"/>
      <c r="BL73" s="4131"/>
      <c r="BM73" s="4131"/>
      <c r="BN73" s="4131"/>
      <c r="BO73" s="4131"/>
      <c r="BP73" s="4131"/>
      <c r="BQ73" s="4131"/>
      <c r="BR73" s="4131"/>
      <c r="BS73" s="4131"/>
      <c r="BT73" s="4131"/>
      <c r="BU73" s="4131"/>
      <c r="BV73" s="4131"/>
      <c r="BW73" s="4131"/>
      <c r="BX73" s="4131"/>
      <c r="BY73" s="4131"/>
      <c r="BZ73" s="4131"/>
      <c r="CA73" s="4131"/>
      <c r="CB73" s="4131"/>
      <c r="CC73" s="4131"/>
      <c r="CD73" s="4131"/>
      <c r="CE73" s="4131"/>
      <c r="CF73" s="4131"/>
      <c r="CG73" s="4131"/>
      <c r="CH73" s="4131"/>
      <c r="CI73" s="4131"/>
      <c r="CJ73" s="4131"/>
      <c r="CK73" s="4131"/>
      <c r="CL73" s="4131"/>
      <c r="CM73" s="4131"/>
      <c r="CN73" s="4131"/>
      <c r="CO73" s="4131"/>
      <c r="CP73" s="4131"/>
      <c r="CQ73" s="4131"/>
      <c r="CR73" s="4131"/>
      <c r="CS73" s="4131"/>
      <c r="CT73" s="4131"/>
      <c r="CU73" s="4131"/>
      <c r="CV73" s="4131"/>
      <c r="CW73" s="4131"/>
      <c r="CX73" s="4131"/>
      <c r="CY73" s="4131"/>
      <c r="CZ73" s="4131"/>
      <c r="DA73" s="4131"/>
      <c r="DB73" s="4131"/>
      <c r="DC73" s="4131"/>
      <c r="DD73" s="4131"/>
      <c r="DE73" s="4131"/>
      <c r="DF73" s="4131"/>
      <c r="DG73" s="4734"/>
      <c r="DH73" s="4143"/>
      <c r="DI73" s="4251"/>
      <c r="DJ73" s="4251" t="str">
        <f>IF(T73="","",T73)</f>
        <v/>
      </c>
      <c r="DK73" s="4251"/>
      <c r="DL73" s="4251"/>
      <c r="DM73" s="3961">
        <v>0</v>
      </c>
    </row>
    <row s="32331" customFormat="1" customHeight="1" ht="0.75">
      <c r="A74" s="4736"/>
      <c r="B74" s="4736"/>
      <c r="C74" s="4736"/>
      <c r="D74" s="4736"/>
      <c r="E74" s="4239"/>
      <c r="F74" s="4239">
        <v>1</v>
      </c>
      <c r="G74" s="4426"/>
      <c r="H74" s="4736"/>
      <c r="I74" s="4736"/>
      <c r="J74" s="4736"/>
      <c r="K74" s="4736"/>
      <c r="L74" s="4737"/>
      <c r="M74" s="4738"/>
      <c r="N74" s="4738"/>
      <c r="O74" s="4143"/>
      <c r="P74" s="4739"/>
      <c r="Q74" s="4740"/>
      <c r="R74" s="4739"/>
      <c r="S74" s="4741"/>
      <c r="T74" s="4742" t="s">
        <v>213</v>
      </c>
      <c r="U74" s="4133"/>
      <c r="V74" s="4133"/>
      <c r="W74" s="4133"/>
      <c r="X74" s="4133"/>
      <c r="Y74" s="4133"/>
      <c r="Z74" s="4133"/>
      <c r="AA74" s="4133"/>
      <c r="AB74" s="4133"/>
      <c r="AC74" s="4133"/>
      <c r="AD74" s="4133"/>
      <c r="AE74" s="4133"/>
      <c r="AF74" s="4133"/>
      <c r="AG74" s="4133"/>
      <c r="AH74" s="4133"/>
      <c r="AI74" s="4133"/>
      <c r="AJ74" s="4133"/>
      <c r="AK74" s="4133"/>
      <c r="AL74" s="4133"/>
      <c r="AM74" s="4133"/>
      <c r="AN74" s="4133"/>
      <c r="AO74" s="4133"/>
      <c r="AP74" s="4133"/>
      <c r="AQ74" s="4133"/>
      <c r="AR74" s="4133"/>
      <c r="AS74" s="4133"/>
      <c r="AT74" s="4133"/>
      <c r="AU74" s="4133"/>
      <c r="AV74" s="4133"/>
      <c r="AW74" s="4133"/>
      <c r="AX74" s="4133"/>
      <c r="AY74" s="4133"/>
      <c r="AZ74" s="4133"/>
      <c r="BA74" s="4133"/>
      <c r="BB74" s="4133"/>
      <c r="BC74" s="4133"/>
      <c r="BD74" s="4133"/>
      <c r="BE74" s="4133"/>
      <c r="BF74" s="4133"/>
      <c r="BG74" s="4133"/>
      <c r="BH74" s="4133"/>
      <c r="BI74" s="4133"/>
      <c r="BJ74" s="4133"/>
      <c r="BK74" s="4133"/>
      <c r="BL74" s="4133"/>
      <c r="BM74" s="4133"/>
      <c r="BN74" s="4133"/>
      <c r="BO74" s="4133"/>
      <c r="BP74" s="4133"/>
      <c r="BQ74" s="4133"/>
      <c r="BR74" s="4133"/>
      <c r="BS74" s="4133"/>
      <c r="BT74" s="4133"/>
      <c r="BU74" s="4133"/>
      <c r="BV74" s="4133"/>
      <c r="BW74" s="4133"/>
      <c r="BX74" s="4133"/>
      <c r="BY74" s="4133"/>
      <c r="BZ74" s="4133"/>
      <c r="CA74" s="4133"/>
      <c r="CB74" s="4133"/>
      <c r="CC74" s="4133"/>
      <c r="CD74" s="4133"/>
      <c r="CE74" s="4133"/>
      <c r="CF74" s="4133"/>
      <c r="CG74" s="4133"/>
      <c r="CH74" s="4133"/>
      <c r="CI74" s="4133"/>
      <c r="CJ74" s="4133"/>
      <c r="CK74" s="4133"/>
      <c r="CL74" s="4133"/>
      <c r="CM74" s="4133"/>
      <c r="CN74" s="4133"/>
      <c r="CO74" s="4133"/>
      <c r="CP74" s="4133"/>
      <c r="CQ74" s="4133"/>
      <c r="CR74" s="4133"/>
      <c r="CS74" s="4133"/>
      <c r="CT74" s="4133"/>
      <c r="CU74" s="4133"/>
      <c r="CV74" s="4133"/>
      <c r="CW74" s="4133"/>
      <c r="CX74" s="4133"/>
      <c r="CY74" s="4133"/>
      <c r="CZ74" s="4133"/>
      <c r="DA74" s="4133"/>
      <c r="DB74" s="4133"/>
      <c r="DC74" s="4133"/>
      <c r="DD74" s="4133"/>
      <c r="DE74" s="4133"/>
      <c r="DF74" s="4133"/>
      <c r="DG74" s="4133"/>
      <c r="DH74" s="4143"/>
      <c r="DI74" s="4251"/>
      <c r="DJ74" s="4251" t="str">
        <f>IF(T74="","",T74)</f>
        <v>Добавить источник для дифференциации</v>
      </c>
      <c r="DK74" s="4251"/>
      <c r="DL74" s="4251"/>
      <c r="DM74" s="4143">
        <v>0</v>
      </c>
    </row>
    <row s="32339" customFormat="1" customHeight="1" ht="0.75">
      <c r="A75" s="4736"/>
      <c r="B75" s="4736"/>
      <c r="C75" s="4736"/>
      <c r="D75" s="4736"/>
      <c r="E75" s="4239"/>
      <c r="F75" s="4426">
        <v>1</v>
      </c>
      <c r="G75" s="4736"/>
      <c r="H75" s="4736"/>
      <c r="I75" s="4736"/>
      <c r="J75" s="4736"/>
      <c r="K75" s="4736"/>
      <c r="L75" s="4737"/>
      <c r="M75" s="4744"/>
      <c r="N75" s="4744"/>
      <c r="O75" s="4143"/>
      <c r="P75" s="4739"/>
      <c r="Q75" s="4740"/>
      <c r="R75" s="4739"/>
      <c r="S75" s="4745"/>
      <c r="T75" s="4746" t="s">
        <v>214</v>
      </c>
      <c r="U75" s="4134"/>
      <c r="V75" s="4134"/>
      <c r="W75" s="4134"/>
      <c r="X75" s="4134"/>
      <c r="Y75" s="4134"/>
      <c r="Z75" s="4134"/>
      <c r="AA75" s="4134"/>
      <c r="AB75" s="4134"/>
      <c r="AC75" s="4134"/>
      <c r="AD75" s="4134"/>
      <c r="AE75" s="4134"/>
      <c r="AF75" s="4134"/>
      <c r="AG75" s="4134"/>
      <c r="AH75" s="4134"/>
      <c r="AI75" s="4134"/>
      <c r="AJ75" s="4134"/>
      <c r="AK75" s="4134"/>
      <c r="AL75" s="4134"/>
      <c r="AM75" s="4134"/>
      <c r="AN75" s="4134"/>
      <c r="AO75" s="4134"/>
      <c r="AP75" s="4134"/>
      <c r="AQ75" s="4134"/>
      <c r="AR75" s="4134"/>
      <c r="AS75" s="4134"/>
      <c r="AT75" s="4134"/>
      <c r="AU75" s="4134"/>
      <c r="AV75" s="4134"/>
      <c r="AW75" s="4134"/>
      <c r="AX75" s="4134"/>
      <c r="AY75" s="4134"/>
      <c r="AZ75" s="4134"/>
      <c r="BA75" s="4134"/>
      <c r="BB75" s="4134"/>
      <c r="BC75" s="4134"/>
      <c r="BD75" s="4134"/>
      <c r="BE75" s="4134"/>
      <c r="BF75" s="4134"/>
      <c r="BG75" s="4134"/>
      <c r="BH75" s="4134"/>
      <c r="BI75" s="4134"/>
      <c r="BJ75" s="4134"/>
      <c r="BK75" s="4134"/>
      <c r="BL75" s="4134"/>
      <c r="BM75" s="4134"/>
      <c r="BN75" s="4134"/>
      <c r="BO75" s="4134"/>
      <c r="BP75" s="4134"/>
      <c r="BQ75" s="4134"/>
      <c r="BR75" s="4134"/>
      <c r="BS75" s="4134"/>
      <c r="BT75" s="4134"/>
      <c r="BU75" s="4134"/>
      <c r="BV75" s="4134"/>
      <c r="BW75" s="4134"/>
      <c r="BX75" s="4134"/>
      <c r="BY75" s="4134"/>
      <c r="BZ75" s="4134"/>
      <c r="CA75" s="4134"/>
      <c r="CB75" s="4134"/>
      <c r="CC75" s="4134"/>
      <c r="CD75" s="4134"/>
      <c r="CE75" s="4134"/>
      <c r="CF75" s="4134"/>
      <c r="CG75" s="4134"/>
      <c r="CH75" s="4134"/>
      <c r="CI75" s="4134"/>
      <c r="CJ75" s="4134"/>
      <c r="CK75" s="4134"/>
      <c r="CL75" s="4134"/>
      <c r="CM75" s="4134"/>
      <c r="CN75" s="4134"/>
      <c r="CO75" s="4134"/>
      <c r="CP75" s="4134"/>
      <c r="CQ75" s="4134"/>
      <c r="CR75" s="4134"/>
      <c r="CS75" s="4134"/>
      <c r="CT75" s="4134"/>
      <c r="CU75" s="4134"/>
      <c r="CV75" s="4134"/>
      <c r="CW75" s="4134"/>
      <c r="CX75" s="4134"/>
      <c r="CY75" s="4134"/>
      <c r="CZ75" s="4134"/>
      <c r="DA75" s="4134"/>
      <c r="DB75" s="4134"/>
      <c r="DC75" s="4134"/>
      <c r="DD75" s="4134"/>
      <c r="DE75" s="4134"/>
      <c r="DF75" s="4134"/>
      <c r="DG75" s="4134"/>
      <c r="DH75" s="4143"/>
      <c r="DI75" s="4251"/>
      <c r="DJ75" s="4251" t="str">
        <f>IF(T75="","",T75)</f>
        <v>Добавить централизованную систему для дифференциации</v>
      </c>
      <c r="DK75" s="4251"/>
      <c r="DL75" s="4251"/>
      <c r="DM75" s="4143">
        <v>0</v>
      </c>
    </row>
    <row s="32343" customFormat="1" customHeight="1" ht="21">
      <c r="A76" s="4238"/>
      <c r="B76" s="4238" t="s">
        <v>511</v>
      </c>
      <c r="C76" s="4238"/>
      <c r="D76" s="4238"/>
      <c r="E76" s="4239"/>
      <c r="F76" s="4426" t="s">
        <v>93</v>
      </c>
      <c r="G76" s="4238"/>
      <c r="H76" s="4238"/>
      <c r="I76" s="4238"/>
      <c r="J76" s="4238"/>
      <c r="K76" s="4238"/>
      <c r="L76" s="4242"/>
      <c r="M76" s="4427"/>
      <c r="N76" s="4427"/>
      <c r="O76" s="4427"/>
      <c r="P76" s="4428"/>
      <c r="Q76" s="4429"/>
      <c r="R76" s="4430"/>
      <c r="S76" s="4247">
        <f>INDEX(PT_DIFFERENTIATION_NUM_TER,MATCH(B76,PT_DIFFERENTIATION_TER_ID,0))</f>
      </c>
      <c r="T76" s="4431" t="s">
        <v>457</v>
      </c>
      <c r="U76" s="4249"/>
      <c r="V76" s="3962"/>
      <c r="W76" s="3963"/>
      <c r="X76" s="3963"/>
      <c r="Y76" s="3963"/>
      <c r="Z76" s="3963"/>
      <c r="AA76" s="3963"/>
      <c r="AB76" s="3963"/>
      <c r="AC76" s="3964"/>
      <c r="AD76" s="3962">
        <f>INDEX(PT_DIFFERENTIATION_TER,MATCH(B76,PT_DIFFERENTIATION_TER_ID,0))</f>
      </c>
      <c r="AE76" s="3963"/>
      <c r="AF76" s="3963"/>
      <c r="AG76" s="3963"/>
      <c r="AH76" s="3963"/>
      <c r="AI76" s="3963"/>
      <c r="AJ76" s="3963"/>
      <c r="AK76" s="3963"/>
      <c r="AL76" s="3962"/>
      <c r="AM76" s="3963"/>
      <c r="AN76" s="3963"/>
      <c r="AO76" s="3963"/>
      <c r="AP76" s="3963"/>
      <c r="AQ76" s="3963"/>
      <c r="AR76" s="3963"/>
      <c r="AS76" s="3964"/>
      <c r="AT76" s="3962"/>
      <c r="AU76" s="3963"/>
      <c r="AV76" s="3963"/>
      <c r="AW76" s="3963"/>
      <c r="AX76" s="3963"/>
      <c r="AY76" s="3963"/>
      <c r="AZ76" s="3963"/>
      <c r="BA76" s="3964"/>
      <c r="BB76" s="3962"/>
      <c r="BC76" s="3963"/>
      <c r="BD76" s="3963"/>
      <c r="BE76" s="3963"/>
      <c r="BF76" s="3963"/>
      <c r="BG76" s="3963"/>
      <c r="BH76" s="3963"/>
      <c r="BI76" s="3964"/>
      <c r="BJ76" s="3962"/>
      <c r="BK76" s="3963"/>
      <c r="BL76" s="3963"/>
      <c r="BM76" s="3963"/>
      <c r="BN76" s="3963"/>
      <c r="BO76" s="3963"/>
      <c r="BP76" s="3963"/>
      <c r="BQ76" s="3964"/>
      <c r="BR76" s="3962"/>
      <c r="BS76" s="3963"/>
      <c r="BT76" s="3963"/>
      <c r="BU76" s="3963"/>
      <c r="BV76" s="3963"/>
      <c r="BW76" s="3963"/>
      <c r="BX76" s="3963"/>
      <c r="BY76" s="3964"/>
      <c r="BZ76" s="3962"/>
      <c r="CA76" s="3963"/>
      <c r="CB76" s="3963"/>
      <c r="CC76" s="3963"/>
      <c r="CD76" s="3963"/>
      <c r="CE76" s="3963"/>
      <c r="CF76" s="3963"/>
      <c r="CG76" s="3964"/>
      <c r="CH76" s="3962"/>
      <c r="CI76" s="3963"/>
      <c r="CJ76" s="3963"/>
      <c r="CK76" s="3963"/>
      <c r="CL76" s="3963"/>
      <c r="CM76" s="3963"/>
      <c r="CN76" s="3963"/>
      <c r="CO76" s="3964"/>
      <c r="CP76" s="3962"/>
      <c r="CQ76" s="3963"/>
      <c r="CR76" s="3963"/>
      <c r="CS76" s="3963"/>
      <c r="CT76" s="3963"/>
      <c r="CU76" s="3963"/>
      <c r="CV76" s="3963"/>
      <c r="CW76" s="3964"/>
      <c r="CX76" s="3962"/>
      <c r="CY76" s="3963"/>
      <c r="CZ76" s="3963"/>
      <c r="DA76" s="3963"/>
      <c r="DB76" s="3963"/>
      <c r="DC76" s="3963"/>
      <c r="DD76" s="3963"/>
      <c r="DE76" s="3964"/>
      <c r="DF76" s="3964"/>
      <c r="DG76" s="4250" t="s">
        <v>458</v>
      </c>
      <c r="DH76" s="4143"/>
      <c r="DI76" s="4251"/>
      <c r="DJ76" s="4251" t="str">
        <f>IF(T76="","",T76)</f>
        <v>Территория действия тарифа</v>
      </c>
      <c r="DK76" s="4251"/>
      <c r="DL76" s="4251"/>
      <c r="DM76" s="3961">
        <v>0</v>
      </c>
    </row>
    <row s="32344" customFormat="1" customHeight="1" ht="23.25">
      <c r="A77" s="4238"/>
      <c r="B77" s="4238"/>
      <c r="C77" s="4238" t="s">
        <v>512</v>
      </c>
      <c r="D77" s="4238"/>
      <c r="E77" s="4239"/>
      <c r="F77" s="4239" t="s">
        <v>105</v>
      </c>
      <c r="G77" s="4426">
        <v>1</v>
      </c>
      <c r="H77" s="4238"/>
      <c r="I77" s="4238"/>
      <c r="J77" s="4238"/>
      <c r="K77" s="4238"/>
      <c r="L77" s="4242"/>
      <c r="M77" s="4427"/>
      <c r="N77" s="4427"/>
      <c r="O77" s="4427"/>
      <c r="P77" s="4433"/>
      <c r="Q77" s="4429"/>
      <c r="R77" s="4430"/>
      <c r="S77" s="4247">
        <f>INDEX(PT_DIFFERENTIATION_NUM_CS,MATCH(C77,PT_DIFFERENTIATION_CS_ID,0))</f>
      </c>
      <c r="T77" s="4434" t="s">
        <v>459</v>
      </c>
      <c r="U77" s="4249"/>
      <c r="V77" s="3962"/>
      <c r="W77" s="3963"/>
      <c r="X77" s="3963"/>
      <c r="Y77" s="3963"/>
      <c r="Z77" s="3963"/>
      <c r="AA77" s="3963"/>
      <c r="AB77" s="3963"/>
      <c r="AC77" s="3964"/>
      <c r="AD77" s="3962">
        <f>INDEX(PT_DIFFERENTIATION_CS,MATCH(C77,PT_DIFFERENTIATION_CS_ID,0))</f>
      </c>
      <c r="AE77" s="3963"/>
      <c r="AF77" s="3963"/>
      <c r="AG77" s="3963"/>
      <c r="AH77" s="3963"/>
      <c r="AI77" s="3963"/>
      <c r="AJ77" s="3963"/>
      <c r="AK77" s="3963"/>
      <c r="AL77" s="3962"/>
      <c r="AM77" s="3963"/>
      <c r="AN77" s="3963"/>
      <c r="AO77" s="3963"/>
      <c r="AP77" s="3963"/>
      <c r="AQ77" s="3963"/>
      <c r="AR77" s="3963"/>
      <c r="AS77" s="3964"/>
      <c r="AT77" s="3962"/>
      <c r="AU77" s="3963"/>
      <c r="AV77" s="3963"/>
      <c r="AW77" s="3963"/>
      <c r="AX77" s="3963"/>
      <c r="AY77" s="3963"/>
      <c r="AZ77" s="3963"/>
      <c r="BA77" s="3964"/>
      <c r="BB77" s="3962"/>
      <c r="BC77" s="3963"/>
      <c r="BD77" s="3963"/>
      <c r="BE77" s="3963"/>
      <c r="BF77" s="3963"/>
      <c r="BG77" s="3963"/>
      <c r="BH77" s="3963"/>
      <c r="BI77" s="3964"/>
      <c r="BJ77" s="3962"/>
      <c r="BK77" s="3963"/>
      <c r="BL77" s="3963"/>
      <c r="BM77" s="3963"/>
      <c r="BN77" s="3963"/>
      <c r="BO77" s="3963"/>
      <c r="BP77" s="3963"/>
      <c r="BQ77" s="3964"/>
      <c r="BR77" s="3962"/>
      <c r="BS77" s="3963"/>
      <c r="BT77" s="3963"/>
      <c r="BU77" s="3963"/>
      <c r="BV77" s="3963"/>
      <c r="BW77" s="3963"/>
      <c r="BX77" s="3963"/>
      <c r="BY77" s="3964"/>
      <c r="BZ77" s="3962"/>
      <c r="CA77" s="3963"/>
      <c r="CB77" s="3963"/>
      <c r="CC77" s="3963"/>
      <c r="CD77" s="3963"/>
      <c r="CE77" s="3963"/>
      <c r="CF77" s="3963"/>
      <c r="CG77" s="3964"/>
      <c r="CH77" s="3962"/>
      <c r="CI77" s="3963"/>
      <c r="CJ77" s="3963"/>
      <c r="CK77" s="3963"/>
      <c r="CL77" s="3963"/>
      <c r="CM77" s="3963"/>
      <c r="CN77" s="3963"/>
      <c r="CO77" s="3964"/>
      <c r="CP77" s="3962"/>
      <c r="CQ77" s="3963"/>
      <c r="CR77" s="3963"/>
      <c r="CS77" s="3963"/>
      <c r="CT77" s="3963"/>
      <c r="CU77" s="3963"/>
      <c r="CV77" s="3963"/>
      <c r="CW77" s="3964"/>
      <c r="CX77" s="3962"/>
      <c r="CY77" s="3963"/>
      <c r="CZ77" s="3963"/>
      <c r="DA77" s="3963"/>
      <c r="DB77" s="3963"/>
      <c r="DC77" s="3963"/>
      <c r="DD77" s="3963"/>
      <c r="DE77" s="3964"/>
      <c r="DF77" s="3964"/>
      <c r="DG77" s="4250" t="s">
        <v>460</v>
      </c>
      <c r="DH77" s="4143"/>
      <c r="DI77" s="4251"/>
      <c r="DJ77" s="4251" t="str">
        <f>IF(T77="","",T77)</f>
        <v>Наименование системы теплоснабжения </v>
      </c>
      <c r="DK77" s="4251"/>
      <c r="DL77" s="4251"/>
      <c r="DM77" s="3961">
        <v>0</v>
      </c>
    </row>
    <row s="32345" customFormat="1" customHeight="1" ht="21">
      <c r="A78" s="4238"/>
      <c r="B78" s="4238"/>
      <c r="C78" s="4238"/>
      <c r="D78" s="4238" t="s">
        <v>513</v>
      </c>
      <c r="E78" s="4239"/>
      <c r="F78" s="4239" t="s">
        <v>105</v>
      </c>
      <c r="G78" s="4239"/>
      <c r="H78" s="4426">
        <v>1</v>
      </c>
      <c r="I78" s="4238"/>
      <c r="J78" s="4238"/>
      <c r="K78" s="4238"/>
      <c r="L78" s="4242"/>
      <c r="M78" s="4427"/>
      <c r="N78" s="4427"/>
      <c r="O78" s="4427"/>
      <c r="P78" s="4433"/>
      <c r="Q78" s="4429"/>
      <c r="R78" s="4430"/>
      <c r="S78" s="4247">
        <f>INDEX(PT_DIFFERENTIATION_NUM_IST_TE,MATCH(D78,PT_DIFFERENTIATION_IST_TE_ID,0))</f>
      </c>
      <c r="T78" s="4436" t="s">
        <v>461</v>
      </c>
      <c r="U78" s="4249"/>
      <c r="V78" s="3962"/>
      <c r="W78" s="3963"/>
      <c r="X78" s="3963"/>
      <c r="Y78" s="3963"/>
      <c r="Z78" s="3963"/>
      <c r="AA78" s="3963"/>
      <c r="AB78" s="3963"/>
      <c r="AC78" s="3964"/>
      <c r="AD78" s="3962">
        <f>INDEX(PT_DIFFERENTIATION_IST_TE,MATCH(D78,PT_DIFFERENTIATION_IST_TE_ID,0))</f>
      </c>
      <c r="AE78" s="3963"/>
      <c r="AF78" s="3963"/>
      <c r="AG78" s="3963"/>
      <c r="AH78" s="3963"/>
      <c r="AI78" s="3963"/>
      <c r="AJ78" s="3963"/>
      <c r="AK78" s="3963"/>
      <c r="AL78" s="3962"/>
      <c r="AM78" s="3963"/>
      <c r="AN78" s="3963"/>
      <c r="AO78" s="3963"/>
      <c r="AP78" s="3963"/>
      <c r="AQ78" s="3963"/>
      <c r="AR78" s="3963"/>
      <c r="AS78" s="3964"/>
      <c r="AT78" s="3962"/>
      <c r="AU78" s="3963"/>
      <c r="AV78" s="3963"/>
      <c r="AW78" s="3963"/>
      <c r="AX78" s="3963"/>
      <c r="AY78" s="3963"/>
      <c r="AZ78" s="3963"/>
      <c r="BA78" s="3964"/>
      <c r="BB78" s="3962"/>
      <c r="BC78" s="3963"/>
      <c r="BD78" s="3963"/>
      <c r="BE78" s="3963"/>
      <c r="BF78" s="3963"/>
      <c r="BG78" s="3963"/>
      <c r="BH78" s="3963"/>
      <c r="BI78" s="3964"/>
      <c r="BJ78" s="3962"/>
      <c r="BK78" s="3963"/>
      <c r="BL78" s="3963"/>
      <c r="BM78" s="3963"/>
      <c r="BN78" s="3963"/>
      <c r="BO78" s="3963"/>
      <c r="BP78" s="3963"/>
      <c r="BQ78" s="3964"/>
      <c r="BR78" s="3962"/>
      <c r="BS78" s="3963"/>
      <c r="BT78" s="3963"/>
      <c r="BU78" s="3963"/>
      <c r="BV78" s="3963"/>
      <c r="BW78" s="3963"/>
      <c r="BX78" s="3963"/>
      <c r="BY78" s="3964"/>
      <c r="BZ78" s="3962"/>
      <c r="CA78" s="3963"/>
      <c r="CB78" s="3963"/>
      <c r="CC78" s="3963"/>
      <c r="CD78" s="3963"/>
      <c r="CE78" s="3963"/>
      <c r="CF78" s="3963"/>
      <c r="CG78" s="3964"/>
      <c r="CH78" s="3962"/>
      <c r="CI78" s="3963"/>
      <c r="CJ78" s="3963"/>
      <c r="CK78" s="3963"/>
      <c r="CL78" s="3963"/>
      <c r="CM78" s="3963"/>
      <c r="CN78" s="3963"/>
      <c r="CO78" s="3964"/>
      <c r="CP78" s="3962"/>
      <c r="CQ78" s="3963"/>
      <c r="CR78" s="3963"/>
      <c r="CS78" s="3963"/>
      <c r="CT78" s="3963"/>
      <c r="CU78" s="3963"/>
      <c r="CV78" s="3963"/>
      <c r="CW78" s="3964"/>
      <c r="CX78" s="3962"/>
      <c r="CY78" s="3963"/>
      <c r="CZ78" s="3963"/>
      <c r="DA78" s="3963"/>
      <c r="DB78" s="3963"/>
      <c r="DC78" s="3963"/>
      <c r="DD78" s="3963"/>
      <c r="DE78" s="3964"/>
      <c r="DF78" s="3964"/>
      <c r="DG78" s="4250" t="s">
        <v>462</v>
      </c>
      <c r="DH78" s="4143"/>
      <c r="DI78" s="4251"/>
      <c r="DJ78" s="4251" t="str">
        <f>IF(T78="","",T78)</f>
        <v>Источник тепловой энергии  </v>
      </c>
      <c r="DK78" s="4251"/>
      <c r="DL78" s="4251"/>
      <c r="DM78" s="3961">
        <v>0</v>
      </c>
    </row>
    <row s="32346" customFormat="1" customHeight="1" ht="14.25">
      <c r="A79" s="4238"/>
      <c r="B79" s="4238"/>
      <c r="C79" s="4238"/>
      <c r="D79" s="4238"/>
      <c r="E79" s="4239"/>
      <c r="F79" s="4239" t="s">
        <v>105</v>
      </c>
      <c r="G79" s="4239"/>
      <c r="H79" s="4239"/>
      <c r="I79" s="4241">
        <f>S78&amp;".1"</f>
      </c>
      <c r="J79" s="4238"/>
      <c r="K79" s="4238"/>
      <c r="L79" s="4242" t="s">
        <v>463</v>
      </c>
      <c r="M79" s="4135"/>
      <c r="N79" s="4243"/>
      <c r="O79" s="4243"/>
      <c r="P79" s="4244">
        <v>1</v>
      </c>
      <c r="Q79" s="4244"/>
      <c r="R79" s="4259"/>
      <c r="S79" s="4438"/>
      <c r="T79" s="4439"/>
      <c r="U79" s="4440"/>
      <c r="V79" s="3971"/>
      <c r="W79" s="3972"/>
      <c r="X79" s="3972"/>
      <c r="Y79" s="3972"/>
      <c r="Z79" s="3972"/>
      <c r="AA79" s="3972"/>
      <c r="AB79" s="3972"/>
      <c r="AC79" s="3973"/>
      <c r="AD79" s="3971"/>
      <c r="AE79" s="3972"/>
      <c r="AF79" s="3972"/>
      <c r="AG79" s="3972"/>
      <c r="AH79" s="3972"/>
      <c r="AI79" s="3972"/>
      <c r="AJ79" s="3972"/>
      <c r="AK79" s="3972"/>
      <c r="AL79" s="3971"/>
      <c r="AM79" s="3972"/>
      <c r="AN79" s="3972"/>
      <c r="AO79" s="3972"/>
      <c r="AP79" s="3972"/>
      <c r="AQ79" s="3972"/>
      <c r="AR79" s="3972"/>
      <c r="AS79" s="3973"/>
      <c r="AT79" s="3971"/>
      <c r="AU79" s="3972"/>
      <c r="AV79" s="3972"/>
      <c r="AW79" s="3972"/>
      <c r="AX79" s="3972"/>
      <c r="AY79" s="3972"/>
      <c r="AZ79" s="3972"/>
      <c r="BA79" s="3973"/>
      <c r="BB79" s="3971"/>
      <c r="BC79" s="3972"/>
      <c r="BD79" s="3972"/>
      <c r="BE79" s="3972"/>
      <c r="BF79" s="3972"/>
      <c r="BG79" s="3972"/>
      <c r="BH79" s="3972"/>
      <c r="BI79" s="3973"/>
      <c r="BJ79" s="3971"/>
      <c r="BK79" s="3972"/>
      <c r="BL79" s="3972"/>
      <c r="BM79" s="3972"/>
      <c r="BN79" s="3972"/>
      <c r="BO79" s="3972"/>
      <c r="BP79" s="3972"/>
      <c r="BQ79" s="3973"/>
      <c r="BR79" s="3971"/>
      <c r="BS79" s="3972"/>
      <c r="BT79" s="3972"/>
      <c r="BU79" s="3972"/>
      <c r="BV79" s="3972"/>
      <c r="BW79" s="3972"/>
      <c r="BX79" s="3972"/>
      <c r="BY79" s="3973"/>
      <c r="BZ79" s="3971"/>
      <c r="CA79" s="3972"/>
      <c r="CB79" s="3972"/>
      <c r="CC79" s="3972"/>
      <c r="CD79" s="3972"/>
      <c r="CE79" s="3972"/>
      <c r="CF79" s="3972"/>
      <c r="CG79" s="3973"/>
      <c r="CH79" s="3971"/>
      <c r="CI79" s="3972"/>
      <c r="CJ79" s="3972"/>
      <c r="CK79" s="3972"/>
      <c r="CL79" s="3972"/>
      <c r="CM79" s="3972"/>
      <c r="CN79" s="3972"/>
      <c r="CO79" s="3973"/>
      <c r="CP79" s="3971"/>
      <c r="CQ79" s="3972"/>
      <c r="CR79" s="3972"/>
      <c r="CS79" s="3972"/>
      <c r="CT79" s="3972"/>
      <c r="CU79" s="3972"/>
      <c r="CV79" s="3972"/>
      <c r="CW79" s="3973"/>
      <c r="CX79" s="3971"/>
      <c r="CY79" s="3972"/>
      <c r="CZ79" s="3972"/>
      <c r="DA79" s="3972"/>
      <c r="DB79" s="3972"/>
      <c r="DC79" s="3972"/>
      <c r="DD79" s="3972"/>
      <c r="DE79" s="3973"/>
      <c r="DF79" s="3973"/>
      <c r="DG79" s="4441"/>
      <c r="DH79" s="4143"/>
      <c r="DI79" s="4251"/>
      <c r="DJ79" s="4251" t="str">
        <f>IF(T79="","",T79)</f>
        <v/>
      </c>
      <c r="DK79" s="4251"/>
      <c r="DL79" s="4251"/>
      <c r="DM79" s="3961">
        <v>0</v>
      </c>
    </row>
    <row s="32347" customFormat="1" customHeight="1" ht="21">
      <c r="A80" s="4238"/>
      <c r="B80" s="4238"/>
      <c r="C80" s="4238"/>
      <c r="D80" s="4238"/>
      <c r="E80" s="4239"/>
      <c r="F80" s="4239" t="s">
        <v>105</v>
      </c>
      <c r="G80" s="4239"/>
      <c r="H80" s="4239"/>
      <c r="I80" s="4240"/>
      <c r="J80" s="4241">
        <f>I79&amp;".1"</f>
      </c>
      <c r="K80" s="4238"/>
      <c r="L80" s="4242" t="s">
        <v>466</v>
      </c>
      <c r="M80" s="4135"/>
      <c r="N80" s="4135"/>
      <c r="O80" s="4243"/>
      <c r="P80" s="4244"/>
      <c r="Q80" s="4244">
        <v>1</v>
      </c>
      <c r="R80" s="4246"/>
      <c r="S80" s="4247">
        <f>$J80</f>
      </c>
      <c r="T80" s="4248" t="s">
        <v>467</v>
      </c>
      <c r="U80" s="4249"/>
      <c r="V80" s="3975"/>
      <c r="W80" s="3976"/>
      <c r="X80" s="3976"/>
      <c r="Y80" s="3976"/>
      <c r="Z80" s="3976"/>
      <c r="AA80" s="3976"/>
      <c r="AB80" s="3976"/>
      <c r="AC80" s="3977"/>
      <c r="AD80" s="3975" t="s">
        <v>507</v>
      </c>
      <c r="AE80" s="3976"/>
      <c r="AF80" s="3976"/>
      <c r="AG80" s="3976"/>
      <c r="AH80" s="3976"/>
      <c r="AI80" s="3976"/>
      <c r="AJ80" s="3976"/>
      <c r="AK80" s="3976"/>
      <c r="AL80" s="3975"/>
      <c r="AM80" s="3976"/>
      <c r="AN80" s="3976"/>
      <c r="AO80" s="3976"/>
      <c r="AP80" s="3976"/>
      <c r="AQ80" s="3976"/>
      <c r="AR80" s="3976"/>
      <c r="AS80" s="3977"/>
      <c r="AT80" s="3975"/>
      <c r="AU80" s="3976"/>
      <c r="AV80" s="3976"/>
      <c r="AW80" s="3976"/>
      <c r="AX80" s="3976"/>
      <c r="AY80" s="3976"/>
      <c r="AZ80" s="3976"/>
      <c r="BA80" s="3977"/>
      <c r="BB80" s="3975"/>
      <c r="BC80" s="3976"/>
      <c r="BD80" s="3976"/>
      <c r="BE80" s="3976"/>
      <c r="BF80" s="3976"/>
      <c r="BG80" s="3976"/>
      <c r="BH80" s="3976"/>
      <c r="BI80" s="3977"/>
      <c r="BJ80" s="3975"/>
      <c r="BK80" s="3976"/>
      <c r="BL80" s="3976"/>
      <c r="BM80" s="3976"/>
      <c r="BN80" s="3976"/>
      <c r="BO80" s="3976"/>
      <c r="BP80" s="3976"/>
      <c r="BQ80" s="3977"/>
      <c r="BR80" s="3975"/>
      <c r="BS80" s="3976"/>
      <c r="BT80" s="3976"/>
      <c r="BU80" s="3976"/>
      <c r="BV80" s="3976"/>
      <c r="BW80" s="3976"/>
      <c r="BX80" s="3976"/>
      <c r="BY80" s="3977"/>
      <c r="BZ80" s="3975"/>
      <c r="CA80" s="3976"/>
      <c r="CB80" s="3976"/>
      <c r="CC80" s="3976"/>
      <c r="CD80" s="3976"/>
      <c r="CE80" s="3976"/>
      <c r="CF80" s="3976"/>
      <c r="CG80" s="3977"/>
      <c r="CH80" s="3975"/>
      <c r="CI80" s="3976"/>
      <c r="CJ80" s="3976"/>
      <c r="CK80" s="3976"/>
      <c r="CL80" s="3976"/>
      <c r="CM80" s="3976"/>
      <c r="CN80" s="3976"/>
      <c r="CO80" s="3977"/>
      <c r="CP80" s="3975"/>
      <c r="CQ80" s="3976"/>
      <c r="CR80" s="3976"/>
      <c r="CS80" s="3976"/>
      <c r="CT80" s="3976"/>
      <c r="CU80" s="3976"/>
      <c r="CV80" s="3976"/>
      <c r="CW80" s="3977"/>
      <c r="CX80" s="3975"/>
      <c r="CY80" s="3976"/>
      <c r="CZ80" s="3976"/>
      <c r="DA80" s="3976"/>
      <c r="DB80" s="3976"/>
      <c r="DC80" s="3976"/>
      <c r="DD80" s="3976"/>
      <c r="DE80" s="3977"/>
      <c r="DF80" s="3977"/>
      <c r="DG80" s="4250" t="s">
        <v>468</v>
      </c>
      <c r="DH80" s="4143"/>
      <c r="DI80" s="4251"/>
      <c r="DJ80" s="4251" t="str">
        <f>IF(T80="","",T80)</f>
        <v>Группа потребителей</v>
      </c>
      <c r="DK80" s="4251"/>
      <c r="DL80" s="4251"/>
      <c r="DM80" s="3961">
        <v>0</v>
      </c>
    </row>
    <row s="32348" customFormat="1" customHeight="1" ht="21">
      <c r="A81" s="4238"/>
      <c r="B81" s="4238"/>
      <c r="C81" s="4238"/>
      <c r="D81" s="4238"/>
      <c r="E81" s="4239"/>
      <c r="F81" s="4239" t="s">
        <v>105</v>
      </c>
      <c r="G81" s="4239"/>
      <c r="H81" s="4239"/>
      <c r="I81" s="4240"/>
      <c r="J81" s="4240"/>
      <c r="K81" s="4241">
        <f>J80&amp;".1"</f>
      </c>
      <c r="L81" s="4242" t="s">
        <v>469</v>
      </c>
      <c r="M81" s="4135"/>
      <c r="N81" s="4135"/>
      <c r="O81" s="4135"/>
      <c r="P81" s="4244"/>
      <c r="Q81" s="4244"/>
      <c r="R81" s="4246">
        <v>1</v>
      </c>
      <c r="S81" s="4247">
        <f>$K81</f>
      </c>
      <c r="T81" s="4253" t="s">
        <v>508</v>
      </c>
      <c r="U81" s="4249"/>
      <c r="V81" s="3978"/>
      <c r="W81" s="3979"/>
      <c r="X81" s="3978"/>
      <c r="Y81" s="3980"/>
      <c r="Z81" s="3981"/>
      <c r="AA81" s="3365" t="s">
        <v>64</v>
      </c>
      <c r="AB81" s="3981"/>
      <c r="AC81" s="3365" t="s">
        <v>64</v>
      </c>
      <c r="AD81" s="3978">
        <v>51.02</v>
      </c>
      <c r="AE81" s="3979"/>
      <c r="AF81" s="3978"/>
      <c r="AG81" s="3980"/>
      <c r="AH81" s="3981">
        <v>45292</v>
      </c>
      <c r="AI81" s="3365" t="s">
        <v>64</v>
      </c>
      <c r="AJ81" s="3981">
        <v>45473</v>
      </c>
      <c r="AK81" s="3365" t="s">
        <v>64</v>
      </c>
      <c r="AL81" s="3978">
        <v>55.86</v>
      </c>
      <c r="AM81" s="3979"/>
      <c r="AN81" s="3978"/>
      <c r="AO81" s="3980"/>
      <c r="AP81" s="3981">
        <v>45474</v>
      </c>
      <c r="AQ81" s="3365" t="s">
        <v>64</v>
      </c>
      <c r="AR81" s="3981">
        <v>45657</v>
      </c>
      <c r="AS81" s="3365" t="s">
        <v>64</v>
      </c>
      <c r="AT81" s="3978">
        <v>55.86</v>
      </c>
      <c r="AU81" s="3979"/>
      <c r="AV81" s="3978"/>
      <c r="AW81" s="3980"/>
      <c r="AX81" s="3981">
        <v>45658</v>
      </c>
      <c r="AY81" s="3365" t="s">
        <v>64</v>
      </c>
      <c r="AZ81" s="3981">
        <v>45838</v>
      </c>
      <c r="BA81" s="3365" t="s">
        <v>64</v>
      </c>
      <c r="BB81" s="3978">
        <v>62.68</v>
      </c>
      <c r="BC81" s="3979"/>
      <c r="BD81" s="3978"/>
      <c r="BE81" s="3980"/>
      <c r="BF81" s="3981">
        <v>45839</v>
      </c>
      <c r="BG81" s="3365" t="s">
        <v>64</v>
      </c>
      <c r="BH81" s="3981">
        <v>46022</v>
      </c>
      <c r="BI81" s="3365" t="s">
        <v>64</v>
      </c>
      <c r="BJ81" s="3978">
        <v>61</v>
      </c>
      <c r="BK81" s="3979"/>
      <c r="BL81" s="3978"/>
      <c r="BM81" s="3980"/>
      <c r="BN81" s="3981">
        <v>46023</v>
      </c>
      <c r="BO81" s="3365" t="s">
        <v>64</v>
      </c>
      <c r="BP81" s="3981">
        <v>46203</v>
      </c>
      <c r="BQ81" s="3365" t="s">
        <v>64</v>
      </c>
      <c r="BR81" s="3978">
        <v>67.66</v>
      </c>
      <c r="BS81" s="3979"/>
      <c r="BT81" s="3978"/>
      <c r="BU81" s="3980"/>
      <c r="BV81" s="3981">
        <v>46204</v>
      </c>
      <c r="BW81" s="3365" t="s">
        <v>64</v>
      </c>
      <c r="BX81" s="3981">
        <v>46387</v>
      </c>
      <c r="BY81" s="3365" t="s">
        <v>64</v>
      </c>
      <c r="BZ81" s="3978">
        <v>67.66</v>
      </c>
      <c r="CA81" s="3979"/>
      <c r="CB81" s="3978"/>
      <c r="CC81" s="3980"/>
      <c r="CD81" s="3981">
        <v>46388</v>
      </c>
      <c r="CE81" s="3365" t="s">
        <v>64</v>
      </c>
      <c r="CF81" s="3981">
        <v>46568</v>
      </c>
      <c r="CG81" s="3365" t="s">
        <v>64</v>
      </c>
      <c r="CH81" s="3978">
        <v>70.4</v>
      </c>
      <c r="CI81" s="3979"/>
      <c r="CJ81" s="3978"/>
      <c r="CK81" s="3980"/>
      <c r="CL81" s="3981">
        <v>46569</v>
      </c>
      <c r="CM81" s="3365" t="s">
        <v>64</v>
      </c>
      <c r="CN81" s="3981">
        <v>46752</v>
      </c>
      <c r="CO81" s="3365" t="s">
        <v>64</v>
      </c>
      <c r="CP81" s="3978">
        <v>70.4</v>
      </c>
      <c r="CQ81" s="3979"/>
      <c r="CR81" s="3978"/>
      <c r="CS81" s="3980"/>
      <c r="CT81" s="3981">
        <v>46753</v>
      </c>
      <c r="CU81" s="3365" t="s">
        <v>64</v>
      </c>
      <c r="CV81" s="3981">
        <v>46934</v>
      </c>
      <c r="CW81" s="3365" t="s">
        <v>64</v>
      </c>
      <c r="CX81" s="3978">
        <v>75.39</v>
      </c>
      <c r="CY81" s="3979"/>
      <c r="CZ81" s="3978"/>
      <c r="DA81" s="3980"/>
      <c r="DB81" s="3981">
        <v>46935</v>
      </c>
      <c r="DC81" s="3365" t="s">
        <v>64</v>
      </c>
      <c r="DD81" s="3981">
        <v>47118</v>
      </c>
      <c r="DE81" s="3365" t="s">
        <v>64</v>
      </c>
      <c r="DF81" s="3979"/>
      <c r="DG81" s="4254" t="s">
        <v>470</v>
      </c>
      <c r="DH81" s="4143">
        <f>STRCHECKDATE(V82:DF82)</f>
      </c>
      <c r="DI81" s="4251"/>
      <c r="DJ81" s="4251" t="str">
        <f>IF(T81="","",T81)</f>
        <v>вода</v>
      </c>
      <c r="DK81" s="4251"/>
      <c r="DL81" s="4251"/>
      <c r="DM81" s="3961">
        <v>0</v>
      </c>
    </row>
    <row s="32349" customFormat="1" customHeight="1" ht="0.75">
      <c r="A82" s="4238"/>
      <c r="B82" s="4238"/>
      <c r="C82" s="4238"/>
      <c r="D82" s="4238"/>
      <c r="E82" s="4239"/>
      <c r="F82" s="4239" t="s">
        <v>105</v>
      </c>
      <c r="G82" s="4239"/>
      <c r="H82" s="4239"/>
      <c r="I82" s="4240"/>
      <c r="J82" s="4240"/>
      <c r="K82" s="4241"/>
      <c r="L82" s="4242"/>
      <c r="M82" s="4135"/>
      <c r="N82" s="4135"/>
      <c r="O82" s="4135"/>
      <c r="P82" s="4244"/>
      <c r="Q82" s="4244"/>
      <c r="R82" s="4246"/>
      <c r="S82" s="4256"/>
      <c r="T82" s="4249"/>
      <c r="U82" s="4249"/>
      <c r="V82" s="3979"/>
      <c r="W82" s="3979"/>
      <c r="X82" s="3979"/>
      <c r="Y82" s="3982" t="str">
        <f>Z81&amp;"-"&amp;AB81</f>
        <v>-</v>
      </c>
      <c r="Z82" s="3983"/>
      <c r="AA82" s="3365"/>
      <c r="AB82" s="3983"/>
      <c r="AC82" s="3365"/>
      <c r="AD82" s="3979"/>
      <c r="AE82" s="3979"/>
      <c r="AF82" s="3979"/>
      <c r="AG82" s="3982" t="str">
        <f>AH81&amp;"-"&amp;AJ81</f>
        <v>45292-45473</v>
      </c>
      <c r="AH82" s="3983"/>
      <c r="AI82" s="3365"/>
      <c r="AJ82" s="3983"/>
      <c r="AK82" s="3365"/>
      <c r="AL82" s="3979"/>
      <c r="AM82" s="3979"/>
      <c r="AN82" s="3979"/>
      <c r="AO82" s="3982" t="str">
        <f>AP81&amp;"-"&amp;AR81</f>
        <v>45474-45657</v>
      </c>
      <c r="AP82" s="3983"/>
      <c r="AQ82" s="3365"/>
      <c r="AR82" s="3983"/>
      <c r="AS82" s="3365"/>
      <c r="AT82" s="3979"/>
      <c r="AU82" s="3979"/>
      <c r="AV82" s="3979"/>
      <c r="AW82" s="3982" t="str">
        <f>AX81&amp;"-"&amp;AZ81</f>
        <v>45658-45838</v>
      </c>
      <c r="AX82" s="3983"/>
      <c r="AY82" s="3365"/>
      <c r="AZ82" s="3983"/>
      <c r="BA82" s="3365"/>
      <c r="BB82" s="3979"/>
      <c r="BC82" s="3979"/>
      <c r="BD82" s="3979"/>
      <c r="BE82" s="3982" t="str">
        <f>BF81&amp;"-"&amp;BH81</f>
        <v>45839-46022</v>
      </c>
      <c r="BF82" s="3983"/>
      <c r="BG82" s="3365"/>
      <c r="BH82" s="3983"/>
      <c r="BI82" s="3365"/>
      <c r="BJ82" s="3979"/>
      <c r="BK82" s="3979"/>
      <c r="BL82" s="3979"/>
      <c r="BM82" s="3982" t="str">
        <f>BN81&amp;"-"&amp;BP81</f>
        <v>46023-46203</v>
      </c>
      <c r="BN82" s="3983"/>
      <c r="BO82" s="3365"/>
      <c r="BP82" s="3983"/>
      <c r="BQ82" s="3365"/>
      <c r="BR82" s="3979"/>
      <c r="BS82" s="3979"/>
      <c r="BT82" s="3979"/>
      <c r="BU82" s="3982" t="str">
        <f>BV81&amp;"-"&amp;BX81</f>
        <v>46204-46387</v>
      </c>
      <c r="BV82" s="3983"/>
      <c r="BW82" s="3365"/>
      <c r="BX82" s="3983"/>
      <c r="BY82" s="3365"/>
      <c r="BZ82" s="3979"/>
      <c r="CA82" s="3979"/>
      <c r="CB82" s="3979"/>
      <c r="CC82" s="3982" t="str">
        <f>CD81&amp;"-"&amp;CF81</f>
        <v>46388-46568</v>
      </c>
      <c r="CD82" s="3983"/>
      <c r="CE82" s="3365"/>
      <c r="CF82" s="3983"/>
      <c r="CG82" s="3365"/>
      <c r="CH82" s="3979"/>
      <c r="CI82" s="3979"/>
      <c r="CJ82" s="3979"/>
      <c r="CK82" s="3982" t="str">
        <f>CL81&amp;"-"&amp;CN81</f>
        <v>46569-46752</v>
      </c>
      <c r="CL82" s="3983"/>
      <c r="CM82" s="3365"/>
      <c r="CN82" s="3983"/>
      <c r="CO82" s="3365"/>
      <c r="CP82" s="3979"/>
      <c r="CQ82" s="3979"/>
      <c r="CR82" s="3979"/>
      <c r="CS82" s="3982" t="str">
        <f>CT81&amp;"-"&amp;CV81</f>
        <v>46753-46934</v>
      </c>
      <c r="CT82" s="3983"/>
      <c r="CU82" s="3365"/>
      <c r="CV82" s="3983"/>
      <c r="CW82" s="3365"/>
      <c r="CX82" s="3979"/>
      <c r="CY82" s="3979"/>
      <c r="CZ82" s="3979"/>
      <c r="DA82" s="3982" t="str">
        <f>DB81&amp;"-"&amp;DD81</f>
        <v>46935-47118</v>
      </c>
      <c r="DB82" s="3983"/>
      <c r="DC82" s="3365"/>
      <c r="DD82" s="3983"/>
      <c r="DE82" s="3365"/>
      <c r="DF82" s="3979"/>
      <c r="DG82" s="4257"/>
      <c r="DH82" s="4143"/>
      <c r="DI82" s="4251"/>
      <c r="DJ82" s="4251" t="str">
        <f>IF(T82="","",T82)</f>
        <v/>
      </c>
      <c r="DK82" s="4251"/>
      <c r="DL82" s="4251"/>
      <c r="DM82" s="3961">
        <v>0</v>
      </c>
    </row>
    <row s="32350" customFormat="1" customHeight="1" ht="15">
      <c r="A83" s="4238"/>
      <c r="B83" s="4238"/>
      <c r="C83" s="4238"/>
      <c r="D83" s="4238"/>
      <c r="E83" s="4239"/>
      <c r="F83" s="4239" t="s">
        <v>105</v>
      </c>
      <c r="G83" s="4239"/>
      <c r="H83" s="4239"/>
      <c r="I83" s="4240"/>
      <c r="J83" s="4241"/>
      <c r="K83" s="4238"/>
      <c r="L83" s="4242"/>
      <c r="M83" s="4135"/>
      <c r="N83" s="4135"/>
      <c r="O83" s="4243"/>
      <c r="P83" s="4244"/>
      <c r="Q83" s="4244"/>
      <c r="R83" s="4259"/>
      <c r="S83" s="4755"/>
      <c r="T83" s="4756" t="s">
        <v>471</v>
      </c>
      <c r="U83" s="4757"/>
      <c r="V83" s="4758"/>
      <c r="W83" s="4759"/>
      <c r="X83" s="4760"/>
      <c r="Y83" s="4761"/>
      <c r="Z83" s="4762"/>
      <c r="AA83" s="4763"/>
      <c r="AB83" s="4764"/>
      <c r="AC83" s="4765"/>
      <c r="AD83" s="4766"/>
      <c r="AE83" s="4767"/>
      <c r="AF83" s="4768"/>
      <c r="AG83" s="4769"/>
      <c r="AH83" s="4770"/>
      <c r="AI83" s="4771"/>
      <c r="AJ83" s="4772"/>
      <c r="AK83" s="4773"/>
      <c r="AL83" s="4774"/>
      <c r="AM83" s="4775"/>
      <c r="AN83" s="4776"/>
      <c r="AO83" s="4777"/>
      <c r="AP83" s="4778"/>
      <c r="AQ83" s="4779"/>
      <c r="AR83" s="4780"/>
      <c r="AS83" s="4781"/>
      <c r="AT83" s="4782"/>
      <c r="AU83" s="4783"/>
      <c r="AV83" s="4784"/>
      <c r="AW83" s="4785"/>
      <c r="AX83" s="4786"/>
      <c r="AY83" s="4787"/>
      <c r="AZ83" s="4788"/>
      <c r="BA83" s="4789"/>
      <c r="BB83" s="4790"/>
      <c r="BC83" s="4791"/>
      <c r="BD83" s="4792"/>
      <c r="BE83" s="4793"/>
      <c r="BF83" s="4794"/>
      <c r="BG83" s="4795"/>
      <c r="BH83" s="4796"/>
      <c r="BI83" s="4797"/>
      <c r="BJ83" s="4798"/>
      <c r="BK83" s="4799"/>
      <c r="BL83" s="4800"/>
      <c r="BM83" s="4801"/>
      <c r="BN83" s="4802"/>
      <c r="BO83" s="4803"/>
      <c r="BP83" s="4804"/>
      <c r="BQ83" s="4805"/>
      <c r="BR83" s="4806"/>
      <c r="BS83" s="4807"/>
      <c r="BT83" s="4808"/>
      <c r="BU83" s="4809"/>
      <c r="BV83" s="4810"/>
      <c r="BW83" s="4811"/>
      <c r="BX83" s="4812"/>
      <c r="BY83" s="4813"/>
      <c r="BZ83" s="4814"/>
      <c r="CA83" s="4815"/>
      <c r="CB83" s="4816"/>
      <c r="CC83" s="4817"/>
      <c r="CD83" s="4818"/>
      <c r="CE83" s="4819"/>
      <c r="CF83" s="4820"/>
      <c r="CG83" s="4821"/>
      <c r="CH83" s="4822"/>
      <c r="CI83" s="4823"/>
      <c r="CJ83" s="4824"/>
      <c r="CK83" s="4825"/>
      <c r="CL83" s="4826"/>
      <c r="CM83" s="4827"/>
      <c r="CN83" s="4828"/>
      <c r="CO83" s="4829"/>
      <c r="CP83" s="4830"/>
      <c r="CQ83" s="4831"/>
      <c r="CR83" s="4832"/>
      <c r="CS83" s="4833"/>
      <c r="CT83" s="4834"/>
      <c r="CU83" s="4835"/>
      <c r="CV83" s="4836"/>
      <c r="CW83" s="4837"/>
      <c r="CX83" s="4838"/>
      <c r="CY83" s="4839"/>
      <c r="CZ83" s="4840"/>
      <c r="DA83" s="4841"/>
      <c r="DB83" s="4842"/>
      <c r="DC83" s="4843"/>
      <c r="DD83" s="4844"/>
      <c r="DE83" s="4845"/>
      <c r="DF83" s="4846"/>
      <c r="DG83" s="4352"/>
      <c r="DH83" s="4143"/>
      <c r="DI83" s="4251"/>
      <c r="DJ83" s="4251" t="str">
        <f>IF(T83="","",T83)</f>
        <v>Добавить вид теплоносителя (параметры теплоносителя)</v>
      </c>
      <c r="DK83" s="4251"/>
      <c r="DL83" s="4251"/>
      <c r="DM83" s="3961">
        <v>0</v>
      </c>
    </row>
    <row s="32443" customFormat="1" customHeight="1" ht="21">
      <c r="A84" s="4238"/>
      <c r="B84" s="4238"/>
      <c r="C84" s="4238"/>
      <c r="D84" s="4238"/>
      <c r="E84" s="4239"/>
      <c r="F84" s="4239"/>
      <c r="G84" s="4239"/>
      <c r="H84" s="4239"/>
      <c r="I84" s="4240"/>
      <c r="J84" s="4241">
        <f>I79&amp;".2"</f>
      </c>
      <c r="K84" s="4238"/>
      <c r="L84" s="4242" t="s">
        <v>466</v>
      </c>
      <c r="M84" s="4135"/>
      <c r="N84" s="4135"/>
      <c r="O84" s="4243"/>
      <c r="P84" s="4244"/>
      <c r="Q84" s="4245" t="s">
        <v>106</v>
      </c>
      <c r="R84" s="4246"/>
      <c r="S84" s="4247">
        <f>$J84</f>
      </c>
      <c r="T84" s="4248" t="s">
        <v>467</v>
      </c>
      <c r="U84" s="4249"/>
      <c r="V84" s="3975"/>
      <c r="W84" s="3976"/>
      <c r="X84" s="3976"/>
      <c r="Y84" s="3976"/>
      <c r="Z84" s="3976"/>
      <c r="AA84" s="3976"/>
      <c r="AB84" s="3976"/>
      <c r="AC84" s="3977"/>
      <c r="AD84" s="3975" t="s">
        <v>510</v>
      </c>
      <c r="AE84" s="3976"/>
      <c r="AF84" s="3976"/>
      <c r="AG84" s="3976"/>
      <c r="AH84" s="3976"/>
      <c r="AI84" s="3976"/>
      <c r="AJ84" s="3976"/>
      <c r="AK84" s="3976"/>
      <c r="AL84" s="3975"/>
      <c r="AM84" s="3976"/>
      <c r="AN84" s="3976"/>
      <c r="AO84" s="3976"/>
      <c r="AP84" s="3976"/>
      <c r="AQ84" s="3976"/>
      <c r="AR84" s="3976"/>
      <c r="AS84" s="3977"/>
      <c r="AT84" s="3975"/>
      <c r="AU84" s="3976"/>
      <c r="AV84" s="3976"/>
      <c r="AW84" s="3976"/>
      <c r="AX84" s="3976"/>
      <c r="AY84" s="3976"/>
      <c r="AZ84" s="3976"/>
      <c r="BA84" s="3977"/>
      <c r="BB84" s="3975"/>
      <c r="BC84" s="3976"/>
      <c r="BD84" s="3976"/>
      <c r="BE84" s="3976"/>
      <c r="BF84" s="3976"/>
      <c r="BG84" s="3976"/>
      <c r="BH84" s="3976"/>
      <c r="BI84" s="3977"/>
      <c r="BJ84" s="3975"/>
      <c r="BK84" s="3976"/>
      <c r="BL84" s="3976"/>
      <c r="BM84" s="3976"/>
      <c r="BN84" s="3976"/>
      <c r="BO84" s="3976"/>
      <c r="BP84" s="3976"/>
      <c r="BQ84" s="3977"/>
      <c r="BR84" s="3975"/>
      <c r="BS84" s="3976"/>
      <c r="BT84" s="3976"/>
      <c r="BU84" s="3976"/>
      <c r="BV84" s="3976"/>
      <c r="BW84" s="3976"/>
      <c r="BX84" s="3976"/>
      <c r="BY84" s="3977"/>
      <c r="BZ84" s="3975"/>
      <c r="CA84" s="3976"/>
      <c r="CB84" s="3976"/>
      <c r="CC84" s="3976"/>
      <c r="CD84" s="3976"/>
      <c r="CE84" s="3976"/>
      <c r="CF84" s="3976"/>
      <c r="CG84" s="3977"/>
      <c r="CH84" s="3975"/>
      <c r="CI84" s="3976"/>
      <c r="CJ84" s="3976"/>
      <c r="CK84" s="3976"/>
      <c r="CL84" s="3976"/>
      <c r="CM84" s="3976"/>
      <c r="CN84" s="3976"/>
      <c r="CO84" s="3977"/>
      <c r="CP84" s="3975"/>
      <c r="CQ84" s="3976"/>
      <c r="CR84" s="3976"/>
      <c r="CS84" s="3976"/>
      <c r="CT84" s="3976"/>
      <c r="CU84" s="3976"/>
      <c r="CV84" s="3976"/>
      <c r="CW84" s="3977"/>
      <c r="CX84" s="3975"/>
      <c r="CY84" s="3976"/>
      <c r="CZ84" s="3976"/>
      <c r="DA84" s="3976"/>
      <c r="DB84" s="3976"/>
      <c r="DC84" s="3976"/>
      <c r="DD84" s="3976"/>
      <c r="DE84" s="3977"/>
      <c r="DF84" s="3977"/>
      <c r="DG84" s="4250" t="s">
        <v>468</v>
      </c>
      <c r="DH84" s="4143"/>
      <c r="DI84" s="4251"/>
      <c r="DJ84" s="4251" t="str">
        <f>IF(T84="","",T84)</f>
        <v>Группа потребителей</v>
      </c>
      <c r="DK84" s="4251"/>
      <c r="DL84" s="4251"/>
      <c r="DM84" s="3961">
        <v>0</v>
      </c>
    </row>
    <row s="32444" customFormat="1" customHeight="1" ht="21">
      <c r="A85" s="4238"/>
      <c r="B85" s="4238"/>
      <c r="C85" s="4238"/>
      <c r="D85" s="4238"/>
      <c r="E85" s="4239"/>
      <c r="F85" s="4239"/>
      <c r="G85" s="4239"/>
      <c r="H85" s="4239"/>
      <c r="I85" s="4240"/>
      <c r="J85" s="4240">
        <f>I79&amp;".1"</f>
      </c>
      <c r="K85" s="4241">
        <f>J84&amp;".1"</f>
      </c>
      <c r="L85" s="4242" t="s">
        <v>469</v>
      </c>
      <c r="M85" s="4135"/>
      <c r="N85" s="4135"/>
      <c r="O85" s="4135"/>
      <c r="P85" s="4244"/>
      <c r="Q85" s="4244"/>
      <c r="R85" s="4246">
        <v>1</v>
      </c>
      <c r="S85" s="4247">
        <f>$K85</f>
      </c>
      <c r="T85" s="4253" t="s">
        <v>508</v>
      </c>
      <c r="U85" s="4249"/>
      <c r="V85" s="3978"/>
      <c r="W85" s="3979"/>
      <c r="X85" s="3978"/>
      <c r="Y85" s="3980"/>
      <c r="Z85" s="3981"/>
      <c r="AA85" s="3365" t="s">
        <v>64</v>
      </c>
      <c r="AB85" s="3981"/>
      <c r="AC85" s="3365" t="s">
        <v>64</v>
      </c>
      <c r="AD85" s="3978">
        <v>61.23</v>
      </c>
      <c r="AE85" s="3979"/>
      <c r="AF85" s="3978"/>
      <c r="AG85" s="3980"/>
      <c r="AH85" s="3981">
        <v>45292</v>
      </c>
      <c r="AI85" s="3365" t="s">
        <v>64</v>
      </c>
      <c r="AJ85" s="3981">
        <v>45473</v>
      </c>
      <c r="AK85" s="3365" t="s">
        <v>64</v>
      </c>
      <c r="AL85" s="3978">
        <v>67.04</v>
      </c>
      <c r="AM85" s="3979"/>
      <c r="AN85" s="3978"/>
      <c r="AO85" s="3980"/>
      <c r="AP85" s="3981">
        <v>45474</v>
      </c>
      <c r="AQ85" s="3365" t="s">
        <v>64</v>
      </c>
      <c r="AR85" s="3981">
        <v>45657</v>
      </c>
      <c r="AS85" s="3365" t="s">
        <v>64</v>
      </c>
      <c r="AT85" s="3978">
        <v>67.04</v>
      </c>
      <c r="AU85" s="3979"/>
      <c r="AV85" s="3978"/>
      <c r="AW85" s="3980"/>
      <c r="AX85" s="3981">
        <v>45658</v>
      </c>
      <c r="AY85" s="3365" t="s">
        <v>64</v>
      </c>
      <c r="AZ85" s="3981">
        <v>45838</v>
      </c>
      <c r="BA85" s="3365" t="s">
        <v>64</v>
      </c>
      <c r="BB85" s="3978">
        <v>75.22</v>
      </c>
      <c r="BC85" s="3979"/>
      <c r="BD85" s="3978"/>
      <c r="BE85" s="3980"/>
      <c r="BF85" s="3981">
        <v>45839</v>
      </c>
      <c r="BG85" s="3365" t="s">
        <v>64</v>
      </c>
      <c r="BH85" s="3981">
        <v>46022</v>
      </c>
      <c r="BI85" s="3365" t="s">
        <v>64</v>
      </c>
      <c r="BJ85" s="3978">
        <v>73.2</v>
      </c>
      <c r="BK85" s="3979"/>
      <c r="BL85" s="3978"/>
      <c r="BM85" s="3980"/>
      <c r="BN85" s="3981">
        <v>46023</v>
      </c>
      <c r="BO85" s="3365" t="s">
        <v>64</v>
      </c>
      <c r="BP85" s="3981">
        <v>46203</v>
      </c>
      <c r="BQ85" s="3365" t="s">
        <v>64</v>
      </c>
      <c r="BR85" s="3978">
        <v>81.19</v>
      </c>
      <c r="BS85" s="3979"/>
      <c r="BT85" s="3978"/>
      <c r="BU85" s="3980"/>
      <c r="BV85" s="3981">
        <v>46204</v>
      </c>
      <c r="BW85" s="3365" t="s">
        <v>64</v>
      </c>
      <c r="BX85" s="3981">
        <v>46387</v>
      </c>
      <c r="BY85" s="3365" t="s">
        <v>64</v>
      </c>
      <c r="BZ85" s="3978">
        <v>81.19</v>
      </c>
      <c r="CA85" s="3979"/>
      <c r="CB85" s="3978"/>
      <c r="CC85" s="3980"/>
      <c r="CD85" s="3981">
        <v>46388</v>
      </c>
      <c r="CE85" s="3365" t="s">
        <v>64</v>
      </c>
      <c r="CF85" s="3981">
        <v>46568</v>
      </c>
      <c r="CG85" s="3365" t="s">
        <v>64</v>
      </c>
      <c r="CH85" s="3978">
        <v>84.48</v>
      </c>
      <c r="CI85" s="3979"/>
      <c r="CJ85" s="3978"/>
      <c r="CK85" s="3980"/>
      <c r="CL85" s="3981">
        <v>46569</v>
      </c>
      <c r="CM85" s="3365" t="s">
        <v>64</v>
      </c>
      <c r="CN85" s="3981">
        <v>46752</v>
      </c>
      <c r="CO85" s="3365" t="s">
        <v>64</v>
      </c>
      <c r="CP85" s="3978">
        <v>84.48</v>
      </c>
      <c r="CQ85" s="3979"/>
      <c r="CR85" s="3978"/>
      <c r="CS85" s="3980"/>
      <c r="CT85" s="3981">
        <v>46753</v>
      </c>
      <c r="CU85" s="3365" t="s">
        <v>64</v>
      </c>
      <c r="CV85" s="3981">
        <v>46934</v>
      </c>
      <c r="CW85" s="3365" t="s">
        <v>64</v>
      </c>
      <c r="CX85" s="3978">
        <v>90.47</v>
      </c>
      <c r="CY85" s="3979"/>
      <c r="CZ85" s="3978"/>
      <c r="DA85" s="3980"/>
      <c r="DB85" s="3981">
        <v>46935</v>
      </c>
      <c r="DC85" s="3365" t="s">
        <v>64</v>
      </c>
      <c r="DD85" s="3981">
        <v>47118</v>
      </c>
      <c r="DE85" s="3365" t="s">
        <v>64</v>
      </c>
      <c r="DF85" s="3979"/>
      <c r="DG85" s="4254" t="s">
        <v>470</v>
      </c>
      <c r="DH85" s="4143">
        <f>STRCHECKDATE(V86:DF86)</f>
      </c>
      <c r="DI85" s="4251"/>
      <c r="DJ85" s="4251" t="str">
        <f>IF(T85="","",T85)</f>
        <v>вода</v>
      </c>
      <c r="DK85" s="4251"/>
      <c r="DL85" s="4251"/>
      <c r="DM85" s="3961">
        <v>0</v>
      </c>
    </row>
    <row s="32445" customFormat="1" customHeight="1" ht="0.75">
      <c r="A86" s="4238"/>
      <c r="B86" s="4238"/>
      <c r="C86" s="4238"/>
      <c r="D86" s="4238"/>
      <c r="E86" s="4239"/>
      <c r="F86" s="4239"/>
      <c r="G86" s="4239"/>
      <c r="H86" s="4239"/>
      <c r="I86" s="4240"/>
      <c r="J86" s="4240">
        <f>I79&amp;".1"</f>
      </c>
      <c r="K86" s="4241"/>
      <c r="L86" s="4242"/>
      <c r="M86" s="4135"/>
      <c r="N86" s="4135"/>
      <c r="O86" s="4135"/>
      <c r="P86" s="4244"/>
      <c r="Q86" s="4244"/>
      <c r="R86" s="4246"/>
      <c r="S86" s="4256"/>
      <c r="T86" s="4249"/>
      <c r="U86" s="4249"/>
      <c r="V86" s="3979"/>
      <c r="W86" s="3979"/>
      <c r="X86" s="3979"/>
      <c r="Y86" s="3982" t="str">
        <f>Z85&amp;"-"&amp;AB85</f>
        <v>-</v>
      </c>
      <c r="Z86" s="3983"/>
      <c r="AA86" s="3365"/>
      <c r="AB86" s="3983"/>
      <c r="AC86" s="3365"/>
      <c r="AD86" s="3979"/>
      <c r="AE86" s="3979"/>
      <c r="AF86" s="3979"/>
      <c r="AG86" s="3982" t="str">
        <f>AH85&amp;"-"&amp;AJ85</f>
        <v>45292-45473</v>
      </c>
      <c r="AH86" s="3983"/>
      <c r="AI86" s="3365"/>
      <c r="AJ86" s="3983"/>
      <c r="AK86" s="3365"/>
      <c r="AL86" s="3979"/>
      <c r="AM86" s="3979"/>
      <c r="AN86" s="3979"/>
      <c r="AO86" s="3982" t="str">
        <f>AP85&amp;"-"&amp;AR85</f>
        <v>45474-45657</v>
      </c>
      <c r="AP86" s="3983"/>
      <c r="AQ86" s="3365"/>
      <c r="AR86" s="3983"/>
      <c r="AS86" s="3365"/>
      <c r="AT86" s="3979"/>
      <c r="AU86" s="3979"/>
      <c r="AV86" s="3979"/>
      <c r="AW86" s="3982" t="str">
        <f>AX85&amp;"-"&amp;AZ85</f>
        <v>45658-45838</v>
      </c>
      <c r="AX86" s="3983"/>
      <c r="AY86" s="3365"/>
      <c r="AZ86" s="3983"/>
      <c r="BA86" s="3365"/>
      <c r="BB86" s="3979"/>
      <c r="BC86" s="3979"/>
      <c r="BD86" s="3979"/>
      <c r="BE86" s="3982" t="str">
        <f>BF85&amp;"-"&amp;BH85</f>
        <v>45839-46022</v>
      </c>
      <c r="BF86" s="3983"/>
      <c r="BG86" s="3365"/>
      <c r="BH86" s="3983"/>
      <c r="BI86" s="3365"/>
      <c r="BJ86" s="3979"/>
      <c r="BK86" s="3979"/>
      <c r="BL86" s="3979"/>
      <c r="BM86" s="3982" t="str">
        <f>BN85&amp;"-"&amp;BP85</f>
        <v>46023-46203</v>
      </c>
      <c r="BN86" s="3983"/>
      <c r="BO86" s="3365"/>
      <c r="BP86" s="3983"/>
      <c r="BQ86" s="3365"/>
      <c r="BR86" s="3979"/>
      <c r="BS86" s="3979"/>
      <c r="BT86" s="3979"/>
      <c r="BU86" s="3982" t="str">
        <f>BV85&amp;"-"&amp;BX85</f>
        <v>46204-46387</v>
      </c>
      <c r="BV86" s="3983"/>
      <c r="BW86" s="3365"/>
      <c r="BX86" s="3983"/>
      <c r="BY86" s="3365"/>
      <c r="BZ86" s="3979"/>
      <c r="CA86" s="3979"/>
      <c r="CB86" s="3979"/>
      <c r="CC86" s="3982" t="str">
        <f>CD85&amp;"-"&amp;CF85</f>
        <v>46388-46568</v>
      </c>
      <c r="CD86" s="3983"/>
      <c r="CE86" s="3365"/>
      <c r="CF86" s="3983"/>
      <c r="CG86" s="3365"/>
      <c r="CH86" s="3979"/>
      <c r="CI86" s="3979"/>
      <c r="CJ86" s="3979"/>
      <c r="CK86" s="3982" t="str">
        <f>CL85&amp;"-"&amp;CN85</f>
        <v>46569-46752</v>
      </c>
      <c r="CL86" s="3983"/>
      <c r="CM86" s="3365"/>
      <c r="CN86" s="3983"/>
      <c r="CO86" s="3365"/>
      <c r="CP86" s="3979"/>
      <c r="CQ86" s="3979"/>
      <c r="CR86" s="3979"/>
      <c r="CS86" s="3982" t="str">
        <f>CT85&amp;"-"&amp;CV85</f>
        <v>46753-46934</v>
      </c>
      <c r="CT86" s="3983"/>
      <c r="CU86" s="3365"/>
      <c r="CV86" s="3983"/>
      <c r="CW86" s="3365"/>
      <c r="CX86" s="3979"/>
      <c r="CY86" s="3979"/>
      <c r="CZ86" s="3979"/>
      <c r="DA86" s="3982" t="str">
        <f>DB85&amp;"-"&amp;DD85</f>
        <v>46935-47118</v>
      </c>
      <c r="DB86" s="3983"/>
      <c r="DC86" s="3365"/>
      <c r="DD86" s="3983"/>
      <c r="DE86" s="3365"/>
      <c r="DF86" s="3979"/>
      <c r="DG86" s="4257"/>
      <c r="DH86" s="4143"/>
      <c r="DI86" s="4251"/>
      <c r="DJ86" s="4251" t="str">
        <f>IF(T86="","",T86)</f>
        <v/>
      </c>
      <c r="DK86" s="4251"/>
      <c r="DL86" s="4251"/>
      <c r="DM86" s="3961">
        <v>0</v>
      </c>
    </row>
    <row s="32446" customFormat="1" customHeight="1" ht="15">
      <c r="A87" s="4238"/>
      <c r="B87" s="4238"/>
      <c r="C87" s="4238"/>
      <c r="D87" s="4238"/>
      <c r="E87" s="4239"/>
      <c r="F87" s="4239"/>
      <c r="G87" s="4239"/>
      <c r="H87" s="4239"/>
      <c r="I87" s="4240"/>
      <c r="J87" s="4241">
        <f>I79&amp;".1"</f>
      </c>
      <c r="K87" s="4238"/>
      <c r="L87" s="4242"/>
      <c r="M87" s="4135"/>
      <c r="N87" s="4135"/>
      <c r="O87" s="4243"/>
      <c r="P87" s="4244"/>
      <c r="Q87" s="4244"/>
      <c r="R87" s="4259"/>
      <c r="S87" s="4851"/>
      <c r="T87" s="4852" t="s">
        <v>471</v>
      </c>
      <c r="U87" s="4853"/>
      <c r="V87" s="4854"/>
      <c r="W87" s="4855"/>
      <c r="X87" s="4856"/>
      <c r="Y87" s="4857"/>
      <c r="Z87" s="4858"/>
      <c r="AA87" s="4859"/>
      <c r="AB87" s="4860"/>
      <c r="AC87" s="4861"/>
      <c r="AD87" s="4862"/>
      <c r="AE87" s="4863"/>
      <c r="AF87" s="4864"/>
      <c r="AG87" s="4865"/>
      <c r="AH87" s="4866"/>
      <c r="AI87" s="4867"/>
      <c r="AJ87" s="4868"/>
      <c r="AK87" s="4869"/>
      <c r="AL87" s="4870"/>
      <c r="AM87" s="4871"/>
      <c r="AN87" s="4872"/>
      <c r="AO87" s="4873"/>
      <c r="AP87" s="4874"/>
      <c r="AQ87" s="4875"/>
      <c r="AR87" s="4876"/>
      <c r="AS87" s="4877"/>
      <c r="AT87" s="4878"/>
      <c r="AU87" s="4879"/>
      <c r="AV87" s="4880"/>
      <c r="AW87" s="4881"/>
      <c r="AX87" s="4882"/>
      <c r="AY87" s="4883"/>
      <c r="AZ87" s="4884"/>
      <c r="BA87" s="4885"/>
      <c r="BB87" s="4886"/>
      <c r="BC87" s="4887"/>
      <c r="BD87" s="4888"/>
      <c r="BE87" s="4889"/>
      <c r="BF87" s="4890"/>
      <c r="BG87" s="4891"/>
      <c r="BH87" s="4892"/>
      <c r="BI87" s="4893"/>
      <c r="BJ87" s="4894"/>
      <c r="BK87" s="4895"/>
      <c r="BL87" s="4896"/>
      <c r="BM87" s="4897"/>
      <c r="BN87" s="4898"/>
      <c r="BO87" s="4899"/>
      <c r="BP87" s="4900"/>
      <c r="BQ87" s="4901"/>
      <c r="BR87" s="4902"/>
      <c r="BS87" s="4903"/>
      <c r="BT87" s="4904"/>
      <c r="BU87" s="4905"/>
      <c r="BV87" s="4906"/>
      <c r="BW87" s="4907"/>
      <c r="BX87" s="4908"/>
      <c r="BY87" s="4909"/>
      <c r="BZ87" s="4910"/>
      <c r="CA87" s="4911"/>
      <c r="CB87" s="4912"/>
      <c r="CC87" s="4913"/>
      <c r="CD87" s="4914"/>
      <c r="CE87" s="4915"/>
      <c r="CF87" s="4916"/>
      <c r="CG87" s="4917"/>
      <c r="CH87" s="4918"/>
      <c r="CI87" s="4919"/>
      <c r="CJ87" s="4920"/>
      <c r="CK87" s="4921"/>
      <c r="CL87" s="4922"/>
      <c r="CM87" s="4923"/>
      <c r="CN87" s="4924"/>
      <c r="CO87" s="4925"/>
      <c r="CP87" s="4926"/>
      <c r="CQ87" s="4927"/>
      <c r="CR87" s="4928"/>
      <c r="CS87" s="4929"/>
      <c r="CT87" s="4930"/>
      <c r="CU87" s="4931"/>
      <c r="CV87" s="4932"/>
      <c r="CW87" s="4933"/>
      <c r="CX87" s="4934"/>
      <c r="CY87" s="4935"/>
      <c r="CZ87" s="4936"/>
      <c r="DA87" s="4937"/>
      <c r="DB87" s="4938"/>
      <c r="DC87" s="4939"/>
      <c r="DD87" s="4940"/>
      <c r="DE87" s="4941"/>
      <c r="DF87" s="4942"/>
      <c r="DG87" s="4352"/>
      <c r="DH87" s="4143"/>
      <c r="DI87" s="4251"/>
      <c r="DJ87" s="4251" t="str">
        <f>IF(T87="","",T87)</f>
        <v>Добавить вид теплоносителя (параметры теплоносителя)</v>
      </c>
      <c r="DK87" s="4251"/>
      <c r="DL87" s="4251"/>
      <c r="DM87" s="3961">
        <v>0</v>
      </c>
    </row>
    <row s="32539" customFormat="1" customHeight="1" ht="15">
      <c r="A88" s="4238"/>
      <c r="B88" s="4238"/>
      <c r="C88" s="4238"/>
      <c r="D88" s="4238"/>
      <c r="E88" s="4239"/>
      <c r="F88" s="4239" t="s">
        <v>105</v>
      </c>
      <c r="G88" s="4239"/>
      <c r="H88" s="4239"/>
      <c r="I88" s="4241"/>
      <c r="J88" s="4238"/>
      <c r="K88" s="4238"/>
      <c r="L88" s="4242"/>
      <c r="M88" s="4135"/>
      <c r="N88" s="4243"/>
      <c r="O88" s="4243"/>
      <c r="P88" s="4244"/>
      <c r="Q88" s="4244"/>
      <c r="R88" s="4259"/>
      <c r="S88" s="4944"/>
      <c r="T88" s="4945" t="s">
        <v>472</v>
      </c>
      <c r="U88" s="4946"/>
      <c r="V88" s="4947"/>
      <c r="W88" s="4948"/>
      <c r="X88" s="4949"/>
      <c r="Y88" s="4950"/>
      <c r="Z88" s="4951"/>
      <c r="AA88" s="4952"/>
      <c r="AB88" s="4953"/>
      <c r="AC88" s="4954"/>
      <c r="AD88" s="4955"/>
      <c r="AE88" s="4956"/>
      <c r="AF88" s="4957"/>
      <c r="AG88" s="4958"/>
      <c r="AH88" s="4959"/>
      <c r="AI88" s="4960"/>
      <c r="AJ88" s="4961"/>
      <c r="AK88" s="4962"/>
      <c r="AL88" s="4963"/>
      <c r="AM88" s="4964"/>
      <c r="AN88" s="4965"/>
      <c r="AO88" s="4966"/>
      <c r="AP88" s="4967"/>
      <c r="AQ88" s="4968"/>
      <c r="AR88" s="4969"/>
      <c r="AS88" s="4970"/>
      <c r="AT88" s="4971"/>
      <c r="AU88" s="4972"/>
      <c r="AV88" s="4973"/>
      <c r="AW88" s="4974"/>
      <c r="AX88" s="4975"/>
      <c r="AY88" s="4976"/>
      <c r="AZ88" s="4977"/>
      <c r="BA88" s="4978"/>
      <c r="BB88" s="4979"/>
      <c r="BC88" s="4980"/>
      <c r="BD88" s="4981"/>
      <c r="BE88" s="4982"/>
      <c r="BF88" s="4983"/>
      <c r="BG88" s="4984"/>
      <c r="BH88" s="4985"/>
      <c r="BI88" s="4986"/>
      <c r="BJ88" s="4987"/>
      <c r="BK88" s="4988"/>
      <c r="BL88" s="4989"/>
      <c r="BM88" s="4990"/>
      <c r="BN88" s="4991"/>
      <c r="BO88" s="4992"/>
      <c r="BP88" s="4993"/>
      <c r="BQ88" s="4994"/>
      <c r="BR88" s="4995"/>
      <c r="BS88" s="4996"/>
      <c r="BT88" s="4997"/>
      <c r="BU88" s="4998"/>
      <c r="BV88" s="4999"/>
      <c r="BW88" s="5000"/>
      <c r="BX88" s="5001"/>
      <c r="BY88" s="5002"/>
      <c r="BZ88" s="5003"/>
      <c r="CA88" s="5004"/>
      <c r="CB88" s="5005"/>
      <c r="CC88" s="5006"/>
      <c r="CD88" s="5007"/>
      <c r="CE88" s="5008"/>
      <c r="CF88" s="5009"/>
      <c r="CG88" s="5010"/>
      <c r="CH88" s="5011"/>
      <c r="CI88" s="5012"/>
      <c r="CJ88" s="5013"/>
      <c r="CK88" s="5014"/>
      <c r="CL88" s="5015"/>
      <c r="CM88" s="5016"/>
      <c r="CN88" s="5017"/>
      <c r="CO88" s="5018"/>
      <c r="CP88" s="5019"/>
      <c r="CQ88" s="5020"/>
      <c r="CR88" s="5021"/>
      <c r="CS88" s="5022"/>
      <c r="CT88" s="5023"/>
      <c r="CU88" s="5024"/>
      <c r="CV88" s="5025"/>
      <c r="CW88" s="5026"/>
      <c r="CX88" s="5027"/>
      <c r="CY88" s="5028"/>
      <c r="CZ88" s="5029"/>
      <c r="DA88" s="5030"/>
      <c r="DB88" s="5031"/>
      <c r="DC88" s="5032"/>
      <c r="DD88" s="5033"/>
      <c r="DE88" s="5034"/>
      <c r="DF88" s="5035"/>
      <c r="DG88" s="5036"/>
      <c r="DH88" s="4143"/>
      <c r="DI88" s="4251"/>
      <c r="DJ88" s="4251" t="str">
        <f>IF(T88="","",T88)</f>
        <v>Добавить группу потребителей</v>
      </c>
      <c r="DK88" s="4251"/>
      <c r="DL88" s="4251"/>
      <c r="DM88" s="3961">
        <v>0</v>
      </c>
    </row>
    <row s="32633" customFormat="1" customHeight="1" ht="14.25">
      <c r="A89" s="4238"/>
      <c r="B89" s="4238"/>
      <c r="C89" s="4238"/>
      <c r="D89" s="4238"/>
      <c r="E89" s="4239"/>
      <c r="F89" s="4239" t="s">
        <v>105</v>
      </c>
      <c r="G89" s="4239"/>
      <c r="H89" s="4426"/>
      <c r="I89" s="4238"/>
      <c r="J89" s="4238"/>
      <c r="K89" s="4238"/>
      <c r="L89" s="4242"/>
      <c r="M89" s="4427"/>
      <c r="N89" s="4427"/>
      <c r="O89" s="4135"/>
      <c r="P89" s="4729"/>
      <c r="Q89" s="4730"/>
      <c r="R89" s="4731"/>
      <c r="S89" s="4732"/>
      <c r="T89" s="4733"/>
      <c r="U89" s="4131"/>
      <c r="V89" s="4131"/>
      <c r="W89" s="4131"/>
      <c r="X89" s="4131"/>
      <c r="Y89" s="4131"/>
      <c r="Z89" s="4131"/>
      <c r="AA89" s="4131"/>
      <c r="AB89" s="4131"/>
      <c r="AC89" s="4131"/>
      <c r="AD89" s="4131"/>
      <c r="AE89" s="4131"/>
      <c r="AF89" s="4131"/>
      <c r="AG89" s="4131"/>
      <c r="AH89" s="4131"/>
      <c r="AI89" s="4131"/>
      <c r="AJ89" s="4131"/>
      <c r="AK89" s="4131"/>
      <c r="AL89" s="4131"/>
      <c r="AM89" s="4131"/>
      <c r="AN89" s="4131"/>
      <c r="AO89" s="4131"/>
      <c r="AP89" s="4131"/>
      <c r="AQ89" s="4131"/>
      <c r="AR89" s="4131"/>
      <c r="AS89" s="4131"/>
      <c r="AT89" s="4131"/>
      <c r="AU89" s="4131"/>
      <c r="AV89" s="4131"/>
      <c r="AW89" s="4131"/>
      <c r="AX89" s="4131"/>
      <c r="AY89" s="4131"/>
      <c r="AZ89" s="4131"/>
      <c r="BA89" s="4131"/>
      <c r="BB89" s="4131"/>
      <c r="BC89" s="4131"/>
      <c r="BD89" s="4131"/>
      <c r="BE89" s="4131"/>
      <c r="BF89" s="4131"/>
      <c r="BG89" s="4131"/>
      <c r="BH89" s="4131"/>
      <c r="BI89" s="4131"/>
      <c r="BJ89" s="4131"/>
      <c r="BK89" s="4131"/>
      <c r="BL89" s="4131"/>
      <c r="BM89" s="4131"/>
      <c r="BN89" s="4131"/>
      <c r="BO89" s="4131"/>
      <c r="BP89" s="4131"/>
      <c r="BQ89" s="4131"/>
      <c r="BR89" s="4131"/>
      <c r="BS89" s="4131"/>
      <c r="BT89" s="4131"/>
      <c r="BU89" s="4131"/>
      <c r="BV89" s="4131"/>
      <c r="BW89" s="4131"/>
      <c r="BX89" s="4131"/>
      <c r="BY89" s="4131"/>
      <c r="BZ89" s="4131"/>
      <c r="CA89" s="4131"/>
      <c r="CB89" s="4131"/>
      <c r="CC89" s="4131"/>
      <c r="CD89" s="4131"/>
      <c r="CE89" s="4131"/>
      <c r="CF89" s="4131"/>
      <c r="CG89" s="4131"/>
      <c r="CH89" s="4131"/>
      <c r="CI89" s="4131"/>
      <c r="CJ89" s="4131"/>
      <c r="CK89" s="4131"/>
      <c r="CL89" s="4131"/>
      <c r="CM89" s="4131"/>
      <c r="CN89" s="4131"/>
      <c r="CO89" s="4131"/>
      <c r="CP89" s="4131"/>
      <c r="CQ89" s="4131"/>
      <c r="CR89" s="4131"/>
      <c r="CS89" s="4131"/>
      <c r="CT89" s="4131"/>
      <c r="CU89" s="4131"/>
      <c r="CV89" s="4131"/>
      <c r="CW89" s="4131"/>
      <c r="CX89" s="4131"/>
      <c r="CY89" s="4131"/>
      <c r="CZ89" s="4131"/>
      <c r="DA89" s="4131"/>
      <c r="DB89" s="4131"/>
      <c r="DC89" s="4131"/>
      <c r="DD89" s="4131"/>
      <c r="DE89" s="4131"/>
      <c r="DF89" s="4131"/>
      <c r="DG89" s="4734"/>
      <c r="DH89" s="4143"/>
      <c r="DI89" s="4251"/>
      <c r="DJ89" s="4251" t="str">
        <f>IF(T89="","",T89)</f>
        <v/>
      </c>
      <c r="DK89" s="4251"/>
      <c r="DL89" s="4251"/>
      <c r="DM89" s="3961">
        <v>0</v>
      </c>
    </row>
    <row s="32634" customFormat="1" customHeight="1" ht="0.75">
      <c r="A90" s="4736"/>
      <c r="B90" s="4736"/>
      <c r="C90" s="4736"/>
      <c r="D90" s="4736"/>
      <c r="E90" s="4239"/>
      <c r="F90" s="4239" t="s">
        <v>105</v>
      </c>
      <c r="G90" s="4426"/>
      <c r="H90" s="4736"/>
      <c r="I90" s="4736"/>
      <c r="J90" s="4736"/>
      <c r="K90" s="4736"/>
      <c r="L90" s="4737"/>
      <c r="M90" s="4738"/>
      <c r="N90" s="4738"/>
      <c r="O90" s="4143"/>
      <c r="P90" s="4739"/>
      <c r="Q90" s="4740"/>
      <c r="R90" s="4739"/>
      <c r="S90" s="4741"/>
      <c r="T90" s="4742" t="s">
        <v>213</v>
      </c>
      <c r="U90" s="4133"/>
      <c r="V90" s="4133"/>
      <c r="W90" s="4133"/>
      <c r="X90" s="4133"/>
      <c r="Y90" s="4133"/>
      <c r="Z90" s="4133"/>
      <c r="AA90" s="4133"/>
      <c r="AB90" s="4133"/>
      <c r="AC90" s="4133"/>
      <c r="AD90" s="4133"/>
      <c r="AE90" s="4133"/>
      <c r="AF90" s="4133"/>
      <c r="AG90" s="4133"/>
      <c r="AH90" s="4133"/>
      <c r="AI90" s="4133"/>
      <c r="AJ90" s="4133"/>
      <c r="AK90" s="4133"/>
      <c r="AL90" s="4133"/>
      <c r="AM90" s="4133"/>
      <c r="AN90" s="4133"/>
      <c r="AO90" s="4133"/>
      <c r="AP90" s="4133"/>
      <c r="AQ90" s="4133"/>
      <c r="AR90" s="4133"/>
      <c r="AS90" s="4133"/>
      <c r="AT90" s="4133"/>
      <c r="AU90" s="4133"/>
      <c r="AV90" s="4133"/>
      <c r="AW90" s="4133"/>
      <c r="AX90" s="4133"/>
      <c r="AY90" s="4133"/>
      <c r="AZ90" s="4133"/>
      <c r="BA90" s="4133"/>
      <c r="BB90" s="4133"/>
      <c r="BC90" s="4133"/>
      <c r="BD90" s="4133"/>
      <c r="BE90" s="4133"/>
      <c r="BF90" s="4133"/>
      <c r="BG90" s="4133"/>
      <c r="BH90" s="4133"/>
      <c r="BI90" s="4133"/>
      <c r="BJ90" s="4133"/>
      <c r="BK90" s="4133"/>
      <c r="BL90" s="4133"/>
      <c r="BM90" s="4133"/>
      <c r="BN90" s="4133"/>
      <c r="BO90" s="4133"/>
      <c r="BP90" s="4133"/>
      <c r="BQ90" s="4133"/>
      <c r="BR90" s="4133"/>
      <c r="BS90" s="4133"/>
      <c r="BT90" s="4133"/>
      <c r="BU90" s="4133"/>
      <c r="BV90" s="4133"/>
      <c r="BW90" s="4133"/>
      <c r="BX90" s="4133"/>
      <c r="BY90" s="4133"/>
      <c r="BZ90" s="4133"/>
      <c r="CA90" s="4133"/>
      <c r="CB90" s="4133"/>
      <c r="CC90" s="4133"/>
      <c r="CD90" s="4133"/>
      <c r="CE90" s="4133"/>
      <c r="CF90" s="4133"/>
      <c r="CG90" s="4133"/>
      <c r="CH90" s="4133"/>
      <c r="CI90" s="4133"/>
      <c r="CJ90" s="4133"/>
      <c r="CK90" s="4133"/>
      <c r="CL90" s="4133"/>
      <c r="CM90" s="4133"/>
      <c r="CN90" s="4133"/>
      <c r="CO90" s="4133"/>
      <c r="CP90" s="4133"/>
      <c r="CQ90" s="4133"/>
      <c r="CR90" s="4133"/>
      <c r="CS90" s="4133"/>
      <c r="CT90" s="4133"/>
      <c r="CU90" s="4133"/>
      <c r="CV90" s="4133"/>
      <c r="CW90" s="4133"/>
      <c r="CX90" s="4133"/>
      <c r="CY90" s="4133"/>
      <c r="CZ90" s="4133"/>
      <c r="DA90" s="4133"/>
      <c r="DB90" s="4133"/>
      <c r="DC90" s="4133"/>
      <c r="DD90" s="4133"/>
      <c r="DE90" s="4133"/>
      <c r="DF90" s="4133"/>
      <c r="DG90" s="4133"/>
      <c r="DH90" s="4143"/>
      <c r="DI90" s="4251"/>
      <c r="DJ90" s="4251" t="str">
        <f>IF(T90="","",T90)</f>
        <v>Добавить источник для дифференциации</v>
      </c>
      <c r="DK90" s="4251"/>
      <c r="DL90" s="4251"/>
      <c r="DM90" s="4143">
        <v>0</v>
      </c>
    </row>
    <row s="32635" customFormat="1" customHeight="1" ht="0.75">
      <c r="A91" s="4736"/>
      <c r="B91" s="4736"/>
      <c r="C91" s="4736"/>
      <c r="D91" s="4736"/>
      <c r="E91" s="4239"/>
      <c r="F91" s="4426" t="s">
        <v>105</v>
      </c>
      <c r="G91" s="4736"/>
      <c r="H91" s="4736"/>
      <c r="I91" s="4736"/>
      <c r="J91" s="4736"/>
      <c r="K91" s="4736"/>
      <c r="L91" s="4737"/>
      <c r="M91" s="4744"/>
      <c r="N91" s="4744"/>
      <c r="O91" s="4143"/>
      <c r="P91" s="4739"/>
      <c r="Q91" s="4740"/>
      <c r="R91" s="4739"/>
      <c r="S91" s="4745"/>
      <c r="T91" s="4746" t="s">
        <v>214</v>
      </c>
      <c r="U91" s="4134"/>
      <c r="V91" s="4134"/>
      <c r="W91" s="4134"/>
      <c r="X91" s="4134"/>
      <c r="Y91" s="4134"/>
      <c r="Z91" s="4134"/>
      <c r="AA91" s="4134"/>
      <c r="AB91" s="4134"/>
      <c r="AC91" s="4134"/>
      <c r="AD91" s="4134"/>
      <c r="AE91" s="4134"/>
      <c r="AF91" s="4134"/>
      <c r="AG91" s="4134"/>
      <c r="AH91" s="4134"/>
      <c r="AI91" s="4134"/>
      <c r="AJ91" s="4134"/>
      <c r="AK91" s="4134"/>
      <c r="AL91" s="4134"/>
      <c r="AM91" s="4134"/>
      <c r="AN91" s="4134"/>
      <c r="AO91" s="4134"/>
      <c r="AP91" s="4134"/>
      <c r="AQ91" s="4134"/>
      <c r="AR91" s="4134"/>
      <c r="AS91" s="4134"/>
      <c r="AT91" s="4134"/>
      <c r="AU91" s="4134"/>
      <c r="AV91" s="4134"/>
      <c r="AW91" s="4134"/>
      <c r="AX91" s="4134"/>
      <c r="AY91" s="4134"/>
      <c r="AZ91" s="4134"/>
      <c r="BA91" s="4134"/>
      <c r="BB91" s="4134"/>
      <c r="BC91" s="4134"/>
      <c r="BD91" s="4134"/>
      <c r="BE91" s="4134"/>
      <c r="BF91" s="4134"/>
      <c r="BG91" s="4134"/>
      <c r="BH91" s="4134"/>
      <c r="BI91" s="4134"/>
      <c r="BJ91" s="4134"/>
      <c r="BK91" s="4134"/>
      <c r="BL91" s="4134"/>
      <c r="BM91" s="4134"/>
      <c r="BN91" s="4134"/>
      <c r="BO91" s="4134"/>
      <c r="BP91" s="4134"/>
      <c r="BQ91" s="4134"/>
      <c r="BR91" s="4134"/>
      <c r="BS91" s="4134"/>
      <c r="BT91" s="4134"/>
      <c r="BU91" s="4134"/>
      <c r="BV91" s="4134"/>
      <c r="BW91" s="4134"/>
      <c r="BX91" s="4134"/>
      <c r="BY91" s="4134"/>
      <c r="BZ91" s="4134"/>
      <c r="CA91" s="4134"/>
      <c r="CB91" s="4134"/>
      <c r="CC91" s="4134"/>
      <c r="CD91" s="4134"/>
      <c r="CE91" s="4134"/>
      <c r="CF91" s="4134"/>
      <c r="CG91" s="4134"/>
      <c r="CH91" s="4134"/>
      <c r="CI91" s="4134"/>
      <c r="CJ91" s="4134"/>
      <c r="CK91" s="4134"/>
      <c r="CL91" s="4134"/>
      <c r="CM91" s="4134"/>
      <c r="CN91" s="4134"/>
      <c r="CO91" s="4134"/>
      <c r="CP91" s="4134"/>
      <c r="CQ91" s="4134"/>
      <c r="CR91" s="4134"/>
      <c r="CS91" s="4134"/>
      <c r="CT91" s="4134"/>
      <c r="CU91" s="4134"/>
      <c r="CV91" s="4134"/>
      <c r="CW91" s="4134"/>
      <c r="CX91" s="4134"/>
      <c r="CY91" s="4134"/>
      <c r="CZ91" s="4134"/>
      <c r="DA91" s="4134"/>
      <c r="DB91" s="4134"/>
      <c r="DC91" s="4134"/>
      <c r="DD91" s="4134"/>
      <c r="DE91" s="4134"/>
      <c r="DF91" s="4134"/>
      <c r="DG91" s="4134"/>
      <c r="DH91" s="4143"/>
      <c r="DI91" s="4251"/>
      <c r="DJ91" s="4251" t="str">
        <f>IF(T91="","",T91)</f>
        <v>Добавить централизованную систему для дифференциации</v>
      </c>
      <c r="DK91" s="4251"/>
      <c r="DL91" s="4251"/>
      <c r="DM91" s="4143">
        <v>0</v>
      </c>
    </row>
    <row s="32636" customFormat="1" customHeight="1" ht="21">
      <c r="A92" s="4238"/>
      <c r="B92" s="4238" t="s">
        <v>514</v>
      </c>
      <c r="C92" s="4238"/>
      <c r="D92" s="4238"/>
      <c r="E92" s="4239"/>
      <c r="F92" s="4426" t="s">
        <v>94</v>
      </c>
      <c r="G92" s="4238"/>
      <c r="H92" s="4238"/>
      <c r="I92" s="4238"/>
      <c r="J92" s="4238"/>
      <c r="K92" s="4238"/>
      <c r="L92" s="4242"/>
      <c r="M92" s="4427"/>
      <c r="N92" s="4427"/>
      <c r="O92" s="4427"/>
      <c r="P92" s="4428"/>
      <c r="Q92" s="4429"/>
      <c r="R92" s="4430"/>
      <c r="S92" s="4247">
        <f>INDEX(PT_DIFFERENTIATION_NUM_TER,MATCH(B92,PT_DIFFERENTIATION_TER_ID,0))</f>
      </c>
      <c r="T92" s="4431" t="s">
        <v>457</v>
      </c>
      <c r="U92" s="4249"/>
      <c r="V92" s="3962"/>
      <c r="W92" s="3963"/>
      <c r="X92" s="3963"/>
      <c r="Y92" s="3963"/>
      <c r="Z92" s="3963"/>
      <c r="AA92" s="3963"/>
      <c r="AB92" s="3963"/>
      <c r="AC92" s="3964"/>
      <c r="AD92" s="3962">
        <f>INDEX(PT_DIFFERENTIATION_TER,MATCH(B92,PT_DIFFERENTIATION_TER_ID,0))</f>
      </c>
      <c r="AE92" s="3963"/>
      <c r="AF92" s="3963"/>
      <c r="AG92" s="3963"/>
      <c r="AH92" s="3963"/>
      <c r="AI92" s="3963"/>
      <c r="AJ92" s="3963"/>
      <c r="AK92" s="3963"/>
      <c r="AL92" s="3962"/>
      <c r="AM92" s="3963"/>
      <c r="AN92" s="3963"/>
      <c r="AO92" s="3963"/>
      <c r="AP92" s="3963"/>
      <c r="AQ92" s="3963"/>
      <c r="AR92" s="3963"/>
      <c r="AS92" s="3964"/>
      <c r="AT92" s="3962"/>
      <c r="AU92" s="3963"/>
      <c r="AV92" s="3963"/>
      <c r="AW92" s="3963"/>
      <c r="AX92" s="3963"/>
      <c r="AY92" s="3963"/>
      <c r="AZ92" s="3963"/>
      <c r="BA92" s="3964"/>
      <c r="BB92" s="3962"/>
      <c r="BC92" s="3963"/>
      <c r="BD92" s="3963"/>
      <c r="BE92" s="3963"/>
      <c r="BF92" s="3963"/>
      <c r="BG92" s="3963"/>
      <c r="BH92" s="3963"/>
      <c r="BI92" s="3964"/>
      <c r="BJ92" s="3962"/>
      <c r="BK92" s="3963"/>
      <c r="BL92" s="3963"/>
      <c r="BM92" s="3963"/>
      <c r="BN92" s="3963"/>
      <c r="BO92" s="3963"/>
      <c r="BP92" s="3963"/>
      <c r="BQ92" s="3964"/>
      <c r="BR92" s="3962"/>
      <c r="BS92" s="3963"/>
      <c r="BT92" s="3963"/>
      <c r="BU92" s="3963"/>
      <c r="BV92" s="3963"/>
      <c r="BW92" s="3963"/>
      <c r="BX92" s="3963"/>
      <c r="BY92" s="3964"/>
      <c r="BZ92" s="3962"/>
      <c r="CA92" s="3963"/>
      <c r="CB92" s="3963"/>
      <c r="CC92" s="3963"/>
      <c r="CD92" s="3963"/>
      <c r="CE92" s="3963"/>
      <c r="CF92" s="3963"/>
      <c r="CG92" s="3964"/>
      <c r="CH92" s="3962"/>
      <c r="CI92" s="3963"/>
      <c r="CJ92" s="3963"/>
      <c r="CK92" s="3963"/>
      <c r="CL92" s="3963"/>
      <c r="CM92" s="3963"/>
      <c r="CN92" s="3963"/>
      <c r="CO92" s="3964"/>
      <c r="CP92" s="3962"/>
      <c r="CQ92" s="3963"/>
      <c r="CR92" s="3963"/>
      <c r="CS92" s="3963"/>
      <c r="CT92" s="3963"/>
      <c r="CU92" s="3963"/>
      <c r="CV92" s="3963"/>
      <c r="CW92" s="3964"/>
      <c r="CX92" s="3962"/>
      <c r="CY92" s="3963"/>
      <c r="CZ92" s="3963"/>
      <c r="DA92" s="3963"/>
      <c r="DB92" s="3963"/>
      <c r="DC92" s="3963"/>
      <c r="DD92" s="3963"/>
      <c r="DE92" s="3964"/>
      <c r="DF92" s="3964"/>
      <c r="DG92" s="4250" t="s">
        <v>458</v>
      </c>
      <c r="DH92" s="4143"/>
      <c r="DI92" s="4251"/>
      <c r="DJ92" s="4251" t="str">
        <f>IF(T92="","",T92)</f>
        <v>Территория действия тарифа</v>
      </c>
      <c r="DK92" s="4251"/>
      <c r="DL92" s="4251"/>
      <c r="DM92" s="3961">
        <v>0</v>
      </c>
    </row>
    <row s="32637" customFormat="1" customHeight="1" ht="23.25">
      <c r="A93" s="4238"/>
      <c r="B93" s="4238"/>
      <c r="C93" s="4238" t="s">
        <v>515</v>
      </c>
      <c r="D93" s="4238"/>
      <c r="E93" s="4239"/>
      <c r="F93" s="4239" t="s">
        <v>93</v>
      </c>
      <c r="G93" s="4426">
        <v>1</v>
      </c>
      <c r="H93" s="4238"/>
      <c r="I93" s="4238"/>
      <c r="J93" s="4238"/>
      <c r="K93" s="4238"/>
      <c r="L93" s="4242"/>
      <c r="M93" s="4427"/>
      <c r="N93" s="4427"/>
      <c r="O93" s="4427"/>
      <c r="P93" s="4433"/>
      <c r="Q93" s="4429"/>
      <c r="R93" s="4430"/>
      <c r="S93" s="4247">
        <f>INDEX(PT_DIFFERENTIATION_NUM_CS,MATCH(C93,PT_DIFFERENTIATION_CS_ID,0))</f>
      </c>
      <c r="T93" s="4434" t="s">
        <v>459</v>
      </c>
      <c r="U93" s="4249"/>
      <c r="V93" s="3962"/>
      <c r="W93" s="3963"/>
      <c r="X93" s="3963"/>
      <c r="Y93" s="3963"/>
      <c r="Z93" s="3963"/>
      <c r="AA93" s="3963"/>
      <c r="AB93" s="3963"/>
      <c r="AC93" s="3964"/>
      <c r="AD93" s="3962">
        <f>INDEX(PT_DIFFERENTIATION_CS,MATCH(C93,PT_DIFFERENTIATION_CS_ID,0))</f>
      </c>
      <c r="AE93" s="3963"/>
      <c r="AF93" s="3963"/>
      <c r="AG93" s="3963"/>
      <c r="AH93" s="3963"/>
      <c r="AI93" s="3963"/>
      <c r="AJ93" s="3963"/>
      <c r="AK93" s="3963"/>
      <c r="AL93" s="3962"/>
      <c r="AM93" s="3963"/>
      <c r="AN93" s="3963"/>
      <c r="AO93" s="3963"/>
      <c r="AP93" s="3963"/>
      <c r="AQ93" s="3963"/>
      <c r="AR93" s="3963"/>
      <c r="AS93" s="3964"/>
      <c r="AT93" s="3962"/>
      <c r="AU93" s="3963"/>
      <c r="AV93" s="3963"/>
      <c r="AW93" s="3963"/>
      <c r="AX93" s="3963"/>
      <c r="AY93" s="3963"/>
      <c r="AZ93" s="3963"/>
      <c r="BA93" s="3964"/>
      <c r="BB93" s="3962"/>
      <c r="BC93" s="3963"/>
      <c r="BD93" s="3963"/>
      <c r="BE93" s="3963"/>
      <c r="BF93" s="3963"/>
      <c r="BG93" s="3963"/>
      <c r="BH93" s="3963"/>
      <c r="BI93" s="3964"/>
      <c r="BJ93" s="3962"/>
      <c r="BK93" s="3963"/>
      <c r="BL93" s="3963"/>
      <c r="BM93" s="3963"/>
      <c r="BN93" s="3963"/>
      <c r="BO93" s="3963"/>
      <c r="BP93" s="3963"/>
      <c r="BQ93" s="3964"/>
      <c r="BR93" s="3962"/>
      <c r="BS93" s="3963"/>
      <c r="BT93" s="3963"/>
      <c r="BU93" s="3963"/>
      <c r="BV93" s="3963"/>
      <c r="BW93" s="3963"/>
      <c r="BX93" s="3963"/>
      <c r="BY93" s="3964"/>
      <c r="BZ93" s="3962"/>
      <c r="CA93" s="3963"/>
      <c r="CB93" s="3963"/>
      <c r="CC93" s="3963"/>
      <c r="CD93" s="3963"/>
      <c r="CE93" s="3963"/>
      <c r="CF93" s="3963"/>
      <c r="CG93" s="3964"/>
      <c r="CH93" s="3962"/>
      <c r="CI93" s="3963"/>
      <c r="CJ93" s="3963"/>
      <c r="CK93" s="3963"/>
      <c r="CL93" s="3963"/>
      <c r="CM93" s="3963"/>
      <c r="CN93" s="3963"/>
      <c r="CO93" s="3964"/>
      <c r="CP93" s="3962"/>
      <c r="CQ93" s="3963"/>
      <c r="CR93" s="3963"/>
      <c r="CS93" s="3963"/>
      <c r="CT93" s="3963"/>
      <c r="CU93" s="3963"/>
      <c r="CV93" s="3963"/>
      <c r="CW93" s="3964"/>
      <c r="CX93" s="3962"/>
      <c r="CY93" s="3963"/>
      <c r="CZ93" s="3963"/>
      <c r="DA93" s="3963"/>
      <c r="DB93" s="3963"/>
      <c r="DC93" s="3963"/>
      <c r="DD93" s="3963"/>
      <c r="DE93" s="3964"/>
      <c r="DF93" s="3964"/>
      <c r="DG93" s="4250" t="s">
        <v>460</v>
      </c>
      <c r="DH93" s="4143"/>
      <c r="DI93" s="4251"/>
      <c r="DJ93" s="4251" t="str">
        <f>IF(T93="","",T93)</f>
        <v>Наименование системы теплоснабжения </v>
      </c>
      <c r="DK93" s="4251"/>
      <c r="DL93" s="4251"/>
      <c r="DM93" s="3961">
        <v>0</v>
      </c>
    </row>
    <row s="32638" customFormat="1" customHeight="1" ht="21">
      <c r="A94" s="4238"/>
      <c r="B94" s="4238"/>
      <c r="C94" s="4238"/>
      <c r="D94" s="4238" t="s">
        <v>516</v>
      </c>
      <c r="E94" s="4239"/>
      <c r="F94" s="4239" t="s">
        <v>93</v>
      </c>
      <c r="G94" s="4239"/>
      <c r="H94" s="4426">
        <v>1</v>
      </c>
      <c r="I94" s="4238"/>
      <c r="J94" s="4238"/>
      <c r="K94" s="4238"/>
      <c r="L94" s="4242"/>
      <c r="M94" s="4427"/>
      <c r="N94" s="4427"/>
      <c r="O94" s="4427"/>
      <c r="P94" s="4433"/>
      <c r="Q94" s="4429"/>
      <c r="R94" s="4430"/>
      <c r="S94" s="4247">
        <f>INDEX(PT_DIFFERENTIATION_NUM_IST_TE,MATCH(D94,PT_DIFFERENTIATION_IST_TE_ID,0))</f>
      </c>
      <c r="T94" s="4436" t="s">
        <v>461</v>
      </c>
      <c r="U94" s="4249"/>
      <c r="V94" s="3962"/>
      <c r="W94" s="3963"/>
      <c r="X94" s="3963"/>
      <c r="Y94" s="3963"/>
      <c r="Z94" s="3963"/>
      <c r="AA94" s="3963"/>
      <c r="AB94" s="3963"/>
      <c r="AC94" s="3964"/>
      <c r="AD94" s="3962">
        <f>INDEX(PT_DIFFERENTIATION_IST_TE,MATCH(D94,PT_DIFFERENTIATION_IST_TE_ID,0))</f>
      </c>
      <c r="AE94" s="3963"/>
      <c r="AF94" s="3963"/>
      <c r="AG94" s="3963"/>
      <c r="AH94" s="3963"/>
      <c r="AI94" s="3963"/>
      <c r="AJ94" s="3963"/>
      <c r="AK94" s="3963"/>
      <c r="AL94" s="3962"/>
      <c r="AM94" s="3963"/>
      <c r="AN94" s="3963"/>
      <c r="AO94" s="3963"/>
      <c r="AP94" s="3963"/>
      <c r="AQ94" s="3963"/>
      <c r="AR94" s="3963"/>
      <c r="AS94" s="3964"/>
      <c r="AT94" s="3962"/>
      <c r="AU94" s="3963"/>
      <c r="AV94" s="3963"/>
      <c r="AW94" s="3963"/>
      <c r="AX94" s="3963"/>
      <c r="AY94" s="3963"/>
      <c r="AZ94" s="3963"/>
      <c r="BA94" s="3964"/>
      <c r="BB94" s="3962"/>
      <c r="BC94" s="3963"/>
      <c r="BD94" s="3963"/>
      <c r="BE94" s="3963"/>
      <c r="BF94" s="3963"/>
      <c r="BG94" s="3963"/>
      <c r="BH94" s="3963"/>
      <c r="BI94" s="3964"/>
      <c r="BJ94" s="3962"/>
      <c r="BK94" s="3963"/>
      <c r="BL94" s="3963"/>
      <c r="BM94" s="3963"/>
      <c r="BN94" s="3963"/>
      <c r="BO94" s="3963"/>
      <c r="BP94" s="3963"/>
      <c r="BQ94" s="3964"/>
      <c r="BR94" s="3962"/>
      <c r="BS94" s="3963"/>
      <c r="BT94" s="3963"/>
      <c r="BU94" s="3963"/>
      <c r="BV94" s="3963"/>
      <c r="BW94" s="3963"/>
      <c r="BX94" s="3963"/>
      <c r="BY94" s="3964"/>
      <c r="BZ94" s="3962"/>
      <c r="CA94" s="3963"/>
      <c r="CB94" s="3963"/>
      <c r="CC94" s="3963"/>
      <c r="CD94" s="3963"/>
      <c r="CE94" s="3963"/>
      <c r="CF94" s="3963"/>
      <c r="CG94" s="3964"/>
      <c r="CH94" s="3962"/>
      <c r="CI94" s="3963"/>
      <c r="CJ94" s="3963"/>
      <c r="CK94" s="3963"/>
      <c r="CL94" s="3963"/>
      <c r="CM94" s="3963"/>
      <c r="CN94" s="3963"/>
      <c r="CO94" s="3964"/>
      <c r="CP94" s="3962"/>
      <c r="CQ94" s="3963"/>
      <c r="CR94" s="3963"/>
      <c r="CS94" s="3963"/>
      <c r="CT94" s="3963"/>
      <c r="CU94" s="3963"/>
      <c r="CV94" s="3963"/>
      <c r="CW94" s="3964"/>
      <c r="CX94" s="3962"/>
      <c r="CY94" s="3963"/>
      <c r="CZ94" s="3963"/>
      <c r="DA94" s="3963"/>
      <c r="DB94" s="3963"/>
      <c r="DC94" s="3963"/>
      <c r="DD94" s="3963"/>
      <c r="DE94" s="3964"/>
      <c r="DF94" s="3964"/>
      <c r="DG94" s="4250" t="s">
        <v>462</v>
      </c>
      <c r="DH94" s="4143"/>
      <c r="DI94" s="4251"/>
      <c r="DJ94" s="4251" t="str">
        <f>IF(T94="","",T94)</f>
        <v>Источник тепловой энергии  </v>
      </c>
      <c r="DK94" s="4251"/>
      <c r="DL94" s="4251"/>
      <c r="DM94" s="3961">
        <v>0</v>
      </c>
    </row>
    <row s="32639" customFormat="1" customHeight="1" ht="14.25">
      <c r="A95" s="4238"/>
      <c r="B95" s="4238"/>
      <c r="C95" s="4238"/>
      <c r="D95" s="4238"/>
      <c r="E95" s="4239"/>
      <c r="F95" s="4239" t="s">
        <v>93</v>
      </c>
      <c r="G95" s="4239"/>
      <c r="H95" s="4239"/>
      <c r="I95" s="4241">
        <f>S94&amp;".1"</f>
      </c>
      <c r="J95" s="4238"/>
      <c r="K95" s="4238"/>
      <c r="L95" s="4242" t="s">
        <v>463</v>
      </c>
      <c r="M95" s="4135"/>
      <c r="N95" s="4243"/>
      <c r="O95" s="4243"/>
      <c r="P95" s="4244">
        <v>1</v>
      </c>
      <c r="Q95" s="4244"/>
      <c r="R95" s="4259"/>
      <c r="S95" s="4438"/>
      <c r="T95" s="4439"/>
      <c r="U95" s="4440"/>
      <c r="V95" s="3971"/>
      <c r="W95" s="3972"/>
      <c r="X95" s="3972"/>
      <c r="Y95" s="3972"/>
      <c r="Z95" s="3972"/>
      <c r="AA95" s="3972"/>
      <c r="AB95" s="3972"/>
      <c r="AC95" s="3973"/>
      <c r="AD95" s="3971"/>
      <c r="AE95" s="3972"/>
      <c r="AF95" s="3972"/>
      <c r="AG95" s="3972"/>
      <c r="AH95" s="3972"/>
      <c r="AI95" s="3972"/>
      <c r="AJ95" s="3972"/>
      <c r="AK95" s="3972"/>
      <c r="AL95" s="3971"/>
      <c r="AM95" s="3972"/>
      <c r="AN95" s="3972"/>
      <c r="AO95" s="3972"/>
      <c r="AP95" s="3972"/>
      <c r="AQ95" s="3972"/>
      <c r="AR95" s="3972"/>
      <c r="AS95" s="3973"/>
      <c r="AT95" s="3971"/>
      <c r="AU95" s="3972"/>
      <c r="AV95" s="3972"/>
      <c r="AW95" s="3972"/>
      <c r="AX95" s="3972"/>
      <c r="AY95" s="3972"/>
      <c r="AZ95" s="3972"/>
      <c r="BA95" s="3973"/>
      <c r="BB95" s="3971"/>
      <c r="BC95" s="3972"/>
      <c r="BD95" s="3972"/>
      <c r="BE95" s="3972"/>
      <c r="BF95" s="3972"/>
      <c r="BG95" s="3972"/>
      <c r="BH95" s="3972"/>
      <c r="BI95" s="3973"/>
      <c r="BJ95" s="3971"/>
      <c r="BK95" s="3972"/>
      <c r="BL95" s="3972"/>
      <c r="BM95" s="3972"/>
      <c r="BN95" s="3972"/>
      <c r="BO95" s="3972"/>
      <c r="BP95" s="3972"/>
      <c r="BQ95" s="3973"/>
      <c r="BR95" s="3971"/>
      <c r="BS95" s="3972"/>
      <c r="BT95" s="3972"/>
      <c r="BU95" s="3972"/>
      <c r="BV95" s="3972"/>
      <c r="BW95" s="3972"/>
      <c r="BX95" s="3972"/>
      <c r="BY95" s="3973"/>
      <c r="BZ95" s="3971"/>
      <c r="CA95" s="3972"/>
      <c r="CB95" s="3972"/>
      <c r="CC95" s="3972"/>
      <c r="CD95" s="3972"/>
      <c r="CE95" s="3972"/>
      <c r="CF95" s="3972"/>
      <c r="CG95" s="3973"/>
      <c r="CH95" s="3971"/>
      <c r="CI95" s="3972"/>
      <c r="CJ95" s="3972"/>
      <c r="CK95" s="3972"/>
      <c r="CL95" s="3972"/>
      <c r="CM95" s="3972"/>
      <c r="CN95" s="3972"/>
      <c r="CO95" s="3973"/>
      <c r="CP95" s="3971"/>
      <c r="CQ95" s="3972"/>
      <c r="CR95" s="3972"/>
      <c r="CS95" s="3972"/>
      <c r="CT95" s="3972"/>
      <c r="CU95" s="3972"/>
      <c r="CV95" s="3972"/>
      <c r="CW95" s="3973"/>
      <c r="CX95" s="3971"/>
      <c r="CY95" s="3972"/>
      <c r="CZ95" s="3972"/>
      <c r="DA95" s="3972"/>
      <c r="DB95" s="3972"/>
      <c r="DC95" s="3972"/>
      <c r="DD95" s="3972"/>
      <c r="DE95" s="3973"/>
      <c r="DF95" s="3973"/>
      <c r="DG95" s="4441"/>
      <c r="DH95" s="4143"/>
      <c r="DI95" s="4251"/>
      <c r="DJ95" s="4251" t="str">
        <f>IF(T95="","",T95)</f>
        <v/>
      </c>
      <c r="DK95" s="4251"/>
      <c r="DL95" s="4251"/>
      <c r="DM95" s="3961">
        <v>0</v>
      </c>
    </row>
    <row s="32640" customFormat="1" customHeight="1" ht="21">
      <c r="A96" s="4238"/>
      <c r="B96" s="4238"/>
      <c r="C96" s="4238"/>
      <c r="D96" s="4238"/>
      <c r="E96" s="4239"/>
      <c r="F96" s="4239" t="s">
        <v>93</v>
      </c>
      <c r="G96" s="4239"/>
      <c r="H96" s="4239"/>
      <c r="I96" s="4240"/>
      <c r="J96" s="4241">
        <f>I95&amp;".1"</f>
      </c>
      <c r="K96" s="4238"/>
      <c r="L96" s="4242" t="s">
        <v>466</v>
      </c>
      <c r="M96" s="4135"/>
      <c r="N96" s="4135"/>
      <c r="O96" s="4243"/>
      <c r="P96" s="4244"/>
      <c r="Q96" s="4244">
        <v>1</v>
      </c>
      <c r="R96" s="4246"/>
      <c r="S96" s="4247">
        <f>$J96</f>
      </c>
      <c r="T96" s="4248" t="s">
        <v>467</v>
      </c>
      <c r="U96" s="4249"/>
      <c r="V96" s="3975"/>
      <c r="W96" s="3976"/>
      <c r="X96" s="3976"/>
      <c r="Y96" s="3976"/>
      <c r="Z96" s="3976"/>
      <c r="AA96" s="3976"/>
      <c r="AB96" s="3976"/>
      <c r="AC96" s="3977"/>
      <c r="AD96" s="3975" t="s">
        <v>507</v>
      </c>
      <c r="AE96" s="3976"/>
      <c r="AF96" s="3976"/>
      <c r="AG96" s="3976"/>
      <c r="AH96" s="3976"/>
      <c r="AI96" s="3976"/>
      <c r="AJ96" s="3976"/>
      <c r="AK96" s="3976"/>
      <c r="AL96" s="3975"/>
      <c r="AM96" s="3976"/>
      <c r="AN96" s="3976"/>
      <c r="AO96" s="3976"/>
      <c r="AP96" s="3976"/>
      <c r="AQ96" s="3976"/>
      <c r="AR96" s="3976"/>
      <c r="AS96" s="3977"/>
      <c r="AT96" s="3975"/>
      <c r="AU96" s="3976"/>
      <c r="AV96" s="3976"/>
      <c r="AW96" s="3976"/>
      <c r="AX96" s="3976"/>
      <c r="AY96" s="3976"/>
      <c r="AZ96" s="3976"/>
      <c r="BA96" s="3977"/>
      <c r="BB96" s="3975"/>
      <c r="BC96" s="3976"/>
      <c r="BD96" s="3976"/>
      <c r="BE96" s="3976"/>
      <c r="BF96" s="3976"/>
      <c r="BG96" s="3976"/>
      <c r="BH96" s="3976"/>
      <c r="BI96" s="3977"/>
      <c r="BJ96" s="3975"/>
      <c r="BK96" s="3976"/>
      <c r="BL96" s="3976"/>
      <c r="BM96" s="3976"/>
      <c r="BN96" s="3976"/>
      <c r="BO96" s="3976"/>
      <c r="BP96" s="3976"/>
      <c r="BQ96" s="3977"/>
      <c r="BR96" s="3975"/>
      <c r="BS96" s="3976"/>
      <c r="BT96" s="3976"/>
      <c r="BU96" s="3976"/>
      <c r="BV96" s="3976"/>
      <c r="BW96" s="3976"/>
      <c r="BX96" s="3976"/>
      <c r="BY96" s="3977"/>
      <c r="BZ96" s="3975"/>
      <c r="CA96" s="3976"/>
      <c r="CB96" s="3976"/>
      <c r="CC96" s="3976"/>
      <c r="CD96" s="3976"/>
      <c r="CE96" s="3976"/>
      <c r="CF96" s="3976"/>
      <c r="CG96" s="3977"/>
      <c r="CH96" s="3975"/>
      <c r="CI96" s="3976"/>
      <c r="CJ96" s="3976"/>
      <c r="CK96" s="3976"/>
      <c r="CL96" s="3976"/>
      <c r="CM96" s="3976"/>
      <c r="CN96" s="3976"/>
      <c r="CO96" s="3977"/>
      <c r="CP96" s="3975"/>
      <c r="CQ96" s="3976"/>
      <c r="CR96" s="3976"/>
      <c r="CS96" s="3976"/>
      <c r="CT96" s="3976"/>
      <c r="CU96" s="3976"/>
      <c r="CV96" s="3976"/>
      <c r="CW96" s="3977"/>
      <c r="CX96" s="3975"/>
      <c r="CY96" s="3976"/>
      <c r="CZ96" s="3976"/>
      <c r="DA96" s="3976"/>
      <c r="DB96" s="3976"/>
      <c r="DC96" s="3976"/>
      <c r="DD96" s="3976"/>
      <c r="DE96" s="3977"/>
      <c r="DF96" s="3977"/>
      <c r="DG96" s="4250" t="s">
        <v>468</v>
      </c>
      <c r="DH96" s="4143"/>
      <c r="DI96" s="4251"/>
      <c r="DJ96" s="4251" t="str">
        <f>IF(T96="","",T96)</f>
        <v>Группа потребителей</v>
      </c>
      <c r="DK96" s="4251"/>
      <c r="DL96" s="4251"/>
      <c r="DM96" s="3961">
        <v>0</v>
      </c>
    </row>
    <row s="32641" customFormat="1" customHeight="1" ht="21">
      <c r="A97" s="4238"/>
      <c r="B97" s="4238"/>
      <c r="C97" s="4238"/>
      <c r="D97" s="4238"/>
      <c r="E97" s="4239"/>
      <c r="F97" s="4239" t="s">
        <v>93</v>
      </c>
      <c r="G97" s="4239"/>
      <c r="H97" s="4239"/>
      <c r="I97" s="4240"/>
      <c r="J97" s="4240"/>
      <c r="K97" s="4241">
        <f>J96&amp;".1"</f>
      </c>
      <c r="L97" s="4242" t="s">
        <v>469</v>
      </c>
      <c r="M97" s="4135"/>
      <c r="N97" s="4135"/>
      <c r="O97" s="4135"/>
      <c r="P97" s="4244"/>
      <c r="Q97" s="4244"/>
      <c r="R97" s="4246">
        <v>1</v>
      </c>
      <c r="S97" s="4247">
        <f>$K97</f>
      </c>
      <c r="T97" s="4253" t="s">
        <v>508</v>
      </c>
      <c r="U97" s="4249"/>
      <c r="V97" s="3978"/>
      <c r="W97" s="3979"/>
      <c r="X97" s="3978"/>
      <c r="Y97" s="3980"/>
      <c r="Z97" s="3981"/>
      <c r="AA97" s="3365" t="s">
        <v>64</v>
      </c>
      <c r="AB97" s="3981"/>
      <c r="AC97" s="3365" t="s">
        <v>64</v>
      </c>
      <c r="AD97" s="3978">
        <v>87.24</v>
      </c>
      <c r="AE97" s="3979"/>
      <c r="AF97" s="3978"/>
      <c r="AG97" s="3980"/>
      <c r="AH97" s="3981">
        <v>45292</v>
      </c>
      <c r="AI97" s="3365" t="s">
        <v>64</v>
      </c>
      <c r="AJ97" s="3981">
        <v>45473</v>
      </c>
      <c r="AK97" s="3365" t="s">
        <v>64</v>
      </c>
      <c r="AL97" s="3978">
        <v>95.5</v>
      </c>
      <c r="AM97" s="3979"/>
      <c r="AN97" s="3978"/>
      <c r="AO97" s="3980"/>
      <c r="AP97" s="3981">
        <v>45474</v>
      </c>
      <c r="AQ97" s="3365" t="s">
        <v>64</v>
      </c>
      <c r="AR97" s="3981">
        <v>45657</v>
      </c>
      <c r="AS97" s="3365" t="s">
        <v>64</v>
      </c>
      <c r="AT97" s="3978">
        <v>95.5</v>
      </c>
      <c r="AU97" s="3979"/>
      <c r="AV97" s="3978"/>
      <c r="AW97" s="3980"/>
      <c r="AX97" s="3981">
        <v>45658</v>
      </c>
      <c r="AY97" s="3365" t="s">
        <v>64</v>
      </c>
      <c r="AZ97" s="3981">
        <v>45838</v>
      </c>
      <c r="BA97" s="3365" t="s">
        <v>64</v>
      </c>
      <c r="BB97" s="3978">
        <v>107.15</v>
      </c>
      <c r="BC97" s="3979"/>
      <c r="BD97" s="3978"/>
      <c r="BE97" s="3980"/>
      <c r="BF97" s="3981">
        <v>45839</v>
      </c>
      <c r="BG97" s="3365" t="s">
        <v>64</v>
      </c>
      <c r="BH97" s="3981">
        <v>46022</v>
      </c>
      <c r="BI97" s="3365" t="s">
        <v>64</v>
      </c>
      <c r="BJ97" s="3978">
        <v>101.97</v>
      </c>
      <c r="BK97" s="3979"/>
      <c r="BL97" s="3978"/>
      <c r="BM97" s="3980"/>
      <c r="BN97" s="3981">
        <v>46023</v>
      </c>
      <c r="BO97" s="3365" t="s">
        <v>64</v>
      </c>
      <c r="BP97" s="3981">
        <v>46203</v>
      </c>
      <c r="BQ97" s="3365" t="s">
        <v>64</v>
      </c>
      <c r="BR97" s="3978">
        <v>102.14</v>
      </c>
      <c r="BS97" s="3979"/>
      <c r="BT97" s="3978"/>
      <c r="BU97" s="3980"/>
      <c r="BV97" s="3981">
        <v>46204</v>
      </c>
      <c r="BW97" s="3365" t="s">
        <v>64</v>
      </c>
      <c r="BX97" s="3981">
        <v>46387</v>
      </c>
      <c r="BY97" s="3365" t="s">
        <v>64</v>
      </c>
      <c r="BZ97" s="3978">
        <v>102.14</v>
      </c>
      <c r="CA97" s="3979"/>
      <c r="CB97" s="3978"/>
      <c r="CC97" s="3980"/>
      <c r="CD97" s="3981">
        <v>46388</v>
      </c>
      <c r="CE97" s="3365" t="s">
        <v>64</v>
      </c>
      <c r="CF97" s="3981">
        <v>46568</v>
      </c>
      <c r="CG97" s="3365" t="s">
        <v>64</v>
      </c>
      <c r="CH97" s="3978">
        <v>107.6</v>
      </c>
      <c r="CI97" s="3979"/>
      <c r="CJ97" s="3978"/>
      <c r="CK97" s="3980"/>
      <c r="CL97" s="3981">
        <v>46569</v>
      </c>
      <c r="CM97" s="3365" t="s">
        <v>64</v>
      </c>
      <c r="CN97" s="3981">
        <v>46752</v>
      </c>
      <c r="CO97" s="3365" t="s">
        <v>64</v>
      </c>
      <c r="CP97" s="3978">
        <v>107.6</v>
      </c>
      <c r="CQ97" s="3979"/>
      <c r="CR97" s="3978"/>
      <c r="CS97" s="3980"/>
      <c r="CT97" s="3981">
        <v>46753</v>
      </c>
      <c r="CU97" s="3365" t="s">
        <v>64</v>
      </c>
      <c r="CV97" s="3981">
        <v>46934</v>
      </c>
      <c r="CW97" s="3365" t="s">
        <v>64</v>
      </c>
      <c r="CX97" s="3978">
        <v>109.99</v>
      </c>
      <c r="CY97" s="3979"/>
      <c r="CZ97" s="3978"/>
      <c r="DA97" s="3980"/>
      <c r="DB97" s="3981">
        <v>46935</v>
      </c>
      <c r="DC97" s="3365" t="s">
        <v>64</v>
      </c>
      <c r="DD97" s="3981">
        <v>47118</v>
      </c>
      <c r="DE97" s="3365" t="s">
        <v>64</v>
      </c>
      <c r="DF97" s="3979"/>
      <c r="DG97" s="4254" t="s">
        <v>470</v>
      </c>
      <c r="DH97" s="4143">
        <f>STRCHECKDATE(V98:DF98)</f>
      </c>
      <c r="DI97" s="4251"/>
      <c r="DJ97" s="4251" t="str">
        <f>IF(T97="","",T97)</f>
        <v>вода</v>
      </c>
      <c r="DK97" s="4251"/>
      <c r="DL97" s="4251"/>
      <c r="DM97" s="3961">
        <v>0</v>
      </c>
    </row>
    <row s="32642" customFormat="1" customHeight="1" ht="0.75">
      <c r="A98" s="4238"/>
      <c r="B98" s="4238"/>
      <c r="C98" s="4238"/>
      <c r="D98" s="4238"/>
      <c r="E98" s="4239"/>
      <c r="F98" s="4239" t="s">
        <v>93</v>
      </c>
      <c r="G98" s="4239"/>
      <c r="H98" s="4239"/>
      <c r="I98" s="4240"/>
      <c r="J98" s="4240"/>
      <c r="K98" s="4241"/>
      <c r="L98" s="4242"/>
      <c r="M98" s="4135"/>
      <c r="N98" s="4135"/>
      <c r="O98" s="4135"/>
      <c r="P98" s="4244"/>
      <c r="Q98" s="4244"/>
      <c r="R98" s="4246"/>
      <c r="S98" s="4256"/>
      <c r="T98" s="4249"/>
      <c r="U98" s="4249"/>
      <c r="V98" s="3979"/>
      <c r="W98" s="3979"/>
      <c r="X98" s="3979"/>
      <c r="Y98" s="3982" t="str">
        <f>Z97&amp;"-"&amp;AB97</f>
        <v>-</v>
      </c>
      <c r="Z98" s="3983"/>
      <c r="AA98" s="3365"/>
      <c r="AB98" s="3983"/>
      <c r="AC98" s="3365"/>
      <c r="AD98" s="3979"/>
      <c r="AE98" s="3979"/>
      <c r="AF98" s="3979"/>
      <c r="AG98" s="3982" t="str">
        <f>AH97&amp;"-"&amp;AJ97</f>
        <v>45292-45473</v>
      </c>
      <c r="AH98" s="3983"/>
      <c r="AI98" s="3365"/>
      <c r="AJ98" s="3983"/>
      <c r="AK98" s="3365"/>
      <c r="AL98" s="3979"/>
      <c r="AM98" s="3979"/>
      <c r="AN98" s="3979"/>
      <c r="AO98" s="3982" t="str">
        <f>AP97&amp;"-"&amp;AR97</f>
        <v>45474-45657</v>
      </c>
      <c r="AP98" s="3983"/>
      <c r="AQ98" s="3365"/>
      <c r="AR98" s="3983"/>
      <c r="AS98" s="3365"/>
      <c r="AT98" s="3979"/>
      <c r="AU98" s="3979"/>
      <c r="AV98" s="3979"/>
      <c r="AW98" s="3982" t="str">
        <f>AX97&amp;"-"&amp;AZ97</f>
        <v>45658-45838</v>
      </c>
      <c r="AX98" s="3983"/>
      <c r="AY98" s="3365"/>
      <c r="AZ98" s="3983"/>
      <c r="BA98" s="3365"/>
      <c r="BB98" s="3979"/>
      <c r="BC98" s="3979"/>
      <c r="BD98" s="3979"/>
      <c r="BE98" s="3982" t="str">
        <f>BF97&amp;"-"&amp;BH97</f>
        <v>45839-46022</v>
      </c>
      <c r="BF98" s="3983"/>
      <c r="BG98" s="3365"/>
      <c r="BH98" s="3983"/>
      <c r="BI98" s="3365"/>
      <c r="BJ98" s="3979"/>
      <c r="BK98" s="3979"/>
      <c r="BL98" s="3979"/>
      <c r="BM98" s="3982" t="str">
        <f>BN97&amp;"-"&amp;BP97</f>
        <v>46023-46203</v>
      </c>
      <c r="BN98" s="3983"/>
      <c r="BO98" s="3365"/>
      <c r="BP98" s="3983"/>
      <c r="BQ98" s="3365"/>
      <c r="BR98" s="3979"/>
      <c r="BS98" s="3979"/>
      <c r="BT98" s="3979"/>
      <c r="BU98" s="3982" t="str">
        <f>BV97&amp;"-"&amp;BX97</f>
        <v>46204-46387</v>
      </c>
      <c r="BV98" s="3983"/>
      <c r="BW98" s="3365"/>
      <c r="BX98" s="3983"/>
      <c r="BY98" s="3365"/>
      <c r="BZ98" s="3979"/>
      <c r="CA98" s="3979"/>
      <c r="CB98" s="3979"/>
      <c r="CC98" s="3982" t="str">
        <f>CD97&amp;"-"&amp;CF97</f>
        <v>46388-46568</v>
      </c>
      <c r="CD98" s="3983"/>
      <c r="CE98" s="3365"/>
      <c r="CF98" s="3983"/>
      <c r="CG98" s="3365"/>
      <c r="CH98" s="3979"/>
      <c r="CI98" s="3979"/>
      <c r="CJ98" s="3979"/>
      <c r="CK98" s="3982" t="str">
        <f>CL97&amp;"-"&amp;CN97</f>
        <v>46569-46752</v>
      </c>
      <c r="CL98" s="3983"/>
      <c r="CM98" s="3365"/>
      <c r="CN98" s="3983"/>
      <c r="CO98" s="3365"/>
      <c r="CP98" s="3979"/>
      <c r="CQ98" s="3979"/>
      <c r="CR98" s="3979"/>
      <c r="CS98" s="3982" t="str">
        <f>CT97&amp;"-"&amp;CV97</f>
        <v>46753-46934</v>
      </c>
      <c r="CT98" s="3983"/>
      <c r="CU98" s="3365"/>
      <c r="CV98" s="3983"/>
      <c r="CW98" s="3365"/>
      <c r="CX98" s="3979"/>
      <c r="CY98" s="3979"/>
      <c r="CZ98" s="3979"/>
      <c r="DA98" s="3982" t="str">
        <f>DB97&amp;"-"&amp;DD97</f>
        <v>46935-47118</v>
      </c>
      <c r="DB98" s="3983"/>
      <c r="DC98" s="3365"/>
      <c r="DD98" s="3983"/>
      <c r="DE98" s="3365"/>
      <c r="DF98" s="3979"/>
      <c r="DG98" s="4257"/>
      <c r="DH98" s="4143"/>
      <c r="DI98" s="4251"/>
      <c r="DJ98" s="4251" t="str">
        <f>IF(T98="","",T98)</f>
        <v/>
      </c>
      <c r="DK98" s="4251"/>
      <c r="DL98" s="4251"/>
      <c r="DM98" s="3961">
        <v>0</v>
      </c>
    </row>
    <row s="32643" customFormat="1" customHeight="1" ht="15">
      <c r="A99" s="4238"/>
      <c r="B99" s="4238"/>
      <c r="C99" s="4238"/>
      <c r="D99" s="4238"/>
      <c r="E99" s="4239"/>
      <c r="F99" s="4239" t="s">
        <v>93</v>
      </c>
      <c r="G99" s="4239"/>
      <c r="H99" s="4239"/>
      <c r="I99" s="4240"/>
      <c r="J99" s="4241"/>
      <c r="K99" s="4238"/>
      <c r="L99" s="4242"/>
      <c r="M99" s="4135"/>
      <c r="N99" s="4135"/>
      <c r="O99" s="4243"/>
      <c r="P99" s="4244"/>
      <c r="Q99" s="4244"/>
      <c r="R99" s="4259"/>
      <c r="S99" s="5048"/>
      <c r="T99" s="5049" t="s">
        <v>471</v>
      </c>
      <c r="U99" s="5050"/>
      <c r="V99" s="5051"/>
      <c r="W99" s="5052"/>
      <c r="X99" s="5053"/>
      <c r="Y99" s="5054"/>
      <c r="Z99" s="5055"/>
      <c r="AA99" s="5056"/>
      <c r="AB99" s="5057"/>
      <c r="AC99" s="5058"/>
      <c r="AD99" s="5059"/>
      <c r="AE99" s="5060"/>
      <c r="AF99" s="5061"/>
      <c r="AG99" s="5062"/>
      <c r="AH99" s="5063"/>
      <c r="AI99" s="5064"/>
      <c r="AJ99" s="5065"/>
      <c r="AK99" s="5066"/>
      <c r="AL99" s="5067"/>
      <c r="AM99" s="5068"/>
      <c r="AN99" s="5069"/>
      <c r="AO99" s="5070"/>
      <c r="AP99" s="5071"/>
      <c r="AQ99" s="5072"/>
      <c r="AR99" s="5073"/>
      <c r="AS99" s="5074"/>
      <c r="AT99" s="5075"/>
      <c r="AU99" s="5076"/>
      <c r="AV99" s="5077"/>
      <c r="AW99" s="5078"/>
      <c r="AX99" s="5079"/>
      <c r="AY99" s="5080"/>
      <c r="AZ99" s="5081"/>
      <c r="BA99" s="5082"/>
      <c r="BB99" s="5083"/>
      <c r="BC99" s="5084"/>
      <c r="BD99" s="5085"/>
      <c r="BE99" s="5086"/>
      <c r="BF99" s="5087"/>
      <c r="BG99" s="5088"/>
      <c r="BH99" s="5089"/>
      <c r="BI99" s="5090"/>
      <c r="BJ99" s="5091"/>
      <c r="BK99" s="5092"/>
      <c r="BL99" s="5093"/>
      <c r="BM99" s="5094"/>
      <c r="BN99" s="5095"/>
      <c r="BO99" s="5096"/>
      <c r="BP99" s="5097"/>
      <c r="BQ99" s="5098"/>
      <c r="BR99" s="5099"/>
      <c r="BS99" s="5100"/>
      <c r="BT99" s="5101"/>
      <c r="BU99" s="5102"/>
      <c r="BV99" s="5103"/>
      <c r="BW99" s="5104"/>
      <c r="BX99" s="5105"/>
      <c r="BY99" s="5106"/>
      <c r="BZ99" s="5107"/>
      <c r="CA99" s="5108"/>
      <c r="CB99" s="5109"/>
      <c r="CC99" s="5110"/>
      <c r="CD99" s="5111"/>
      <c r="CE99" s="5112"/>
      <c r="CF99" s="5113"/>
      <c r="CG99" s="5114"/>
      <c r="CH99" s="5115"/>
      <c r="CI99" s="5116"/>
      <c r="CJ99" s="5117"/>
      <c r="CK99" s="5118"/>
      <c r="CL99" s="5119"/>
      <c r="CM99" s="5120"/>
      <c r="CN99" s="5121"/>
      <c r="CO99" s="5122"/>
      <c r="CP99" s="5123"/>
      <c r="CQ99" s="5124"/>
      <c r="CR99" s="5125"/>
      <c r="CS99" s="5126"/>
      <c r="CT99" s="5127"/>
      <c r="CU99" s="5128"/>
      <c r="CV99" s="5129"/>
      <c r="CW99" s="5130"/>
      <c r="CX99" s="5131"/>
      <c r="CY99" s="5132"/>
      <c r="CZ99" s="5133"/>
      <c r="DA99" s="5134"/>
      <c r="DB99" s="5135"/>
      <c r="DC99" s="5136"/>
      <c r="DD99" s="5137"/>
      <c r="DE99" s="5138"/>
      <c r="DF99" s="5139"/>
      <c r="DG99" s="4352"/>
      <c r="DH99" s="4143"/>
      <c r="DI99" s="4251"/>
      <c r="DJ99" s="4251" t="str">
        <f>IF(T99="","",T99)</f>
        <v>Добавить вид теплоносителя (параметры теплоносителя)</v>
      </c>
      <c r="DK99" s="4251"/>
      <c r="DL99" s="4251"/>
      <c r="DM99" s="3961">
        <v>0</v>
      </c>
    </row>
    <row s="32736" customFormat="1" customHeight="1" ht="21">
      <c r="A100" s="4238"/>
      <c r="B100" s="4238"/>
      <c r="C100" s="4238"/>
      <c r="D100" s="4238"/>
      <c r="E100" s="4239"/>
      <c r="F100" s="4239"/>
      <c r="G100" s="4239"/>
      <c r="H100" s="4239"/>
      <c r="I100" s="4240"/>
      <c r="J100" s="4241">
        <f>I95&amp;".2"</f>
      </c>
      <c r="K100" s="4238"/>
      <c r="L100" s="4242" t="s">
        <v>466</v>
      </c>
      <c r="M100" s="4135"/>
      <c r="N100" s="4135"/>
      <c r="O100" s="4243"/>
      <c r="P100" s="4244"/>
      <c r="Q100" s="4245" t="s">
        <v>106</v>
      </c>
      <c r="R100" s="4246"/>
      <c r="S100" s="4247">
        <f>$J100</f>
      </c>
      <c r="T100" s="4248" t="s">
        <v>467</v>
      </c>
      <c r="U100" s="4249"/>
      <c r="V100" s="3975"/>
      <c r="W100" s="3976"/>
      <c r="X100" s="3976"/>
      <c r="Y100" s="3976"/>
      <c r="Z100" s="3976"/>
      <c r="AA100" s="3976"/>
      <c r="AB100" s="3976"/>
      <c r="AC100" s="3977"/>
      <c r="AD100" s="3975" t="s">
        <v>510</v>
      </c>
      <c r="AE100" s="3976"/>
      <c r="AF100" s="3976"/>
      <c r="AG100" s="3976"/>
      <c r="AH100" s="3976"/>
      <c r="AI100" s="3976"/>
      <c r="AJ100" s="3976"/>
      <c r="AK100" s="3976"/>
      <c r="AL100" s="3975"/>
      <c r="AM100" s="3976"/>
      <c r="AN100" s="3976"/>
      <c r="AO100" s="3976"/>
      <c r="AP100" s="3976"/>
      <c r="AQ100" s="3976"/>
      <c r="AR100" s="3976"/>
      <c r="AS100" s="3977"/>
      <c r="AT100" s="3975"/>
      <c r="AU100" s="3976"/>
      <c r="AV100" s="3976"/>
      <c r="AW100" s="3976"/>
      <c r="AX100" s="3976"/>
      <c r="AY100" s="3976"/>
      <c r="AZ100" s="3976"/>
      <c r="BA100" s="3977"/>
      <c r="BB100" s="3975"/>
      <c r="BC100" s="3976"/>
      <c r="BD100" s="3976"/>
      <c r="BE100" s="3976"/>
      <c r="BF100" s="3976"/>
      <c r="BG100" s="3976"/>
      <c r="BH100" s="3976"/>
      <c r="BI100" s="3977"/>
      <c r="BJ100" s="3975"/>
      <c r="BK100" s="3976"/>
      <c r="BL100" s="3976"/>
      <c r="BM100" s="3976"/>
      <c r="BN100" s="3976"/>
      <c r="BO100" s="3976"/>
      <c r="BP100" s="3976"/>
      <c r="BQ100" s="3977"/>
      <c r="BR100" s="3975"/>
      <c r="BS100" s="3976"/>
      <c r="BT100" s="3976"/>
      <c r="BU100" s="3976"/>
      <c r="BV100" s="3976"/>
      <c r="BW100" s="3976"/>
      <c r="BX100" s="3976"/>
      <c r="BY100" s="3977"/>
      <c r="BZ100" s="3975"/>
      <c r="CA100" s="3976"/>
      <c r="CB100" s="3976"/>
      <c r="CC100" s="3976"/>
      <c r="CD100" s="3976"/>
      <c r="CE100" s="3976"/>
      <c r="CF100" s="3976"/>
      <c r="CG100" s="3977"/>
      <c r="CH100" s="3975"/>
      <c r="CI100" s="3976"/>
      <c r="CJ100" s="3976"/>
      <c r="CK100" s="3976"/>
      <c r="CL100" s="3976"/>
      <c r="CM100" s="3976"/>
      <c r="CN100" s="3976"/>
      <c r="CO100" s="3977"/>
      <c r="CP100" s="3975"/>
      <c r="CQ100" s="3976"/>
      <c r="CR100" s="3976"/>
      <c r="CS100" s="3976"/>
      <c r="CT100" s="3976"/>
      <c r="CU100" s="3976"/>
      <c r="CV100" s="3976"/>
      <c r="CW100" s="3977"/>
      <c r="CX100" s="3975"/>
      <c r="CY100" s="3976"/>
      <c r="CZ100" s="3976"/>
      <c r="DA100" s="3976"/>
      <c r="DB100" s="3976"/>
      <c r="DC100" s="3976"/>
      <c r="DD100" s="3976"/>
      <c r="DE100" s="3977"/>
      <c r="DF100" s="3977"/>
      <c r="DG100" s="4250" t="s">
        <v>468</v>
      </c>
      <c r="DH100" s="4143"/>
      <c r="DI100" s="4251"/>
      <c r="DJ100" s="4251" t="str">
        <f>IF(T100="","",T100)</f>
        <v>Группа потребителей</v>
      </c>
      <c r="DK100" s="4251"/>
      <c r="DL100" s="4251"/>
      <c r="DM100" s="3961">
        <v>0</v>
      </c>
    </row>
    <row s="32737" customFormat="1" customHeight="1" ht="21">
      <c r="A101" s="4238"/>
      <c r="B101" s="4238"/>
      <c r="C101" s="4238"/>
      <c r="D101" s="4238"/>
      <c r="E101" s="4239"/>
      <c r="F101" s="4239"/>
      <c r="G101" s="4239"/>
      <c r="H101" s="4239"/>
      <c r="I101" s="4240"/>
      <c r="J101" s="4240">
        <f>I95&amp;".1"</f>
      </c>
      <c r="K101" s="4241">
        <f>J100&amp;".1"</f>
      </c>
      <c r="L101" s="4242" t="s">
        <v>469</v>
      </c>
      <c r="M101" s="4135"/>
      <c r="N101" s="4135"/>
      <c r="O101" s="4135"/>
      <c r="P101" s="4244"/>
      <c r="Q101" s="4244"/>
      <c r="R101" s="4246">
        <v>1</v>
      </c>
      <c r="S101" s="4247">
        <f>$K101</f>
      </c>
      <c r="T101" s="4253" t="s">
        <v>508</v>
      </c>
      <c r="U101" s="4249"/>
      <c r="V101" s="3978"/>
      <c r="W101" s="3979"/>
      <c r="X101" s="3978"/>
      <c r="Y101" s="3980"/>
      <c r="Z101" s="3981"/>
      <c r="AA101" s="3365" t="s">
        <v>64</v>
      </c>
      <c r="AB101" s="3981"/>
      <c r="AC101" s="3365" t="s">
        <v>64</v>
      </c>
      <c r="AD101" s="3978">
        <v>104.69</v>
      </c>
      <c r="AE101" s="3979"/>
      <c r="AF101" s="3978"/>
      <c r="AG101" s="3980"/>
      <c r="AH101" s="3981">
        <v>45292</v>
      </c>
      <c r="AI101" s="3365" t="s">
        <v>64</v>
      </c>
      <c r="AJ101" s="3981">
        <v>45473</v>
      </c>
      <c r="AK101" s="3365" t="s">
        <v>64</v>
      </c>
      <c r="AL101" s="3978">
        <v>114.6</v>
      </c>
      <c r="AM101" s="3979"/>
      <c r="AN101" s="3978"/>
      <c r="AO101" s="3980"/>
      <c r="AP101" s="3981">
        <v>45474</v>
      </c>
      <c r="AQ101" s="3365" t="s">
        <v>64</v>
      </c>
      <c r="AR101" s="3981">
        <v>45657</v>
      </c>
      <c r="AS101" s="3365" t="s">
        <v>64</v>
      </c>
      <c r="AT101" s="3978">
        <v>114.6</v>
      </c>
      <c r="AU101" s="3979"/>
      <c r="AV101" s="3978"/>
      <c r="AW101" s="3980"/>
      <c r="AX101" s="3981">
        <v>45658</v>
      </c>
      <c r="AY101" s="3365" t="s">
        <v>64</v>
      </c>
      <c r="AZ101" s="3981">
        <v>45838</v>
      </c>
      <c r="BA101" s="3365" t="s">
        <v>64</v>
      </c>
      <c r="BB101" s="3978">
        <v>128.58</v>
      </c>
      <c r="BC101" s="3979"/>
      <c r="BD101" s="3978"/>
      <c r="BE101" s="3980"/>
      <c r="BF101" s="3981">
        <v>45839</v>
      </c>
      <c r="BG101" s="3365" t="s">
        <v>64</v>
      </c>
      <c r="BH101" s="3981">
        <v>46022</v>
      </c>
      <c r="BI101" s="3365" t="s">
        <v>64</v>
      </c>
      <c r="BJ101" s="3978">
        <v>122.37</v>
      </c>
      <c r="BK101" s="3979"/>
      <c r="BL101" s="3978"/>
      <c r="BM101" s="3980"/>
      <c r="BN101" s="3981">
        <v>46023</v>
      </c>
      <c r="BO101" s="3365" t="s">
        <v>64</v>
      </c>
      <c r="BP101" s="3981">
        <v>46203</v>
      </c>
      <c r="BQ101" s="3365" t="s">
        <v>64</v>
      </c>
      <c r="BR101" s="3978">
        <v>122.56</v>
      </c>
      <c r="BS101" s="3979"/>
      <c r="BT101" s="3978"/>
      <c r="BU101" s="3980"/>
      <c r="BV101" s="3981">
        <v>46204</v>
      </c>
      <c r="BW101" s="3365" t="s">
        <v>64</v>
      </c>
      <c r="BX101" s="3981">
        <v>46387</v>
      </c>
      <c r="BY101" s="3365" t="s">
        <v>64</v>
      </c>
      <c r="BZ101" s="3978">
        <v>122.56</v>
      </c>
      <c r="CA101" s="3979"/>
      <c r="CB101" s="3978"/>
      <c r="CC101" s="3980"/>
      <c r="CD101" s="3981">
        <v>46388</v>
      </c>
      <c r="CE101" s="3365" t="s">
        <v>64</v>
      </c>
      <c r="CF101" s="3981">
        <v>46568</v>
      </c>
      <c r="CG101" s="3365" t="s">
        <v>64</v>
      </c>
      <c r="CH101" s="3978">
        <v>129.12</v>
      </c>
      <c r="CI101" s="3979"/>
      <c r="CJ101" s="3978"/>
      <c r="CK101" s="3980"/>
      <c r="CL101" s="3981">
        <v>46569</v>
      </c>
      <c r="CM101" s="3365" t="s">
        <v>64</v>
      </c>
      <c r="CN101" s="3981">
        <v>46752</v>
      </c>
      <c r="CO101" s="3365" t="s">
        <v>64</v>
      </c>
      <c r="CP101" s="3978">
        <v>129.12</v>
      </c>
      <c r="CQ101" s="3979"/>
      <c r="CR101" s="3978"/>
      <c r="CS101" s="3980"/>
      <c r="CT101" s="3981">
        <v>46753</v>
      </c>
      <c r="CU101" s="3365" t="s">
        <v>64</v>
      </c>
      <c r="CV101" s="3981">
        <v>46934</v>
      </c>
      <c r="CW101" s="3365" t="s">
        <v>64</v>
      </c>
      <c r="CX101" s="3978">
        <v>131.99</v>
      </c>
      <c r="CY101" s="3979"/>
      <c r="CZ101" s="3978"/>
      <c r="DA101" s="3980"/>
      <c r="DB101" s="3981">
        <v>46935</v>
      </c>
      <c r="DC101" s="3365" t="s">
        <v>64</v>
      </c>
      <c r="DD101" s="3981">
        <v>47118</v>
      </c>
      <c r="DE101" s="3365" t="s">
        <v>64</v>
      </c>
      <c r="DF101" s="3979"/>
      <c r="DG101" s="4254" t="s">
        <v>470</v>
      </c>
      <c r="DH101" s="4143">
        <f>STRCHECKDATE(V102:DF102)</f>
      </c>
      <c r="DI101" s="4251"/>
      <c r="DJ101" s="4251" t="str">
        <f>IF(T101="","",T101)</f>
        <v>вода</v>
      </c>
      <c r="DK101" s="4251"/>
      <c r="DL101" s="4251"/>
      <c r="DM101" s="3961">
        <v>0</v>
      </c>
    </row>
    <row s="32738" customFormat="1" customHeight="1" ht="0.75">
      <c r="A102" s="4238"/>
      <c r="B102" s="4238"/>
      <c r="C102" s="4238"/>
      <c r="D102" s="4238"/>
      <c r="E102" s="4239"/>
      <c r="F102" s="4239"/>
      <c r="G102" s="4239"/>
      <c r="H102" s="4239"/>
      <c r="I102" s="4240"/>
      <c r="J102" s="4240">
        <f>I95&amp;".1"</f>
      </c>
      <c r="K102" s="4241"/>
      <c r="L102" s="4242"/>
      <c r="M102" s="4135"/>
      <c r="N102" s="4135"/>
      <c r="O102" s="4135"/>
      <c r="P102" s="4244"/>
      <c r="Q102" s="4244"/>
      <c r="R102" s="4246"/>
      <c r="S102" s="4256"/>
      <c r="T102" s="4249"/>
      <c r="U102" s="4249"/>
      <c r="V102" s="3979"/>
      <c r="W102" s="3979"/>
      <c r="X102" s="3979"/>
      <c r="Y102" s="3982" t="str">
        <f>Z101&amp;"-"&amp;AB101</f>
        <v>-</v>
      </c>
      <c r="Z102" s="3983"/>
      <c r="AA102" s="3365"/>
      <c r="AB102" s="3983"/>
      <c r="AC102" s="3365"/>
      <c r="AD102" s="3979"/>
      <c r="AE102" s="3979"/>
      <c r="AF102" s="3979"/>
      <c r="AG102" s="3982" t="str">
        <f>AH101&amp;"-"&amp;AJ101</f>
        <v>45292-45473</v>
      </c>
      <c r="AH102" s="3983"/>
      <c r="AI102" s="3365"/>
      <c r="AJ102" s="3983"/>
      <c r="AK102" s="3365"/>
      <c r="AL102" s="3979"/>
      <c r="AM102" s="3979"/>
      <c r="AN102" s="3979"/>
      <c r="AO102" s="3982" t="str">
        <f>AP101&amp;"-"&amp;AR101</f>
        <v>45474-45657</v>
      </c>
      <c r="AP102" s="3983"/>
      <c r="AQ102" s="3365"/>
      <c r="AR102" s="3983"/>
      <c r="AS102" s="3365"/>
      <c r="AT102" s="3979"/>
      <c r="AU102" s="3979"/>
      <c r="AV102" s="3979"/>
      <c r="AW102" s="3982" t="str">
        <f>AX101&amp;"-"&amp;AZ101</f>
        <v>45658-45838</v>
      </c>
      <c r="AX102" s="3983"/>
      <c r="AY102" s="3365"/>
      <c r="AZ102" s="3983"/>
      <c r="BA102" s="3365"/>
      <c r="BB102" s="3979"/>
      <c r="BC102" s="3979"/>
      <c r="BD102" s="3979"/>
      <c r="BE102" s="3982" t="str">
        <f>BF101&amp;"-"&amp;BH101</f>
        <v>45839-46022</v>
      </c>
      <c r="BF102" s="3983"/>
      <c r="BG102" s="3365"/>
      <c r="BH102" s="3983"/>
      <c r="BI102" s="3365"/>
      <c r="BJ102" s="3979"/>
      <c r="BK102" s="3979"/>
      <c r="BL102" s="3979"/>
      <c r="BM102" s="3982" t="str">
        <f>BN101&amp;"-"&amp;BP101</f>
        <v>46023-46203</v>
      </c>
      <c r="BN102" s="3983"/>
      <c r="BO102" s="3365"/>
      <c r="BP102" s="3983"/>
      <c r="BQ102" s="3365"/>
      <c r="BR102" s="3979"/>
      <c r="BS102" s="3979"/>
      <c r="BT102" s="3979"/>
      <c r="BU102" s="3982" t="str">
        <f>BV101&amp;"-"&amp;BX101</f>
        <v>46204-46387</v>
      </c>
      <c r="BV102" s="3983"/>
      <c r="BW102" s="3365"/>
      <c r="BX102" s="3983"/>
      <c r="BY102" s="3365"/>
      <c r="BZ102" s="3979"/>
      <c r="CA102" s="3979"/>
      <c r="CB102" s="3979"/>
      <c r="CC102" s="3982" t="str">
        <f>CD101&amp;"-"&amp;CF101</f>
        <v>46388-46568</v>
      </c>
      <c r="CD102" s="3983"/>
      <c r="CE102" s="3365"/>
      <c r="CF102" s="3983"/>
      <c r="CG102" s="3365"/>
      <c r="CH102" s="3979"/>
      <c r="CI102" s="3979"/>
      <c r="CJ102" s="3979"/>
      <c r="CK102" s="3982" t="str">
        <f>CL101&amp;"-"&amp;CN101</f>
        <v>46569-46752</v>
      </c>
      <c r="CL102" s="3983"/>
      <c r="CM102" s="3365"/>
      <c r="CN102" s="3983"/>
      <c r="CO102" s="3365"/>
      <c r="CP102" s="3979"/>
      <c r="CQ102" s="3979"/>
      <c r="CR102" s="3979"/>
      <c r="CS102" s="3982" t="str">
        <f>CT101&amp;"-"&amp;CV101</f>
        <v>46753-46934</v>
      </c>
      <c r="CT102" s="3983"/>
      <c r="CU102" s="3365"/>
      <c r="CV102" s="3983"/>
      <c r="CW102" s="3365"/>
      <c r="CX102" s="3979"/>
      <c r="CY102" s="3979"/>
      <c r="CZ102" s="3979"/>
      <c r="DA102" s="3982" t="str">
        <f>DB101&amp;"-"&amp;DD101</f>
        <v>46935-47118</v>
      </c>
      <c r="DB102" s="3983"/>
      <c r="DC102" s="3365"/>
      <c r="DD102" s="3983"/>
      <c r="DE102" s="3365"/>
      <c r="DF102" s="3979"/>
      <c r="DG102" s="4257"/>
      <c r="DH102" s="4143"/>
      <c r="DI102" s="4251"/>
      <c r="DJ102" s="4251" t="str">
        <f>IF(T102="","",T102)</f>
        <v/>
      </c>
      <c r="DK102" s="4251"/>
      <c r="DL102" s="4251"/>
      <c r="DM102" s="3961">
        <v>0</v>
      </c>
    </row>
    <row s="32739" customFormat="1" customHeight="1" ht="15">
      <c r="A103" s="4238"/>
      <c r="B103" s="4238"/>
      <c r="C103" s="4238"/>
      <c r="D103" s="4238"/>
      <c r="E103" s="4239"/>
      <c r="F103" s="4239"/>
      <c r="G103" s="4239"/>
      <c r="H103" s="4239"/>
      <c r="I103" s="4240"/>
      <c r="J103" s="4241">
        <f>I95&amp;".1"</f>
      </c>
      <c r="K103" s="4238"/>
      <c r="L103" s="4242"/>
      <c r="M103" s="4135"/>
      <c r="N103" s="4135"/>
      <c r="O103" s="4243"/>
      <c r="P103" s="4244"/>
      <c r="Q103" s="4244"/>
      <c r="R103" s="4259"/>
      <c r="S103" s="5144"/>
      <c r="T103" s="5145" t="s">
        <v>471</v>
      </c>
      <c r="U103" s="5146"/>
      <c r="V103" s="5147"/>
      <c r="W103" s="5148"/>
      <c r="X103" s="5149"/>
      <c r="Y103" s="5150"/>
      <c r="Z103" s="5151"/>
      <c r="AA103" s="5152"/>
      <c r="AB103" s="5153"/>
      <c r="AC103" s="5154"/>
      <c r="AD103" s="5155"/>
      <c r="AE103" s="5156"/>
      <c r="AF103" s="5157"/>
      <c r="AG103" s="5158"/>
      <c r="AH103" s="5159"/>
      <c r="AI103" s="5160"/>
      <c r="AJ103" s="5161"/>
      <c r="AK103" s="5162"/>
      <c r="AL103" s="5163"/>
      <c r="AM103" s="5164"/>
      <c r="AN103" s="5165"/>
      <c r="AO103" s="5166"/>
      <c r="AP103" s="5167"/>
      <c r="AQ103" s="5168"/>
      <c r="AR103" s="5169"/>
      <c r="AS103" s="5170"/>
      <c r="AT103" s="5171"/>
      <c r="AU103" s="5172"/>
      <c r="AV103" s="5173"/>
      <c r="AW103" s="5174"/>
      <c r="AX103" s="5175"/>
      <c r="AY103" s="5176"/>
      <c r="AZ103" s="5177"/>
      <c r="BA103" s="5178"/>
      <c r="BB103" s="5179"/>
      <c r="BC103" s="5180"/>
      <c r="BD103" s="5181"/>
      <c r="BE103" s="5182"/>
      <c r="BF103" s="5183"/>
      <c r="BG103" s="5184"/>
      <c r="BH103" s="5185"/>
      <c r="BI103" s="5186"/>
      <c r="BJ103" s="5187"/>
      <c r="BK103" s="5188"/>
      <c r="BL103" s="5189"/>
      <c r="BM103" s="5190"/>
      <c r="BN103" s="5191"/>
      <c r="BO103" s="5192"/>
      <c r="BP103" s="5193"/>
      <c r="BQ103" s="5194"/>
      <c r="BR103" s="5195"/>
      <c r="BS103" s="5196"/>
      <c r="BT103" s="5197"/>
      <c r="BU103" s="5198"/>
      <c r="BV103" s="5199"/>
      <c r="BW103" s="5200"/>
      <c r="BX103" s="5201"/>
      <c r="BY103" s="5202"/>
      <c r="BZ103" s="5203"/>
      <c r="CA103" s="5204"/>
      <c r="CB103" s="5205"/>
      <c r="CC103" s="5206"/>
      <c r="CD103" s="5207"/>
      <c r="CE103" s="5208"/>
      <c r="CF103" s="5209"/>
      <c r="CG103" s="5210"/>
      <c r="CH103" s="5211"/>
      <c r="CI103" s="5212"/>
      <c r="CJ103" s="5213"/>
      <c r="CK103" s="5214"/>
      <c r="CL103" s="5215"/>
      <c r="CM103" s="5216"/>
      <c r="CN103" s="5217"/>
      <c r="CO103" s="5218"/>
      <c r="CP103" s="5219"/>
      <c r="CQ103" s="5220"/>
      <c r="CR103" s="5221"/>
      <c r="CS103" s="5222"/>
      <c r="CT103" s="5223"/>
      <c r="CU103" s="5224"/>
      <c r="CV103" s="5225"/>
      <c r="CW103" s="5226"/>
      <c r="CX103" s="5227"/>
      <c r="CY103" s="5228"/>
      <c r="CZ103" s="5229"/>
      <c r="DA103" s="5230"/>
      <c r="DB103" s="5231"/>
      <c r="DC103" s="5232"/>
      <c r="DD103" s="5233"/>
      <c r="DE103" s="5234"/>
      <c r="DF103" s="5235"/>
      <c r="DG103" s="4352"/>
      <c r="DH103" s="4143"/>
      <c r="DI103" s="4251"/>
      <c r="DJ103" s="4251" t="str">
        <f>IF(T103="","",T103)</f>
        <v>Добавить вид теплоносителя (параметры теплоносителя)</v>
      </c>
      <c r="DK103" s="4251"/>
      <c r="DL103" s="4251"/>
      <c r="DM103" s="3961">
        <v>0</v>
      </c>
    </row>
    <row s="32832" customFormat="1" customHeight="1" ht="15">
      <c r="A104" s="4238"/>
      <c r="B104" s="4238"/>
      <c r="C104" s="4238"/>
      <c r="D104" s="4238"/>
      <c r="E104" s="4239"/>
      <c r="F104" s="4239" t="s">
        <v>93</v>
      </c>
      <c r="G104" s="4239"/>
      <c r="H104" s="4239"/>
      <c r="I104" s="4241"/>
      <c r="J104" s="4238"/>
      <c r="K104" s="4238"/>
      <c r="L104" s="4242"/>
      <c r="M104" s="4135"/>
      <c r="N104" s="4243"/>
      <c r="O104" s="4243"/>
      <c r="P104" s="4244"/>
      <c r="Q104" s="4244"/>
      <c r="R104" s="4259"/>
      <c r="S104" s="5237"/>
      <c r="T104" s="5238" t="s">
        <v>472</v>
      </c>
      <c r="U104" s="5239"/>
      <c r="V104" s="5240"/>
      <c r="W104" s="5241"/>
      <c r="X104" s="5242"/>
      <c r="Y104" s="5243"/>
      <c r="Z104" s="5244"/>
      <c r="AA104" s="5245"/>
      <c r="AB104" s="5246"/>
      <c r="AC104" s="5247"/>
      <c r="AD104" s="5248"/>
      <c r="AE104" s="5249"/>
      <c r="AF104" s="5250"/>
      <c r="AG104" s="5251"/>
      <c r="AH104" s="5252"/>
      <c r="AI104" s="5253"/>
      <c r="AJ104" s="5254"/>
      <c r="AK104" s="5255"/>
      <c r="AL104" s="5256"/>
      <c r="AM104" s="5257"/>
      <c r="AN104" s="5258"/>
      <c r="AO104" s="5259"/>
      <c r="AP104" s="5260"/>
      <c r="AQ104" s="5261"/>
      <c r="AR104" s="5262"/>
      <c r="AS104" s="5263"/>
      <c r="AT104" s="5264"/>
      <c r="AU104" s="5265"/>
      <c r="AV104" s="5266"/>
      <c r="AW104" s="5267"/>
      <c r="AX104" s="5268"/>
      <c r="AY104" s="5269"/>
      <c r="AZ104" s="5270"/>
      <c r="BA104" s="5271"/>
      <c r="BB104" s="5272"/>
      <c r="BC104" s="5273"/>
      <c r="BD104" s="5274"/>
      <c r="BE104" s="5275"/>
      <c r="BF104" s="5276"/>
      <c r="BG104" s="5277"/>
      <c r="BH104" s="5278"/>
      <c r="BI104" s="5279"/>
      <c r="BJ104" s="5280"/>
      <c r="BK104" s="5281"/>
      <c r="BL104" s="5282"/>
      <c r="BM104" s="5283"/>
      <c r="BN104" s="5284"/>
      <c r="BO104" s="5285"/>
      <c r="BP104" s="5286"/>
      <c r="BQ104" s="5287"/>
      <c r="BR104" s="5288"/>
      <c r="BS104" s="5289"/>
      <c r="BT104" s="5290"/>
      <c r="BU104" s="5291"/>
      <c r="BV104" s="5292"/>
      <c r="BW104" s="5293"/>
      <c r="BX104" s="5294"/>
      <c r="BY104" s="5295"/>
      <c r="BZ104" s="5296"/>
      <c r="CA104" s="5297"/>
      <c r="CB104" s="5298"/>
      <c r="CC104" s="5299"/>
      <c r="CD104" s="5300"/>
      <c r="CE104" s="5301"/>
      <c r="CF104" s="5302"/>
      <c r="CG104" s="5303"/>
      <c r="CH104" s="5304"/>
      <c r="CI104" s="5305"/>
      <c r="CJ104" s="5306"/>
      <c r="CK104" s="5307"/>
      <c r="CL104" s="5308"/>
      <c r="CM104" s="5309"/>
      <c r="CN104" s="5310"/>
      <c r="CO104" s="5311"/>
      <c r="CP104" s="5312"/>
      <c r="CQ104" s="5313"/>
      <c r="CR104" s="5314"/>
      <c r="CS104" s="5315"/>
      <c r="CT104" s="5316"/>
      <c r="CU104" s="5317"/>
      <c r="CV104" s="5318"/>
      <c r="CW104" s="5319"/>
      <c r="CX104" s="5320"/>
      <c r="CY104" s="5321"/>
      <c r="CZ104" s="5322"/>
      <c r="DA104" s="5323"/>
      <c r="DB104" s="5324"/>
      <c r="DC104" s="5325"/>
      <c r="DD104" s="5326"/>
      <c r="DE104" s="5327"/>
      <c r="DF104" s="5328"/>
      <c r="DG104" s="5329"/>
      <c r="DH104" s="4143"/>
      <c r="DI104" s="4251"/>
      <c r="DJ104" s="4251" t="str">
        <f>IF(T104="","",T104)</f>
        <v>Добавить группу потребителей</v>
      </c>
      <c r="DK104" s="4251"/>
      <c r="DL104" s="4251"/>
      <c r="DM104" s="3961">
        <v>0</v>
      </c>
    </row>
    <row s="32926" customFormat="1" customHeight="1" ht="14.25">
      <c r="A105" s="4238"/>
      <c r="B105" s="4238"/>
      <c r="C105" s="4238"/>
      <c r="D105" s="4238"/>
      <c r="E105" s="4239"/>
      <c r="F105" s="4239" t="s">
        <v>93</v>
      </c>
      <c r="G105" s="4239"/>
      <c r="H105" s="4426"/>
      <c r="I105" s="4238"/>
      <c r="J105" s="4238"/>
      <c r="K105" s="4238"/>
      <c r="L105" s="4242"/>
      <c r="M105" s="4427"/>
      <c r="N105" s="4427"/>
      <c r="O105" s="4135"/>
      <c r="P105" s="4729"/>
      <c r="Q105" s="4730"/>
      <c r="R105" s="4731"/>
      <c r="S105" s="4732"/>
      <c r="T105" s="4733"/>
      <c r="U105" s="4131"/>
      <c r="V105" s="4131"/>
      <c r="W105" s="4131"/>
      <c r="X105" s="4131"/>
      <c r="Y105" s="4131"/>
      <c r="Z105" s="4131"/>
      <c r="AA105" s="4131"/>
      <c r="AB105" s="4131"/>
      <c r="AC105" s="4131"/>
      <c r="AD105" s="4131"/>
      <c r="AE105" s="4131"/>
      <c r="AF105" s="4131"/>
      <c r="AG105" s="4131"/>
      <c r="AH105" s="4131"/>
      <c r="AI105" s="4131"/>
      <c r="AJ105" s="4131"/>
      <c r="AK105" s="4131"/>
      <c r="AL105" s="4131"/>
      <c r="AM105" s="4131"/>
      <c r="AN105" s="4131"/>
      <c r="AO105" s="4131"/>
      <c r="AP105" s="4131"/>
      <c r="AQ105" s="4131"/>
      <c r="AR105" s="4131"/>
      <c r="AS105" s="4131"/>
      <c r="AT105" s="4131"/>
      <c r="AU105" s="4131"/>
      <c r="AV105" s="4131"/>
      <c r="AW105" s="4131"/>
      <c r="AX105" s="4131"/>
      <c r="AY105" s="4131"/>
      <c r="AZ105" s="4131"/>
      <c r="BA105" s="4131"/>
      <c r="BB105" s="4131"/>
      <c r="BC105" s="4131"/>
      <c r="BD105" s="4131"/>
      <c r="BE105" s="4131"/>
      <c r="BF105" s="4131"/>
      <c r="BG105" s="4131"/>
      <c r="BH105" s="4131"/>
      <c r="BI105" s="4131"/>
      <c r="BJ105" s="4131"/>
      <c r="BK105" s="4131"/>
      <c r="BL105" s="4131"/>
      <c r="BM105" s="4131"/>
      <c r="BN105" s="4131"/>
      <c r="BO105" s="4131"/>
      <c r="BP105" s="4131"/>
      <c r="BQ105" s="4131"/>
      <c r="BR105" s="4131"/>
      <c r="BS105" s="4131"/>
      <c r="BT105" s="4131"/>
      <c r="BU105" s="4131"/>
      <c r="BV105" s="4131"/>
      <c r="BW105" s="4131"/>
      <c r="BX105" s="4131"/>
      <c r="BY105" s="4131"/>
      <c r="BZ105" s="4131"/>
      <c r="CA105" s="4131"/>
      <c r="CB105" s="4131"/>
      <c r="CC105" s="4131"/>
      <c r="CD105" s="4131"/>
      <c r="CE105" s="4131"/>
      <c r="CF105" s="4131"/>
      <c r="CG105" s="4131"/>
      <c r="CH105" s="4131"/>
      <c r="CI105" s="4131"/>
      <c r="CJ105" s="4131"/>
      <c r="CK105" s="4131"/>
      <c r="CL105" s="4131"/>
      <c r="CM105" s="4131"/>
      <c r="CN105" s="4131"/>
      <c r="CO105" s="4131"/>
      <c r="CP105" s="4131"/>
      <c r="CQ105" s="4131"/>
      <c r="CR105" s="4131"/>
      <c r="CS105" s="4131"/>
      <c r="CT105" s="4131"/>
      <c r="CU105" s="4131"/>
      <c r="CV105" s="4131"/>
      <c r="CW105" s="4131"/>
      <c r="CX105" s="4131"/>
      <c r="CY105" s="4131"/>
      <c r="CZ105" s="4131"/>
      <c r="DA105" s="4131"/>
      <c r="DB105" s="4131"/>
      <c r="DC105" s="4131"/>
      <c r="DD105" s="4131"/>
      <c r="DE105" s="4131"/>
      <c r="DF105" s="4131"/>
      <c r="DG105" s="4734"/>
      <c r="DH105" s="4143"/>
      <c r="DI105" s="4251"/>
      <c r="DJ105" s="4251" t="str">
        <f>IF(T105="","",T105)</f>
        <v/>
      </c>
      <c r="DK105" s="4251"/>
      <c r="DL105" s="4251"/>
      <c r="DM105" s="3961">
        <v>0</v>
      </c>
    </row>
    <row s="32927" customFormat="1" customHeight="1" ht="0.75">
      <c r="A106" s="4736"/>
      <c r="B106" s="4736"/>
      <c r="C106" s="4736"/>
      <c r="D106" s="4736"/>
      <c r="E106" s="4239"/>
      <c r="F106" s="4239" t="s">
        <v>93</v>
      </c>
      <c r="G106" s="4426"/>
      <c r="H106" s="4736"/>
      <c r="I106" s="4736"/>
      <c r="J106" s="4736"/>
      <c r="K106" s="4736"/>
      <c r="L106" s="4737"/>
      <c r="M106" s="4738"/>
      <c r="N106" s="4738"/>
      <c r="O106" s="4143"/>
      <c r="P106" s="4739"/>
      <c r="Q106" s="4740"/>
      <c r="R106" s="4739"/>
      <c r="S106" s="4741"/>
      <c r="T106" s="4742" t="s">
        <v>213</v>
      </c>
      <c r="U106" s="4133"/>
      <c r="V106" s="4133"/>
      <c r="W106" s="4133"/>
      <c r="X106" s="4133"/>
      <c r="Y106" s="4133"/>
      <c r="Z106" s="4133"/>
      <c r="AA106" s="4133"/>
      <c r="AB106" s="4133"/>
      <c r="AC106" s="4133"/>
      <c r="AD106" s="4133"/>
      <c r="AE106" s="4133"/>
      <c r="AF106" s="4133"/>
      <c r="AG106" s="4133"/>
      <c r="AH106" s="4133"/>
      <c r="AI106" s="4133"/>
      <c r="AJ106" s="4133"/>
      <c r="AK106" s="4133"/>
      <c r="AL106" s="4133"/>
      <c r="AM106" s="4133"/>
      <c r="AN106" s="4133"/>
      <c r="AO106" s="4133"/>
      <c r="AP106" s="4133"/>
      <c r="AQ106" s="4133"/>
      <c r="AR106" s="4133"/>
      <c r="AS106" s="4133"/>
      <c r="AT106" s="4133"/>
      <c r="AU106" s="4133"/>
      <c r="AV106" s="4133"/>
      <c r="AW106" s="4133"/>
      <c r="AX106" s="4133"/>
      <c r="AY106" s="4133"/>
      <c r="AZ106" s="4133"/>
      <c r="BA106" s="4133"/>
      <c r="BB106" s="4133"/>
      <c r="BC106" s="4133"/>
      <c r="BD106" s="4133"/>
      <c r="BE106" s="4133"/>
      <c r="BF106" s="4133"/>
      <c r="BG106" s="4133"/>
      <c r="BH106" s="4133"/>
      <c r="BI106" s="4133"/>
      <c r="BJ106" s="4133"/>
      <c r="BK106" s="4133"/>
      <c r="BL106" s="4133"/>
      <c r="BM106" s="4133"/>
      <c r="BN106" s="4133"/>
      <c r="BO106" s="4133"/>
      <c r="BP106" s="4133"/>
      <c r="BQ106" s="4133"/>
      <c r="BR106" s="4133"/>
      <c r="BS106" s="4133"/>
      <c r="BT106" s="4133"/>
      <c r="BU106" s="4133"/>
      <c r="BV106" s="4133"/>
      <c r="BW106" s="4133"/>
      <c r="BX106" s="4133"/>
      <c r="BY106" s="4133"/>
      <c r="BZ106" s="4133"/>
      <c r="CA106" s="4133"/>
      <c r="CB106" s="4133"/>
      <c r="CC106" s="4133"/>
      <c r="CD106" s="4133"/>
      <c r="CE106" s="4133"/>
      <c r="CF106" s="4133"/>
      <c r="CG106" s="4133"/>
      <c r="CH106" s="4133"/>
      <c r="CI106" s="4133"/>
      <c r="CJ106" s="4133"/>
      <c r="CK106" s="4133"/>
      <c r="CL106" s="4133"/>
      <c r="CM106" s="4133"/>
      <c r="CN106" s="4133"/>
      <c r="CO106" s="4133"/>
      <c r="CP106" s="4133"/>
      <c r="CQ106" s="4133"/>
      <c r="CR106" s="4133"/>
      <c r="CS106" s="4133"/>
      <c r="CT106" s="4133"/>
      <c r="CU106" s="4133"/>
      <c r="CV106" s="4133"/>
      <c r="CW106" s="4133"/>
      <c r="CX106" s="4133"/>
      <c r="CY106" s="4133"/>
      <c r="CZ106" s="4133"/>
      <c r="DA106" s="4133"/>
      <c r="DB106" s="4133"/>
      <c r="DC106" s="4133"/>
      <c r="DD106" s="4133"/>
      <c r="DE106" s="4133"/>
      <c r="DF106" s="4133"/>
      <c r="DG106" s="4133"/>
      <c r="DH106" s="4143"/>
      <c r="DI106" s="4251"/>
      <c r="DJ106" s="4251" t="str">
        <f>IF(T106="","",T106)</f>
        <v>Добавить источник для дифференциации</v>
      </c>
      <c r="DK106" s="4251"/>
      <c r="DL106" s="4251"/>
      <c r="DM106" s="4143">
        <v>0</v>
      </c>
    </row>
    <row s="32928" customFormat="1" customHeight="1" ht="0.75">
      <c r="A107" s="4736"/>
      <c r="B107" s="4736"/>
      <c r="C107" s="4736"/>
      <c r="D107" s="4736"/>
      <c r="E107" s="4239"/>
      <c r="F107" s="4426" t="s">
        <v>93</v>
      </c>
      <c r="G107" s="4736"/>
      <c r="H107" s="4736"/>
      <c r="I107" s="4736"/>
      <c r="J107" s="4736"/>
      <c r="K107" s="4736"/>
      <c r="L107" s="4737"/>
      <c r="M107" s="4744"/>
      <c r="N107" s="4744"/>
      <c r="O107" s="4143"/>
      <c r="P107" s="4739"/>
      <c r="Q107" s="4740"/>
      <c r="R107" s="4739"/>
      <c r="S107" s="4745"/>
      <c r="T107" s="4746" t="s">
        <v>214</v>
      </c>
      <c r="U107" s="4134"/>
      <c r="V107" s="4134"/>
      <c r="W107" s="4134"/>
      <c r="X107" s="4134"/>
      <c r="Y107" s="4134"/>
      <c r="Z107" s="4134"/>
      <c r="AA107" s="4134"/>
      <c r="AB107" s="4134"/>
      <c r="AC107" s="4134"/>
      <c r="AD107" s="4134"/>
      <c r="AE107" s="4134"/>
      <c r="AF107" s="4134"/>
      <c r="AG107" s="4134"/>
      <c r="AH107" s="4134"/>
      <c r="AI107" s="4134"/>
      <c r="AJ107" s="4134"/>
      <c r="AK107" s="4134"/>
      <c r="AL107" s="4134"/>
      <c r="AM107" s="4134"/>
      <c r="AN107" s="4134"/>
      <c r="AO107" s="4134"/>
      <c r="AP107" s="4134"/>
      <c r="AQ107" s="4134"/>
      <c r="AR107" s="4134"/>
      <c r="AS107" s="4134"/>
      <c r="AT107" s="4134"/>
      <c r="AU107" s="4134"/>
      <c r="AV107" s="4134"/>
      <c r="AW107" s="4134"/>
      <c r="AX107" s="4134"/>
      <c r="AY107" s="4134"/>
      <c r="AZ107" s="4134"/>
      <c r="BA107" s="4134"/>
      <c r="BB107" s="4134"/>
      <c r="BC107" s="4134"/>
      <c r="BD107" s="4134"/>
      <c r="BE107" s="4134"/>
      <c r="BF107" s="4134"/>
      <c r="BG107" s="4134"/>
      <c r="BH107" s="4134"/>
      <c r="BI107" s="4134"/>
      <c r="BJ107" s="4134"/>
      <c r="BK107" s="4134"/>
      <c r="BL107" s="4134"/>
      <c r="BM107" s="4134"/>
      <c r="BN107" s="4134"/>
      <c r="BO107" s="4134"/>
      <c r="BP107" s="4134"/>
      <c r="BQ107" s="4134"/>
      <c r="BR107" s="4134"/>
      <c r="BS107" s="4134"/>
      <c r="BT107" s="4134"/>
      <c r="BU107" s="4134"/>
      <c r="BV107" s="4134"/>
      <c r="BW107" s="4134"/>
      <c r="BX107" s="4134"/>
      <c r="BY107" s="4134"/>
      <c r="BZ107" s="4134"/>
      <c r="CA107" s="4134"/>
      <c r="CB107" s="4134"/>
      <c r="CC107" s="4134"/>
      <c r="CD107" s="4134"/>
      <c r="CE107" s="4134"/>
      <c r="CF107" s="4134"/>
      <c r="CG107" s="4134"/>
      <c r="CH107" s="4134"/>
      <c r="CI107" s="4134"/>
      <c r="CJ107" s="4134"/>
      <c r="CK107" s="4134"/>
      <c r="CL107" s="4134"/>
      <c r="CM107" s="4134"/>
      <c r="CN107" s="4134"/>
      <c r="CO107" s="4134"/>
      <c r="CP107" s="4134"/>
      <c r="CQ107" s="4134"/>
      <c r="CR107" s="4134"/>
      <c r="CS107" s="4134"/>
      <c r="CT107" s="4134"/>
      <c r="CU107" s="4134"/>
      <c r="CV107" s="4134"/>
      <c r="CW107" s="4134"/>
      <c r="CX107" s="4134"/>
      <c r="CY107" s="4134"/>
      <c r="CZ107" s="4134"/>
      <c r="DA107" s="4134"/>
      <c r="DB107" s="4134"/>
      <c r="DC107" s="4134"/>
      <c r="DD107" s="4134"/>
      <c r="DE107" s="4134"/>
      <c r="DF107" s="4134"/>
      <c r="DG107" s="4134"/>
      <c r="DH107" s="4143"/>
      <c r="DI107" s="4251"/>
      <c r="DJ107" s="4251" t="str">
        <f>IF(T107="","",T107)</f>
        <v>Добавить централизованную систему для дифференциации</v>
      </c>
      <c r="DK107" s="4251"/>
      <c r="DL107" s="4251"/>
      <c r="DM107" s="4143">
        <v>0</v>
      </c>
    </row>
    <row s="32929" customFormat="1" customHeight="1" ht="21">
      <c r="A108" s="4238"/>
      <c r="B108" s="4238" t="s">
        <v>517</v>
      </c>
      <c r="C108" s="4238"/>
      <c r="D108" s="4238"/>
      <c r="E108" s="4239"/>
      <c r="F108" s="4426" t="s">
        <v>124</v>
      </c>
      <c r="G108" s="4238"/>
      <c r="H108" s="4238"/>
      <c r="I108" s="4238"/>
      <c r="J108" s="4238"/>
      <c r="K108" s="4238"/>
      <c r="L108" s="4242"/>
      <c r="M108" s="4427"/>
      <c r="N108" s="4427"/>
      <c r="O108" s="4427"/>
      <c r="P108" s="4428"/>
      <c r="Q108" s="4429"/>
      <c r="R108" s="4430"/>
      <c r="S108" s="4247">
        <f>INDEX(PT_DIFFERENTIATION_NUM_TER,MATCH(B108,PT_DIFFERENTIATION_TER_ID,0))</f>
      </c>
      <c r="T108" s="4431" t="s">
        <v>457</v>
      </c>
      <c r="U108" s="4249"/>
      <c r="V108" s="3962"/>
      <c r="W108" s="3963"/>
      <c r="X108" s="3963"/>
      <c r="Y108" s="3963"/>
      <c r="Z108" s="3963"/>
      <c r="AA108" s="3963"/>
      <c r="AB108" s="3963"/>
      <c r="AC108" s="3964"/>
      <c r="AD108" s="3962">
        <f>INDEX(PT_DIFFERENTIATION_TER,MATCH(B108,PT_DIFFERENTIATION_TER_ID,0))</f>
      </c>
      <c r="AE108" s="3963"/>
      <c r="AF108" s="3963"/>
      <c r="AG108" s="3963"/>
      <c r="AH108" s="3963"/>
      <c r="AI108" s="3963"/>
      <c r="AJ108" s="3963"/>
      <c r="AK108" s="3963"/>
      <c r="AL108" s="3962"/>
      <c r="AM108" s="3963"/>
      <c r="AN108" s="3963"/>
      <c r="AO108" s="3963"/>
      <c r="AP108" s="3963"/>
      <c r="AQ108" s="3963"/>
      <c r="AR108" s="3963"/>
      <c r="AS108" s="3964"/>
      <c r="AT108" s="3962"/>
      <c r="AU108" s="3963"/>
      <c r="AV108" s="3963"/>
      <c r="AW108" s="3963"/>
      <c r="AX108" s="3963"/>
      <c r="AY108" s="3963"/>
      <c r="AZ108" s="3963"/>
      <c r="BA108" s="3964"/>
      <c r="BB108" s="3962"/>
      <c r="BC108" s="3963"/>
      <c r="BD108" s="3963"/>
      <c r="BE108" s="3963"/>
      <c r="BF108" s="3963"/>
      <c r="BG108" s="3963"/>
      <c r="BH108" s="3963"/>
      <c r="BI108" s="3964"/>
      <c r="BJ108" s="3962"/>
      <c r="BK108" s="3963"/>
      <c r="BL108" s="3963"/>
      <c r="BM108" s="3963"/>
      <c r="BN108" s="3963"/>
      <c r="BO108" s="3963"/>
      <c r="BP108" s="3963"/>
      <c r="BQ108" s="3964"/>
      <c r="BR108" s="3962"/>
      <c r="BS108" s="3963"/>
      <c r="BT108" s="3963"/>
      <c r="BU108" s="3963"/>
      <c r="BV108" s="3963"/>
      <c r="BW108" s="3963"/>
      <c r="BX108" s="3963"/>
      <c r="BY108" s="3964"/>
      <c r="BZ108" s="3962"/>
      <c r="CA108" s="3963"/>
      <c r="CB108" s="3963"/>
      <c r="CC108" s="3963"/>
      <c r="CD108" s="3963"/>
      <c r="CE108" s="3963"/>
      <c r="CF108" s="3963"/>
      <c r="CG108" s="3964"/>
      <c r="CH108" s="3962"/>
      <c r="CI108" s="3963"/>
      <c r="CJ108" s="3963"/>
      <c r="CK108" s="3963"/>
      <c r="CL108" s="3963"/>
      <c r="CM108" s="3963"/>
      <c r="CN108" s="3963"/>
      <c r="CO108" s="3964"/>
      <c r="CP108" s="3962"/>
      <c r="CQ108" s="3963"/>
      <c r="CR108" s="3963"/>
      <c r="CS108" s="3963"/>
      <c r="CT108" s="3963"/>
      <c r="CU108" s="3963"/>
      <c r="CV108" s="3963"/>
      <c r="CW108" s="3964"/>
      <c r="CX108" s="3962"/>
      <c r="CY108" s="3963"/>
      <c r="CZ108" s="3963"/>
      <c r="DA108" s="3963"/>
      <c r="DB108" s="3963"/>
      <c r="DC108" s="3963"/>
      <c r="DD108" s="3963"/>
      <c r="DE108" s="3964"/>
      <c r="DF108" s="3964"/>
      <c r="DG108" s="4250" t="s">
        <v>458</v>
      </c>
      <c r="DH108" s="4143"/>
      <c r="DI108" s="4251"/>
      <c r="DJ108" s="4251" t="str">
        <f>IF(T108="","",T108)</f>
        <v>Территория действия тарифа</v>
      </c>
      <c r="DK108" s="4251"/>
      <c r="DL108" s="4251"/>
      <c r="DM108" s="3961">
        <v>0</v>
      </c>
    </row>
    <row s="32930" customFormat="1" customHeight="1" ht="23.25">
      <c r="A109" s="4238"/>
      <c r="B109" s="4238"/>
      <c r="C109" s="4238" t="s">
        <v>518</v>
      </c>
      <c r="D109" s="4238"/>
      <c r="E109" s="4239"/>
      <c r="F109" s="4239" t="s">
        <v>94</v>
      </c>
      <c r="G109" s="4426">
        <v>1</v>
      </c>
      <c r="H109" s="4238"/>
      <c r="I109" s="4238"/>
      <c r="J109" s="4238"/>
      <c r="K109" s="4238"/>
      <c r="L109" s="4242"/>
      <c r="M109" s="4427"/>
      <c r="N109" s="4427"/>
      <c r="O109" s="4427"/>
      <c r="P109" s="4433"/>
      <c r="Q109" s="4429"/>
      <c r="R109" s="4430"/>
      <c r="S109" s="4247">
        <f>INDEX(PT_DIFFERENTIATION_NUM_CS,MATCH(C109,PT_DIFFERENTIATION_CS_ID,0))</f>
      </c>
      <c r="T109" s="4434" t="s">
        <v>459</v>
      </c>
      <c r="U109" s="4249"/>
      <c r="V109" s="3962"/>
      <c r="W109" s="3963"/>
      <c r="X109" s="3963"/>
      <c r="Y109" s="3963"/>
      <c r="Z109" s="3963"/>
      <c r="AA109" s="3963"/>
      <c r="AB109" s="3963"/>
      <c r="AC109" s="3964"/>
      <c r="AD109" s="3962">
        <f>INDEX(PT_DIFFERENTIATION_CS,MATCH(C109,PT_DIFFERENTIATION_CS_ID,0))</f>
      </c>
      <c r="AE109" s="3963"/>
      <c r="AF109" s="3963"/>
      <c r="AG109" s="3963"/>
      <c r="AH109" s="3963"/>
      <c r="AI109" s="3963"/>
      <c r="AJ109" s="3963"/>
      <c r="AK109" s="3963"/>
      <c r="AL109" s="3962"/>
      <c r="AM109" s="3963"/>
      <c r="AN109" s="3963"/>
      <c r="AO109" s="3963"/>
      <c r="AP109" s="3963"/>
      <c r="AQ109" s="3963"/>
      <c r="AR109" s="3963"/>
      <c r="AS109" s="3964"/>
      <c r="AT109" s="3962"/>
      <c r="AU109" s="3963"/>
      <c r="AV109" s="3963"/>
      <c r="AW109" s="3963"/>
      <c r="AX109" s="3963"/>
      <c r="AY109" s="3963"/>
      <c r="AZ109" s="3963"/>
      <c r="BA109" s="3964"/>
      <c r="BB109" s="3962"/>
      <c r="BC109" s="3963"/>
      <c r="BD109" s="3963"/>
      <c r="BE109" s="3963"/>
      <c r="BF109" s="3963"/>
      <c r="BG109" s="3963"/>
      <c r="BH109" s="3963"/>
      <c r="BI109" s="3964"/>
      <c r="BJ109" s="3962"/>
      <c r="BK109" s="3963"/>
      <c r="BL109" s="3963"/>
      <c r="BM109" s="3963"/>
      <c r="BN109" s="3963"/>
      <c r="BO109" s="3963"/>
      <c r="BP109" s="3963"/>
      <c r="BQ109" s="3964"/>
      <c r="BR109" s="3962"/>
      <c r="BS109" s="3963"/>
      <c r="BT109" s="3963"/>
      <c r="BU109" s="3963"/>
      <c r="BV109" s="3963"/>
      <c r="BW109" s="3963"/>
      <c r="BX109" s="3963"/>
      <c r="BY109" s="3964"/>
      <c r="BZ109" s="3962"/>
      <c r="CA109" s="3963"/>
      <c r="CB109" s="3963"/>
      <c r="CC109" s="3963"/>
      <c r="CD109" s="3963"/>
      <c r="CE109" s="3963"/>
      <c r="CF109" s="3963"/>
      <c r="CG109" s="3964"/>
      <c r="CH109" s="3962"/>
      <c r="CI109" s="3963"/>
      <c r="CJ109" s="3963"/>
      <c r="CK109" s="3963"/>
      <c r="CL109" s="3963"/>
      <c r="CM109" s="3963"/>
      <c r="CN109" s="3963"/>
      <c r="CO109" s="3964"/>
      <c r="CP109" s="3962"/>
      <c r="CQ109" s="3963"/>
      <c r="CR109" s="3963"/>
      <c r="CS109" s="3963"/>
      <c r="CT109" s="3963"/>
      <c r="CU109" s="3963"/>
      <c r="CV109" s="3963"/>
      <c r="CW109" s="3964"/>
      <c r="CX109" s="3962"/>
      <c r="CY109" s="3963"/>
      <c r="CZ109" s="3963"/>
      <c r="DA109" s="3963"/>
      <c r="DB109" s="3963"/>
      <c r="DC109" s="3963"/>
      <c r="DD109" s="3963"/>
      <c r="DE109" s="3964"/>
      <c r="DF109" s="3964"/>
      <c r="DG109" s="4250" t="s">
        <v>460</v>
      </c>
      <c r="DH109" s="4143"/>
      <c r="DI109" s="4251"/>
      <c r="DJ109" s="4251" t="str">
        <f>IF(T109="","",T109)</f>
        <v>Наименование системы теплоснабжения </v>
      </c>
      <c r="DK109" s="4251"/>
      <c r="DL109" s="4251"/>
      <c r="DM109" s="3961">
        <v>0</v>
      </c>
    </row>
    <row s="32931" customFormat="1" customHeight="1" ht="21">
      <c r="A110" s="4238"/>
      <c r="B110" s="4238"/>
      <c r="C110" s="4238"/>
      <c r="D110" s="4238" t="s">
        <v>519</v>
      </c>
      <c r="E110" s="4239"/>
      <c r="F110" s="4239" t="s">
        <v>94</v>
      </c>
      <c r="G110" s="4239"/>
      <c r="H110" s="4426">
        <v>1</v>
      </c>
      <c r="I110" s="4238"/>
      <c r="J110" s="4238"/>
      <c r="K110" s="4238"/>
      <c r="L110" s="4242"/>
      <c r="M110" s="4427"/>
      <c r="N110" s="4427"/>
      <c r="O110" s="4427"/>
      <c r="P110" s="4433"/>
      <c r="Q110" s="4429"/>
      <c r="R110" s="4430"/>
      <c r="S110" s="4247">
        <f>INDEX(PT_DIFFERENTIATION_NUM_IST_TE,MATCH(D110,PT_DIFFERENTIATION_IST_TE_ID,0))</f>
      </c>
      <c r="T110" s="4436" t="s">
        <v>461</v>
      </c>
      <c r="U110" s="4249"/>
      <c r="V110" s="3962"/>
      <c r="W110" s="3963"/>
      <c r="X110" s="3963"/>
      <c r="Y110" s="3963"/>
      <c r="Z110" s="3963"/>
      <c r="AA110" s="3963"/>
      <c r="AB110" s="3963"/>
      <c r="AC110" s="3964"/>
      <c r="AD110" s="3962">
        <f>INDEX(PT_DIFFERENTIATION_IST_TE,MATCH(D110,PT_DIFFERENTIATION_IST_TE_ID,0))</f>
      </c>
      <c r="AE110" s="3963"/>
      <c r="AF110" s="3963"/>
      <c r="AG110" s="3963"/>
      <c r="AH110" s="3963"/>
      <c r="AI110" s="3963"/>
      <c r="AJ110" s="3963"/>
      <c r="AK110" s="3963"/>
      <c r="AL110" s="3962"/>
      <c r="AM110" s="3963"/>
      <c r="AN110" s="3963"/>
      <c r="AO110" s="3963"/>
      <c r="AP110" s="3963"/>
      <c r="AQ110" s="3963"/>
      <c r="AR110" s="3963"/>
      <c r="AS110" s="3964"/>
      <c r="AT110" s="3962"/>
      <c r="AU110" s="3963"/>
      <c r="AV110" s="3963"/>
      <c r="AW110" s="3963"/>
      <c r="AX110" s="3963"/>
      <c r="AY110" s="3963"/>
      <c r="AZ110" s="3963"/>
      <c r="BA110" s="3964"/>
      <c r="BB110" s="3962"/>
      <c r="BC110" s="3963"/>
      <c r="BD110" s="3963"/>
      <c r="BE110" s="3963"/>
      <c r="BF110" s="3963"/>
      <c r="BG110" s="3963"/>
      <c r="BH110" s="3963"/>
      <c r="BI110" s="3964"/>
      <c r="BJ110" s="3962"/>
      <c r="BK110" s="3963"/>
      <c r="BL110" s="3963"/>
      <c r="BM110" s="3963"/>
      <c r="BN110" s="3963"/>
      <c r="BO110" s="3963"/>
      <c r="BP110" s="3963"/>
      <c r="BQ110" s="3964"/>
      <c r="BR110" s="3962"/>
      <c r="BS110" s="3963"/>
      <c r="BT110" s="3963"/>
      <c r="BU110" s="3963"/>
      <c r="BV110" s="3963"/>
      <c r="BW110" s="3963"/>
      <c r="BX110" s="3963"/>
      <c r="BY110" s="3964"/>
      <c r="BZ110" s="3962"/>
      <c r="CA110" s="3963"/>
      <c r="CB110" s="3963"/>
      <c r="CC110" s="3963"/>
      <c r="CD110" s="3963"/>
      <c r="CE110" s="3963"/>
      <c r="CF110" s="3963"/>
      <c r="CG110" s="3964"/>
      <c r="CH110" s="3962"/>
      <c r="CI110" s="3963"/>
      <c r="CJ110" s="3963"/>
      <c r="CK110" s="3963"/>
      <c r="CL110" s="3963"/>
      <c r="CM110" s="3963"/>
      <c r="CN110" s="3963"/>
      <c r="CO110" s="3964"/>
      <c r="CP110" s="3962"/>
      <c r="CQ110" s="3963"/>
      <c r="CR110" s="3963"/>
      <c r="CS110" s="3963"/>
      <c r="CT110" s="3963"/>
      <c r="CU110" s="3963"/>
      <c r="CV110" s="3963"/>
      <c r="CW110" s="3964"/>
      <c r="CX110" s="3962"/>
      <c r="CY110" s="3963"/>
      <c r="CZ110" s="3963"/>
      <c r="DA110" s="3963"/>
      <c r="DB110" s="3963"/>
      <c r="DC110" s="3963"/>
      <c r="DD110" s="3963"/>
      <c r="DE110" s="3964"/>
      <c r="DF110" s="3964"/>
      <c r="DG110" s="4250" t="s">
        <v>462</v>
      </c>
      <c r="DH110" s="4143"/>
      <c r="DI110" s="4251"/>
      <c r="DJ110" s="4251" t="str">
        <f>IF(T110="","",T110)</f>
        <v>Источник тепловой энергии  </v>
      </c>
      <c r="DK110" s="4251"/>
      <c r="DL110" s="4251"/>
      <c r="DM110" s="3961">
        <v>0</v>
      </c>
    </row>
    <row s="32932" customFormat="1" customHeight="1" ht="14.25">
      <c r="A111" s="4238"/>
      <c r="B111" s="4238"/>
      <c r="C111" s="4238"/>
      <c r="D111" s="4238"/>
      <c r="E111" s="4239"/>
      <c r="F111" s="4239" t="s">
        <v>94</v>
      </c>
      <c r="G111" s="4239"/>
      <c r="H111" s="4239"/>
      <c r="I111" s="4241">
        <f>S110&amp;".1"</f>
      </c>
      <c r="J111" s="4238"/>
      <c r="K111" s="4238"/>
      <c r="L111" s="4242" t="s">
        <v>463</v>
      </c>
      <c r="M111" s="4135"/>
      <c r="N111" s="4243"/>
      <c r="O111" s="4243"/>
      <c r="P111" s="4244">
        <v>1</v>
      </c>
      <c r="Q111" s="4244"/>
      <c r="R111" s="4259"/>
      <c r="S111" s="4438"/>
      <c r="T111" s="4439"/>
      <c r="U111" s="4440"/>
      <c r="V111" s="3971"/>
      <c r="W111" s="3972"/>
      <c r="X111" s="3972"/>
      <c r="Y111" s="3972"/>
      <c r="Z111" s="3972"/>
      <c r="AA111" s="3972"/>
      <c r="AB111" s="3972"/>
      <c r="AC111" s="3973"/>
      <c r="AD111" s="3971"/>
      <c r="AE111" s="3972"/>
      <c r="AF111" s="3972"/>
      <c r="AG111" s="3972"/>
      <c r="AH111" s="3972"/>
      <c r="AI111" s="3972"/>
      <c r="AJ111" s="3972"/>
      <c r="AK111" s="3972"/>
      <c r="AL111" s="3971"/>
      <c r="AM111" s="3972"/>
      <c r="AN111" s="3972"/>
      <c r="AO111" s="3972"/>
      <c r="AP111" s="3972"/>
      <c r="AQ111" s="3972"/>
      <c r="AR111" s="3972"/>
      <c r="AS111" s="3973"/>
      <c r="AT111" s="3971"/>
      <c r="AU111" s="3972"/>
      <c r="AV111" s="3972"/>
      <c r="AW111" s="3972"/>
      <c r="AX111" s="3972"/>
      <c r="AY111" s="3972"/>
      <c r="AZ111" s="3972"/>
      <c r="BA111" s="3973"/>
      <c r="BB111" s="3971"/>
      <c r="BC111" s="3972"/>
      <c r="BD111" s="3972"/>
      <c r="BE111" s="3972"/>
      <c r="BF111" s="3972"/>
      <c r="BG111" s="3972"/>
      <c r="BH111" s="3972"/>
      <c r="BI111" s="3973"/>
      <c r="BJ111" s="3971"/>
      <c r="BK111" s="3972"/>
      <c r="BL111" s="3972"/>
      <c r="BM111" s="3972"/>
      <c r="BN111" s="3972"/>
      <c r="BO111" s="3972"/>
      <c r="BP111" s="3972"/>
      <c r="BQ111" s="3973"/>
      <c r="BR111" s="3971"/>
      <c r="BS111" s="3972"/>
      <c r="BT111" s="3972"/>
      <c r="BU111" s="3972"/>
      <c r="BV111" s="3972"/>
      <c r="BW111" s="3972"/>
      <c r="BX111" s="3972"/>
      <c r="BY111" s="3973"/>
      <c r="BZ111" s="3971"/>
      <c r="CA111" s="3972"/>
      <c r="CB111" s="3972"/>
      <c r="CC111" s="3972"/>
      <c r="CD111" s="3972"/>
      <c r="CE111" s="3972"/>
      <c r="CF111" s="3972"/>
      <c r="CG111" s="3973"/>
      <c r="CH111" s="3971"/>
      <c r="CI111" s="3972"/>
      <c r="CJ111" s="3972"/>
      <c r="CK111" s="3972"/>
      <c r="CL111" s="3972"/>
      <c r="CM111" s="3972"/>
      <c r="CN111" s="3972"/>
      <c r="CO111" s="3973"/>
      <c r="CP111" s="3971"/>
      <c r="CQ111" s="3972"/>
      <c r="CR111" s="3972"/>
      <c r="CS111" s="3972"/>
      <c r="CT111" s="3972"/>
      <c r="CU111" s="3972"/>
      <c r="CV111" s="3972"/>
      <c r="CW111" s="3973"/>
      <c r="CX111" s="3971"/>
      <c r="CY111" s="3972"/>
      <c r="CZ111" s="3972"/>
      <c r="DA111" s="3972"/>
      <c r="DB111" s="3972"/>
      <c r="DC111" s="3972"/>
      <c r="DD111" s="3972"/>
      <c r="DE111" s="3973"/>
      <c r="DF111" s="3973"/>
      <c r="DG111" s="4441"/>
      <c r="DH111" s="4143"/>
      <c r="DI111" s="4251"/>
      <c r="DJ111" s="4251" t="str">
        <f>IF(T111="","",T111)</f>
        <v/>
      </c>
      <c r="DK111" s="4251"/>
      <c r="DL111" s="4251"/>
      <c r="DM111" s="3961">
        <v>0</v>
      </c>
    </row>
    <row s="32933" customFormat="1" customHeight="1" ht="21">
      <c r="A112" s="4238"/>
      <c r="B112" s="4238"/>
      <c r="C112" s="4238"/>
      <c r="D112" s="4238"/>
      <c r="E112" s="4239"/>
      <c r="F112" s="4239" t="s">
        <v>94</v>
      </c>
      <c r="G112" s="4239"/>
      <c r="H112" s="4239"/>
      <c r="I112" s="4240"/>
      <c r="J112" s="4241">
        <f>I111&amp;".1"</f>
      </c>
      <c r="K112" s="4238"/>
      <c r="L112" s="4242" t="s">
        <v>466</v>
      </c>
      <c r="M112" s="4135"/>
      <c r="N112" s="4135"/>
      <c r="O112" s="4243"/>
      <c r="P112" s="4244"/>
      <c r="Q112" s="4244">
        <v>1</v>
      </c>
      <c r="R112" s="4246"/>
      <c r="S112" s="4247">
        <f>$J112</f>
      </c>
      <c r="T112" s="4248" t="s">
        <v>467</v>
      </c>
      <c r="U112" s="4249"/>
      <c r="V112" s="3975"/>
      <c r="W112" s="3976"/>
      <c r="X112" s="3976"/>
      <c r="Y112" s="3976"/>
      <c r="Z112" s="3976"/>
      <c r="AA112" s="3976"/>
      <c r="AB112" s="3976"/>
      <c r="AC112" s="3977"/>
      <c r="AD112" s="3975" t="s">
        <v>507</v>
      </c>
      <c r="AE112" s="3976"/>
      <c r="AF112" s="3976"/>
      <c r="AG112" s="3976"/>
      <c r="AH112" s="3976"/>
      <c r="AI112" s="3976"/>
      <c r="AJ112" s="3976"/>
      <c r="AK112" s="3976"/>
      <c r="AL112" s="3975"/>
      <c r="AM112" s="3976"/>
      <c r="AN112" s="3976"/>
      <c r="AO112" s="3976"/>
      <c r="AP112" s="3976"/>
      <c r="AQ112" s="3976"/>
      <c r="AR112" s="3976"/>
      <c r="AS112" s="3977"/>
      <c r="AT112" s="3975"/>
      <c r="AU112" s="3976"/>
      <c r="AV112" s="3976"/>
      <c r="AW112" s="3976"/>
      <c r="AX112" s="3976"/>
      <c r="AY112" s="3976"/>
      <c r="AZ112" s="3976"/>
      <c r="BA112" s="3977"/>
      <c r="BB112" s="3975"/>
      <c r="BC112" s="3976"/>
      <c r="BD112" s="3976"/>
      <c r="BE112" s="3976"/>
      <c r="BF112" s="3976"/>
      <c r="BG112" s="3976"/>
      <c r="BH112" s="3976"/>
      <c r="BI112" s="3977"/>
      <c r="BJ112" s="3975"/>
      <c r="BK112" s="3976"/>
      <c r="BL112" s="3976"/>
      <c r="BM112" s="3976"/>
      <c r="BN112" s="3976"/>
      <c r="BO112" s="3976"/>
      <c r="BP112" s="3976"/>
      <c r="BQ112" s="3977"/>
      <c r="BR112" s="3975"/>
      <c r="BS112" s="3976"/>
      <c r="BT112" s="3976"/>
      <c r="BU112" s="3976"/>
      <c r="BV112" s="3976"/>
      <c r="BW112" s="3976"/>
      <c r="BX112" s="3976"/>
      <c r="BY112" s="3977"/>
      <c r="BZ112" s="3975"/>
      <c r="CA112" s="3976"/>
      <c r="CB112" s="3976"/>
      <c r="CC112" s="3976"/>
      <c r="CD112" s="3976"/>
      <c r="CE112" s="3976"/>
      <c r="CF112" s="3976"/>
      <c r="CG112" s="3977"/>
      <c r="CH112" s="3975"/>
      <c r="CI112" s="3976"/>
      <c r="CJ112" s="3976"/>
      <c r="CK112" s="3976"/>
      <c r="CL112" s="3976"/>
      <c r="CM112" s="3976"/>
      <c r="CN112" s="3976"/>
      <c r="CO112" s="3977"/>
      <c r="CP112" s="3975"/>
      <c r="CQ112" s="3976"/>
      <c r="CR112" s="3976"/>
      <c r="CS112" s="3976"/>
      <c r="CT112" s="3976"/>
      <c r="CU112" s="3976"/>
      <c r="CV112" s="3976"/>
      <c r="CW112" s="3977"/>
      <c r="CX112" s="3975"/>
      <c r="CY112" s="3976"/>
      <c r="CZ112" s="3976"/>
      <c r="DA112" s="3976"/>
      <c r="DB112" s="3976"/>
      <c r="DC112" s="3976"/>
      <c r="DD112" s="3976"/>
      <c r="DE112" s="3977"/>
      <c r="DF112" s="3977"/>
      <c r="DG112" s="4250" t="s">
        <v>468</v>
      </c>
      <c r="DH112" s="4143"/>
      <c r="DI112" s="4251"/>
      <c r="DJ112" s="4251" t="str">
        <f>IF(T112="","",T112)</f>
        <v>Группа потребителей</v>
      </c>
      <c r="DK112" s="4251"/>
      <c r="DL112" s="4251"/>
      <c r="DM112" s="3961">
        <v>0</v>
      </c>
    </row>
    <row s="32934" customFormat="1" customHeight="1" ht="21">
      <c r="A113" s="4238"/>
      <c r="B113" s="4238"/>
      <c r="C113" s="4238"/>
      <c r="D113" s="4238"/>
      <c r="E113" s="4239"/>
      <c r="F113" s="4239" t="s">
        <v>94</v>
      </c>
      <c r="G113" s="4239"/>
      <c r="H113" s="4239"/>
      <c r="I113" s="4240"/>
      <c r="J113" s="4240"/>
      <c r="K113" s="4241">
        <f>J112&amp;".1"</f>
      </c>
      <c r="L113" s="4242" t="s">
        <v>469</v>
      </c>
      <c r="M113" s="4135"/>
      <c r="N113" s="4135"/>
      <c r="O113" s="4135"/>
      <c r="P113" s="4244"/>
      <c r="Q113" s="4244"/>
      <c r="R113" s="4246">
        <v>1</v>
      </c>
      <c r="S113" s="4247">
        <f>$K113</f>
      </c>
      <c r="T113" s="4253" t="s">
        <v>508</v>
      </c>
      <c r="U113" s="4249"/>
      <c r="V113" s="3978"/>
      <c r="W113" s="3979"/>
      <c r="X113" s="3978"/>
      <c r="Y113" s="3980"/>
      <c r="Z113" s="3981"/>
      <c r="AA113" s="3365" t="s">
        <v>64</v>
      </c>
      <c r="AB113" s="3981"/>
      <c r="AC113" s="3365" t="s">
        <v>64</v>
      </c>
      <c r="AD113" s="3978">
        <v>365</v>
      </c>
      <c r="AE113" s="3979"/>
      <c r="AF113" s="3978"/>
      <c r="AG113" s="3980"/>
      <c r="AH113" s="3981">
        <v>45292</v>
      </c>
      <c r="AI113" s="3365" t="s">
        <v>64</v>
      </c>
      <c r="AJ113" s="3981">
        <v>45473</v>
      </c>
      <c r="AK113" s="3365" t="s">
        <v>64</v>
      </c>
      <c r="AL113" s="3978">
        <v>399.63</v>
      </c>
      <c r="AM113" s="3979"/>
      <c r="AN113" s="3978"/>
      <c r="AO113" s="3980"/>
      <c r="AP113" s="3981">
        <v>45474</v>
      </c>
      <c r="AQ113" s="3365" t="s">
        <v>64</v>
      </c>
      <c r="AR113" s="3981">
        <v>45657</v>
      </c>
      <c r="AS113" s="3365" t="s">
        <v>64</v>
      </c>
      <c r="AT113" s="3978">
        <v>399.63</v>
      </c>
      <c r="AU113" s="3979"/>
      <c r="AV113" s="3978"/>
      <c r="AW113" s="3980"/>
      <c r="AX113" s="3981">
        <v>45658</v>
      </c>
      <c r="AY113" s="3365" t="s">
        <v>64</v>
      </c>
      <c r="AZ113" s="3981">
        <v>45838</v>
      </c>
      <c r="BA113" s="3365" t="s">
        <v>64</v>
      </c>
      <c r="BB113" s="3978">
        <v>448.38</v>
      </c>
      <c r="BC113" s="3979"/>
      <c r="BD113" s="3978"/>
      <c r="BE113" s="3980"/>
      <c r="BF113" s="3981">
        <v>45839</v>
      </c>
      <c r="BG113" s="3365" t="s">
        <v>64</v>
      </c>
      <c r="BH113" s="3981">
        <v>46022</v>
      </c>
      <c r="BI113" s="3365" t="s">
        <v>64</v>
      </c>
      <c r="BJ113" s="3978">
        <v>437.15</v>
      </c>
      <c r="BK113" s="3979"/>
      <c r="BL113" s="3978"/>
      <c r="BM113" s="3980"/>
      <c r="BN113" s="3981">
        <v>46023</v>
      </c>
      <c r="BO113" s="3365" t="s">
        <v>64</v>
      </c>
      <c r="BP113" s="3981">
        <v>46203</v>
      </c>
      <c r="BQ113" s="3365" t="s">
        <v>64</v>
      </c>
      <c r="BR113" s="3978">
        <v>477.14</v>
      </c>
      <c r="BS113" s="3979"/>
      <c r="BT113" s="3978"/>
      <c r="BU113" s="3980"/>
      <c r="BV113" s="3981">
        <v>46204</v>
      </c>
      <c r="BW113" s="3365" t="s">
        <v>64</v>
      </c>
      <c r="BX113" s="3981">
        <v>46387</v>
      </c>
      <c r="BY113" s="3365" t="s">
        <v>64</v>
      </c>
      <c r="BZ113" s="3978">
        <v>477.14</v>
      </c>
      <c r="CA113" s="3979"/>
      <c r="CB113" s="3978"/>
      <c r="CC113" s="3980"/>
      <c r="CD113" s="3981">
        <v>46388</v>
      </c>
      <c r="CE113" s="3365" t="s">
        <v>64</v>
      </c>
      <c r="CF113" s="3981">
        <v>46568</v>
      </c>
      <c r="CG113" s="3365" t="s">
        <v>64</v>
      </c>
      <c r="CH113" s="3978">
        <v>496.69</v>
      </c>
      <c r="CI113" s="3979"/>
      <c r="CJ113" s="3978"/>
      <c r="CK113" s="3980"/>
      <c r="CL113" s="3981">
        <v>46569</v>
      </c>
      <c r="CM113" s="3365" t="s">
        <v>64</v>
      </c>
      <c r="CN113" s="3981">
        <v>46752</v>
      </c>
      <c r="CO113" s="3365" t="s">
        <v>64</v>
      </c>
      <c r="CP113" s="3978">
        <v>496.69</v>
      </c>
      <c r="CQ113" s="3979"/>
      <c r="CR113" s="3978"/>
      <c r="CS113" s="3980"/>
      <c r="CT113" s="3981">
        <v>46753</v>
      </c>
      <c r="CU113" s="3365" t="s">
        <v>64</v>
      </c>
      <c r="CV113" s="3981">
        <v>46934</v>
      </c>
      <c r="CW113" s="3365" t="s">
        <v>64</v>
      </c>
      <c r="CX113" s="3978">
        <v>500.7</v>
      </c>
      <c r="CY113" s="3979"/>
      <c r="CZ113" s="3978"/>
      <c r="DA113" s="3980"/>
      <c r="DB113" s="3981">
        <v>46935</v>
      </c>
      <c r="DC113" s="3365" t="s">
        <v>64</v>
      </c>
      <c r="DD113" s="3981">
        <v>47118</v>
      </c>
      <c r="DE113" s="3365" t="s">
        <v>64</v>
      </c>
      <c r="DF113" s="3979"/>
      <c r="DG113" s="4254" t="s">
        <v>470</v>
      </c>
      <c r="DH113" s="4143">
        <f>STRCHECKDATE(V114:DF114)</f>
      </c>
      <c r="DI113" s="4251"/>
      <c r="DJ113" s="4251" t="str">
        <f>IF(T113="","",T113)</f>
        <v>вода</v>
      </c>
      <c r="DK113" s="4251"/>
      <c r="DL113" s="4251"/>
      <c r="DM113" s="3961">
        <v>0</v>
      </c>
    </row>
    <row s="32935" customFormat="1" customHeight="1" ht="0.75">
      <c r="A114" s="4238"/>
      <c r="B114" s="4238"/>
      <c r="C114" s="4238"/>
      <c r="D114" s="4238"/>
      <c r="E114" s="4239"/>
      <c r="F114" s="4239" t="s">
        <v>94</v>
      </c>
      <c r="G114" s="4239"/>
      <c r="H114" s="4239"/>
      <c r="I114" s="4240"/>
      <c r="J114" s="4240"/>
      <c r="K114" s="4241"/>
      <c r="L114" s="4242"/>
      <c r="M114" s="4135"/>
      <c r="N114" s="4135"/>
      <c r="O114" s="4135"/>
      <c r="P114" s="4244"/>
      <c r="Q114" s="4244"/>
      <c r="R114" s="4246"/>
      <c r="S114" s="4256"/>
      <c r="T114" s="4249"/>
      <c r="U114" s="4249"/>
      <c r="V114" s="3979"/>
      <c r="W114" s="3979"/>
      <c r="X114" s="3979"/>
      <c r="Y114" s="3982" t="str">
        <f>Z113&amp;"-"&amp;AB113</f>
        <v>-</v>
      </c>
      <c r="Z114" s="3983"/>
      <c r="AA114" s="3365"/>
      <c r="AB114" s="3983"/>
      <c r="AC114" s="3365"/>
      <c r="AD114" s="3979"/>
      <c r="AE114" s="3979"/>
      <c r="AF114" s="3979"/>
      <c r="AG114" s="3982" t="str">
        <f>AH113&amp;"-"&amp;AJ113</f>
        <v>45292-45473</v>
      </c>
      <c r="AH114" s="3983"/>
      <c r="AI114" s="3365"/>
      <c r="AJ114" s="3983"/>
      <c r="AK114" s="3365"/>
      <c r="AL114" s="3979"/>
      <c r="AM114" s="3979"/>
      <c r="AN114" s="3979"/>
      <c r="AO114" s="3982" t="str">
        <f>AP113&amp;"-"&amp;AR113</f>
        <v>45474-45657</v>
      </c>
      <c r="AP114" s="3983"/>
      <c r="AQ114" s="3365"/>
      <c r="AR114" s="3983"/>
      <c r="AS114" s="3365"/>
      <c r="AT114" s="3979"/>
      <c r="AU114" s="3979"/>
      <c r="AV114" s="3979"/>
      <c r="AW114" s="3982" t="str">
        <f>AX113&amp;"-"&amp;AZ113</f>
        <v>45658-45838</v>
      </c>
      <c r="AX114" s="3983"/>
      <c r="AY114" s="3365"/>
      <c r="AZ114" s="3983"/>
      <c r="BA114" s="3365"/>
      <c r="BB114" s="3979"/>
      <c r="BC114" s="3979"/>
      <c r="BD114" s="3979"/>
      <c r="BE114" s="3982" t="str">
        <f>BF113&amp;"-"&amp;BH113</f>
        <v>45839-46022</v>
      </c>
      <c r="BF114" s="3983"/>
      <c r="BG114" s="3365"/>
      <c r="BH114" s="3983"/>
      <c r="BI114" s="3365"/>
      <c r="BJ114" s="3979"/>
      <c r="BK114" s="3979"/>
      <c r="BL114" s="3979"/>
      <c r="BM114" s="3982" t="str">
        <f>BN113&amp;"-"&amp;BP113</f>
        <v>46023-46203</v>
      </c>
      <c r="BN114" s="3983"/>
      <c r="BO114" s="3365"/>
      <c r="BP114" s="3983"/>
      <c r="BQ114" s="3365"/>
      <c r="BR114" s="3979"/>
      <c r="BS114" s="3979"/>
      <c r="BT114" s="3979"/>
      <c r="BU114" s="3982" t="str">
        <f>BV113&amp;"-"&amp;BX113</f>
        <v>46204-46387</v>
      </c>
      <c r="BV114" s="3983"/>
      <c r="BW114" s="3365"/>
      <c r="BX114" s="3983"/>
      <c r="BY114" s="3365"/>
      <c r="BZ114" s="3979"/>
      <c r="CA114" s="3979"/>
      <c r="CB114" s="3979"/>
      <c r="CC114" s="3982" t="str">
        <f>CD113&amp;"-"&amp;CF113</f>
        <v>46388-46568</v>
      </c>
      <c r="CD114" s="3983"/>
      <c r="CE114" s="3365"/>
      <c r="CF114" s="3983"/>
      <c r="CG114" s="3365"/>
      <c r="CH114" s="3979"/>
      <c r="CI114" s="3979"/>
      <c r="CJ114" s="3979"/>
      <c r="CK114" s="3982" t="str">
        <f>CL113&amp;"-"&amp;CN113</f>
        <v>46569-46752</v>
      </c>
      <c r="CL114" s="3983"/>
      <c r="CM114" s="3365"/>
      <c r="CN114" s="3983"/>
      <c r="CO114" s="3365"/>
      <c r="CP114" s="3979"/>
      <c r="CQ114" s="3979"/>
      <c r="CR114" s="3979"/>
      <c r="CS114" s="3982" t="str">
        <f>CT113&amp;"-"&amp;CV113</f>
        <v>46753-46934</v>
      </c>
      <c r="CT114" s="3983"/>
      <c r="CU114" s="3365"/>
      <c r="CV114" s="3983"/>
      <c r="CW114" s="3365"/>
      <c r="CX114" s="3979"/>
      <c r="CY114" s="3979"/>
      <c r="CZ114" s="3979"/>
      <c r="DA114" s="3982" t="str">
        <f>DB113&amp;"-"&amp;DD113</f>
        <v>46935-47118</v>
      </c>
      <c r="DB114" s="3983"/>
      <c r="DC114" s="3365"/>
      <c r="DD114" s="3983"/>
      <c r="DE114" s="3365"/>
      <c r="DF114" s="3979"/>
      <c r="DG114" s="4257"/>
      <c r="DH114" s="4143"/>
      <c r="DI114" s="4251"/>
      <c r="DJ114" s="4251" t="str">
        <f>IF(T114="","",T114)</f>
        <v/>
      </c>
      <c r="DK114" s="4251"/>
      <c r="DL114" s="4251"/>
      <c r="DM114" s="3961">
        <v>0</v>
      </c>
    </row>
    <row s="32936" customFormat="1" customHeight="1" ht="15">
      <c r="A115" s="4238"/>
      <c r="B115" s="4238"/>
      <c r="C115" s="4238"/>
      <c r="D115" s="4238"/>
      <c r="E115" s="4239"/>
      <c r="F115" s="4239" t="s">
        <v>94</v>
      </c>
      <c r="G115" s="4239"/>
      <c r="H115" s="4239"/>
      <c r="I115" s="4240"/>
      <c r="J115" s="4241"/>
      <c r="K115" s="4238"/>
      <c r="L115" s="4242"/>
      <c r="M115" s="4135"/>
      <c r="N115" s="4135"/>
      <c r="O115" s="4243"/>
      <c r="P115" s="4244"/>
      <c r="Q115" s="4244"/>
      <c r="R115" s="4259"/>
      <c r="S115" s="5341"/>
      <c r="T115" s="5342" t="s">
        <v>471</v>
      </c>
      <c r="U115" s="5343"/>
      <c r="V115" s="5344"/>
      <c r="W115" s="5345"/>
      <c r="X115" s="5346"/>
      <c r="Y115" s="5347"/>
      <c r="Z115" s="5348"/>
      <c r="AA115" s="5349"/>
      <c r="AB115" s="5350"/>
      <c r="AC115" s="5351"/>
      <c r="AD115" s="5352"/>
      <c r="AE115" s="5353"/>
      <c r="AF115" s="5354"/>
      <c r="AG115" s="5355"/>
      <c r="AH115" s="5356"/>
      <c r="AI115" s="5357"/>
      <c r="AJ115" s="5358"/>
      <c r="AK115" s="5359"/>
      <c r="AL115" s="5360"/>
      <c r="AM115" s="5361"/>
      <c r="AN115" s="5362"/>
      <c r="AO115" s="5363"/>
      <c r="AP115" s="5364"/>
      <c r="AQ115" s="5365"/>
      <c r="AR115" s="5366"/>
      <c r="AS115" s="5367"/>
      <c r="AT115" s="5368"/>
      <c r="AU115" s="5369"/>
      <c r="AV115" s="5370"/>
      <c r="AW115" s="5371"/>
      <c r="AX115" s="5372"/>
      <c r="AY115" s="5373"/>
      <c r="AZ115" s="5374"/>
      <c r="BA115" s="5375"/>
      <c r="BB115" s="5376"/>
      <c r="BC115" s="5377"/>
      <c r="BD115" s="5378"/>
      <c r="BE115" s="5379"/>
      <c r="BF115" s="5380"/>
      <c r="BG115" s="5381"/>
      <c r="BH115" s="5382"/>
      <c r="BI115" s="5383"/>
      <c r="BJ115" s="5384"/>
      <c r="BK115" s="5385"/>
      <c r="BL115" s="5386"/>
      <c r="BM115" s="5387"/>
      <c r="BN115" s="5388"/>
      <c r="BO115" s="5389"/>
      <c r="BP115" s="5390"/>
      <c r="BQ115" s="5391"/>
      <c r="BR115" s="5392"/>
      <c r="BS115" s="5393"/>
      <c r="BT115" s="5394"/>
      <c r="BU115" s="5395"/>
      <c r="BV115" s="5396"/>
      <c r="BW115" s="5397"/>
      <c r="BX115" s="5398"/>
      <c r="BY115" s="5399"/>
      <c r="BZ115" s="5400"/>
      <c r="CA115" s="5401"/>
      <c r="CB115" s="5402"/>
      <c r="CC115" s="5403"/>
      <c r="CD115" s="5404"/>
      <c r="CE115" s="5405"/>
      <c r="CF115" s="5406"/>
      <c r="CG115" s="5407"/>
      <c r="CH115" s="5408"/>
      <c r="CI115" s="5409"/>
      <c r="CJ115" s="5410"/>
      <c r="CK115" s="5411"/>
      <c r="CL115" s="5412"/>
      <c r="CM115" s="5413"/>
      <c r="CN115" s="5414"/>
      <c r="CO115" s="5415"/>
      <c r="CP115" s="5416"/>
      <c r="CQ115" s="5417"/>
      <c r="CR115" s="5418"/>
      <c r="CS115" s="5419"/>
      <c r="CT115" s="5420"/>
      <c r="CU115" s="5421"/>
      <c r="CV115" s="5422"/>
      <c r="CW115" s="5423"/>
      <c r="CX115" s="5424"/>
      <c r="CY115" s="5425"/>
      <c r="CZ115" s="5426"/>
      <c r="DA115" s="5427"/>
      <c r="DB115" s="5428"/>
      <c r="DC115" s="5429"/>
      <c r="DD115" s="5430"/>
      <c r="DE115" s="5431"/>
      <c r="DF115" s="5432"/>
      <c r="DG115" s="4352"/>
      <c r="DH115" s="4143"/>
      <c r="DI115" s="4251"/>
      <c r="DJ115" s="4251" t="str">
        <f>IF(T115="","",T115)</f>
        <v>Добавить вид теплоносителя (параметры теплоносителя)</v>
      </c>
      <c r="DK115" s="4251"/>
      <c r="DL115" s="4251"/>
      <c r="DM115" s="3961">
        <v>0</v>
      </c>
    </row>
    <row s="33029" customFormat="1" customHeight="1" ht="21">
      <c r="A116" s="4238"/>
      <c r="B116" s="4238"/>
      <c r="C116" s="4238"/>
      <c r="D116" s="4238"/>
      <c r="E116" s="4239"/>
      <c r="F116" s="4239"/>
      <c r="G116" s="4239"/>
      <c r="H116" s="4239"/>
      <c r="I116" s="4240"/>
      <c r="J116" s="4241">
        <f>I111&amp;".2"</f>
      </c>
      <c r="K116" s="4238"/>
      <c r="L116" s="4242" t="s">
        <v>466</v>
      </c>
      <c r="M116" s="4135"/>
      <c r="N116" s="4135"/>
      <c r="O116" s="4243"/>
      <c r="P116" s="4244"/>
      <c r="Q116" s="4245" t="s">
        <v>106</v>
      </c>
      <c r="R116" s="4246"/>
      <c r="S116" s="4247">
        <f>$J116</f>
      </c>
      <c r="T116" s="4248" t="s">
        <v>467</v>
      </c>
      <c r="U116" s="4249"/>
      <c r="V116" s="3975"/>
      <c r="W116" s="3976"/>
      <c r="X116" s="3976"/>
      <c r="Y116" s="3976"/>
      <c r="Z116" s="3976"/>
      <c r="AA116" s="3976"/>
      <c r="AB116" s="3976"/>
      <c r="AC116" s="3977"/>
      <c r="AD116" s="3975" t="s">
        <v>510</v>
      </c>
      <c r="AE116" s="3976"/>
      <c r="AF116" s="3976"/>
      <c r="AG116" s="3976"/>
      <c r="AH116" s="3976"/>
      <c r="AI116" s="3976"/>
      <c r="AJ116" s="3976"/>
      <c r="AK116" s="3976"/>
      <c r="AL116" s="3975"/>
      <c r="AM116" s="3976"/>
      <c r="AN116" s="3976"/>
      <c r="AO116" s="3976"/>
      <c r="AP116" s="3976"/>
      <c r="AQ116" s="3976"/>
      <c r="AR116" s="3976"/>
      <c r="AS116" s="3977"/>
      <c r="AT116" s="3975"/>
      <c r="AU116" s="3976"/>
      <c r="AV116" s="3976"/>
      <c r="AW116" s="3976"/>
      <c r="AX116" s="3976"/>
      <c r="AY116" s="3976"/>
      <c r="AZ116" s="3976"/>
      <c r="BA116" s="3977"/>
      <c r="BB116" s="3975"/>
      <c r="BC116" s="3976"/>
      <c r="BD116" s="3976"/>
      <c r="BE116" s="3976"/>
      <c r="BF116" s="3976"/>
      <c r="BG116" s="3976"/>
      <c r="BH116" s="3976"/>
      <c r="BI116" s="3977"/>
      <c r="BJ116" s="3975"/>
      <c r="BK116" s="3976"/>
      <c r="BL116" s="3976"/>
      <c r="BM116" s="3976"/>
      <c r="BN116" s="3976"/>
      <c r="BO116" s="3976"/>
      <c r="BP116" s="3976"/>
      <c r="BQ116" s="3977"/>
      <c r="BR116" s="3975"/>
      <c r="BS116" s="3976"/>
      <c r="BT116" s="3976"/>
      <c r="BU116" s="3976"/>
      <c r="BV116" s="3976"/>
      <c r="BW116" s="3976"/>
      <c r="BX116" s="3976"/>
      <c r="BY116" s="3977"/>
      <c r="BZ116" s="3975"/>
      <c r="CA116" s="3976"/>
      <c r="CB116" s="3976"/>
      <c r="CC116" s="3976"/>
      <c r="CD116" s="3976"/>
      <c r="CE116" s="3976"/>
      <c r="CF116" s="3976"/>
      <c r="CG116" s="3977"/>
      <c r="CH116" s="3975"/>
      <c r="CI116" s="3976"/>
      <c r="CJ116" s="3976"/>
      <c r="CK116" s="3976"/>
      <c r="CL116" s="3976"/>
      <c r="CM116" s="3976"/>
      <c r="CN116" s="3976"/>
      <c r="CO116" s="3977"/>
      <c r="CP116" s="3975"/>
      <c r="CQ116" s="3976"/>
      <c r="CR116" s="3976"/>
      <c r="CS116" s="3976"/>
      <c r="CT116" s="3976"/>
      <c r="CU116" s="3976"/>
      <c r="CV116" s="3976"/>
      <c r="CW116" s="3977"/>
      <c r="CX116" s="3975"/>
      <c r="CY116" s="3976"/>
      <c r="CZ116" s="3976"/>
      <c r="DA116" s="3976"/>
      <c r="DB116" s="3976"/>
      <c r="DC116" s="3976"/>
      <c r="DD116" s="3976"/>
      <c r="DE116" s="3977"/>
      <c r="DF116" s="3977"/>
      <c r="DG116" s="4250" t="s">
        <v>468</v>
      </c>
      <c r="DH116" s="4143"/>
      <c r="DI116" s="4251"/>
      <c r="DJ116" s="4251" t="str">
        <f>IF(T116="","",T116)</f>
        <v>Группа потребителей</v>
      </c>
      <c r="DK116" s="4251"/>
      <c r="DL116" s="4251"/>
      <c r="DM116" s="3961">
        <v>0</v>
      </c>
    </row>
    <row s="33030" customFormat="1" customHeight="1" ht="21">
      <c r="A117" s="4238"/>
      <c r="B117" s="4238"/>
      <c r="C117" s="4238"/>
      <c r="D117" s="4238"/>
      <c r="E117" s="4239"/>
      <c r="F117" s="4239"/>
      <c r="G117" s="4239"/>
      <c r="H117" s="4239"/>
      <c r="I117" s="4240"/>
      <c r="J117" s="4240">
        <f>I111&amp;".1"</f>
      </c>
      <c r="K117" s="4241">
        <f>J116&amp;".1"</f>
      </c>
      <c r="L117" s="4242" t="s">
        <v>469</v>
      </c>
      <c r="M117" s="4135"/>
      <c r="N117" s="4135"/>
      <c r="O117" s="4135"/>
      <c r="P117" s="4244"/>
      <c r="Q117" s="4244"/>
      <c r="R117" s="4246">
        <v>1</v>
      </c>
      <c r="S117" s="4247">
        <f>$K117</f>
      </c>
      <c r="T117" s="4253" t="s">
        <v>508</v>
      </c>
      <c r="U117" s="4249"/>
      <c r="V117" s="3978"/>
      <c r="W117" s="3979"/>
      <c r="X117" s="3978"/>
      <c r="Y117" s="3980"/>
      <c r="Z117" s="3981"/>
      <c r="AA117" s="3365" t="s">
        <v>64</v>
      </c>
      <c r="AB117" s="3981"/>
      <c r="AC117" s="3365" t="s">
        <v>64</v>
      </c>
      <c r="AD117" s="3978">
        <v>438</v>
      </c>
      <c r="AE117" s="3979"/>
      <c r="AF117" s="3978"/>
      <c r="AG117" s="3980"/>
      <c r="AH117" s="3981">
        <v>45292</v>
      </c>
      <c r="AI117" s="3365" t="s">
        <v>64</v>
      </c>
      <c r="AJ117" s="3981">
        <v>45473</v>
      </c>
      <c r="AK117" s="3365" t="s">
        <v>64</v>
      </c>
      <c r="AL117" s="3978">
        <v>479.56</v>
      </c>
      <c r="AM117" s="3979"/>
      <c r="AN117" s="3978"/>
      <c r="AO117" s="3980"/>
      <c r="AP117" s="3981">
        <v>45474</v>
      </c>
      <c r="AQ117" s="3365" t="s">
        <v>64</v>
      </c>
      <c r="AR117" s="3981">
        <v>45657</v>
      </c>
      <c r="AS117" s="3365" t="s">
        <v>64</v>
      </c>
      <c r="AT117" s="3978">
        <v>479.56</v>
      </c>
      <c r="AU117" s="3979"/>
      <c r="AV117" s="3978"/>
      <c r="AW117" s="3980"/>
      <c r="AX117" s="3981">
        <v>45658</v>
      </c>
      <c r="AY117" s="3365" t="s">
        <v>64</v>
      </c>
      <c r="AZ117" s="3981">
        <v>45838</v>
      </c>
      <c r="BA117" s="3365" t="s">
        <v>64</v>
      </c>
      <c r="BB117" s="3978">
        <v>538.06</v>
      </c>
      <c r="BC117" s="3979"/>
      <c r="BD117" s="3978"/>
      <c r="BE117" s="3980"/>
      <c r="BF117" s="3981">
        <v>45839</v>
      </c>
      <c r="BG117" s="3365" t="s">
        <v>64</v>
      </c>
      <c r="BH117" s="3981">
        <v>46022</v>
      </c>
      <c r="BI117" s="3365" t="s">
        <v>64</v>
      </c>
      <c r="BJ117" s="3978">
        <v>524.58</v>
      </c>
      <c r="BK117" s="3979"/>
      <c r="BL117" s="3978"/>
      <c r="BM117" s="3980"/>
      <c r="BN117" s="3981">
        <v>46023</v>
      </c>
      <c r="BO117" s="3365" t="s">
        <v>64</v>
      </c>
      <c r="BP117" s="3981">
        <v>46203</v>
      </c>
      <c r="BQ117" s="3365" t="s">
        <v>64</v>
      </c>
      <c r="BR117" s="3978">
        <v>572.56</v>
      </c>
      <c r="BS117" s="3979"/>
      <c r="BT117" s="3978"/>
      <c r="BU117" s="3980"/>
      <c r="BV117" s="3981">
        <v>46204</v>
      </c>
      <c r="BW117" s="3365" t="s">
        <v>64</v>
      </c>
      <c r="BX117" s="3981">
        <v>46387</v>
      </c>
      <c r="BY117" s="3365" t="s">
        <v>64</v>
      </c>
      <c r="BZ117" s="3978">
        <v>572.56</v>
      </c>
      <c r="CA117" s="3979"/>
      <c r="CB117" s="3978"/>
      <c r="CC117" s="3980"/>
      <c r="CD117" s="3981">
        <v>46388</v>
      </c>
      <c r="CE117" s="3365" t="s">
        <v>64</v>
      </c>
      <c r="CF117" s="3981">
        <v>46568</v>
      </c>
      <c r="CG117" s="3365" t="s">
        <v>64</v>
      </c>
      <c r="CH117" s="3978">
        <v>596.03</v>
      </c>
      <c r="CI117" s="3979"/>
      <c r="CJ117" s="3978"/>
      <c r="CK117" s="3980"/>
      <c r="CL117" s="3981">
        <v>46569</v>
      </c>
      <c r="CM117" s="3365" t="s">
        <v>64</v>
      </c>
      <c r="CN117" s="3981">
        <v>46752</v>
      </c>
      <c r="CO117" s="3365" t="s">
        <v>64</v>
      </c>
      <c r="CP117" s="3978">
        <v>596.03</v>
      </c>
      <c r="CQ117" s="3979"/>
      <c r="CR117" s="3978"/>
      <c r="CS117" s="3980"/>
      <c r="CT117" s="3981">
        <v>46753</v>
      </c>
      <c r="CU117" s="3365" t="s">
        <v>64</v>
      </c>
      <c r="CV117" s="3981">
        <v>46934</v>
      </c>
      <c r="CW117" s="3365" t="s">
        <v>64</v>
      </c>
      <c r="CX117" s="3978">
        <v>600.84</v>
      </c>
      <c r="CY117" s="3979"/>
      <c r="CZ117" s="3978"/>
      <c r="DA117" s="3980"/>
      <c r="DB117" s="3981">
        <v>46935</v>
      </c>
      <c r="DC117" s="3365" t="s">
        <v>64</v>
      </c>
      <c r="DD117" s="3981">
        <v>47118</v>
      </c>
      <c r="DE117" s="3365" t="s">
        <v>64</v>
      </c>
      <c r="DF117" s="3979"/>
      <c r="DG117" s="4254" t="s">
        <v>470</v>
      </c>
      <c r="DH117" s="4143">
        <f>STRCHECKDATE(V118:DF118)</f>
      </c>
      <c r="DI117" s="4251"/>
      <c r="DJ117" s="4251" t="str">
        <f>IF(T117="","",T117)</f>
        <v>вода</v>
      </c>
      <c r="DK117" s="4251"/>
      <c r="DL117" s="4251"/>
      <c r="DM117" s="3961">
        <v>0</v>
      </c>
    </row>
    <row s="33031" customFormat="1" customHeight="1" ht="0.75">
      <c r="A118" s="4238"/>
      <c r="B118" s="4238"/>
      <c r="C118" s="4238"/>
      <c r="D118" s="4238"/>
      <c r="E118" s="4239"/>
      <c r="F118" s="4239"/>
      <c r="G118" s="4239"/>
      <c r="H118" s="4239"/>
      <c r="I118" s="4240"/>
      <c r="J118" s="4240">
        <f>I111&amp;".1"</f>
      </c>
      <c r="K118" s="4241"/>
      <c r="L118" s="4242"/>
      <c r="M118" s="4135"/>
      <c r="N118" s="4135"/>
      <c r="O118" s="4135"/>
      <c r="P118" s="4244"/>
      <c r="Q118" s="4244"/>
      <c r="R118" s="4246"/>
      <c r="S118" s="4256"/>
      <c r="T118" s="4249"/>
      <c r="U118" s="4249"/>
      <c r="V118" s="3979"/>
      <c r="W118" s="3979"/>
      <c r="X118" s="3979"/>
      <c r="Y118" s="3982" t="str">
        <f>Z117&amp;"-"&amp;AB117</f>
        <v>-</v>
      </c>
      <c r="Z118" s="3983"/>
      <c r="AA118" s="3365"/>
      <c r="AB118" s="3983"/>
      <c r="AC118" s="3365"/>
      <c r="AD118" s="3979"/>
      <c r="AE118" s="3979"/>
      <c r="AF118" s="3979"/>
      <c r="AG118" s="3982" t="str">
        <f>AH117&amp;"-"&amp;AJ117</f>
        <v>45292-45473</v>
      </c>
      <c r="AH118" s="3983"/>
      <c r="AI118" s="3365"/>
      <c r="AJ118" s="3983"/>
      <c r="AK118" s="3365"/>
      <c r="AL118" s="3979"/>
      <c r="AM118" s="3979"/>
      <c r="AN118" s="3979"/>
      <c r="AO118" s="3982" t="str">
        <f>AP117&amp;"-"&amp;AR117</f>
        <v>45474-45657</v>
      </c>
      <c r="AP118" s="3983"/>
      <c r="AQ118" s="3365"/>
      <c r="AR118" s="3983"/>
      <c r="AS118" s="3365"/>
      <c r="AT118" s="3979"/>
      <c r="AU118" s="3979"/>
      <c r="AV118" s="3979"/>
      <c r="AW118" s="3982" t="str">
        <f>AX117&amp;"-"&amp;AZ117</f>
        <v>45658-45838</v>
      </c>
      <c r="AX118" s="3983"/>
      <c r="AY118" s="3365"/>
      <c r="AZ118" s="3983"/>
      <c r="BA118" s="3365"/>
      <c r="BB118" s="3979"/>
      <c r="BC118" s="3979"/>
      <c r="BD118" s="3979"/>
      <c r="BE118" s="3982" t="str">
        <f>BF117&amp;"-"&amp;BH117</f>
        <v>45839-46022</v>
      </c>
      <c r="BF118" s="3983"/>
      <c r="BG118" s="3365"/>
      <c r="BH118" s="3983"/>
      <c r="BI118" s="3365"/>
      <c r="BJ118" s="3979"/>
      <c r="BK118" s="3979"/>
      <c r="BL118" s="3979"/>
      <c r="BM118" s="3982" t="str">
        <f>BN117&amp;"-"&amp;BP117</f>
        <v>46023-46203</v>
      </c>
      <c r="BN118" s="3983"/>
      <c r="BO118" s="3365"/>
      <c r="BP118" s="3983"/>
      <c r="BQ118" s="3365"/>
      <c r="BR118" s="3979"/>
      <c r="BS118" s="3979"/>
      <c r="BT118" s="3979"/>
      <c r="BU118" s="3982" t="str">
        <f>BV117&amp;"-"&amp;BX117</f>
        <v>46204-46387</v>
      </c>
      <c r="BV118" s="3983"/>
      <c r="BW118" s="3365"/>
      <c r="BX118" s="3983"/>
      <c r="BY118" s="3365"/>
      <c r="BZ118" s="3979"/>
      <c r="CA118" s="3979"/>
      <c r="CB118" s="3979"/>
      <c r="CC118" s="3982" t="str">
        <f>CD117&amp;"-"&amp;CF117</f>
        <v>46388-46568</v>
      </c>
      <c r="CD118" s="3983"/>
      <c r="CE118" s="3365"/>
      <c r="CF118" s="3983"/>
      <c r="CG118" s="3365"/>
      <c r="CH118" s="3979"/>
      <c r="CI118" s="3979"/>
      <c r="CJ118" s="3979"/>
      <c r="CK118" s="3982" t="str">
        <f>CL117&amp;"-"&amp;CN117</f>
        <v>46569-46752</v>
      </c>
      <c r="CL118" s="3983"/>
      <c r="CM118" s="3365"/>
      <c r="CN118" s="3983"/>
      <c r="CO118" s="3365"/>
      <c r="CP118" s="3979"/>
      <c r="CQ118" s="3979"/>
      <c r="CR118" s="3979"/>
      <c r="CS118" s="3982" t="str">
        <f>CT117&amp;"-"&amp;CV117</f>
        <v>46753-46934</v>
      </c>
      <c r="CT118" s="3983"/>
      <c r="CU118" s="3365"/>
      <c r="CV118" s="3983"/>
      <c r="CW118" s="3365"/>
      <c r="CX118" s="3979"/>
      <c r="CY118" s="3979"/>
      <c r="CZ118" s="3979"/>
      <c r="DA118" s="3982" t="str">
        <f>DB117&amp;"-"&amp;DD117</f>
        <v>46935-47118</v>
      </c>
      <c r="DB118" s="3983"/>
      <c r="DC118" s="3365"/>
      <c r="DD118" s="3983"/>
      <c r="DE118" s="3365"/>
      <c r="DF118" s="3979"/>
      <c r="DG118" s="4257"/>
      <c r="DH118" s="4143"/>
      <c r="DI118" s="4251"/>
      <c r="DJ118" s="4251" t="str">
        <f>IF(T118="","",T118)</f>
        <v/>
      </c>
      <c r="DK118" s="4251"/>
      <c r="DL118" s="4251"/>
      <c r="DM118" s="3961">
        <v>0</v>
      </c>
    </row>
    <row s="33032" customFormat="1" customHeight="1" ht="15">
      <c r="A119" s="4238"/>
      <c r="B119" s="4238"/>
      <c r="C119" s="4238"/>
      <c r="D119" s="4238"/>
      <c r="E119" s="4239"/>
      <c r="F119" s="4239"/>
      <c r="G119" s="4239"/>
      <c r="H119" s="4239"/>
      <c r="I119" s="4240"/>
      <c r="J119" s="4241">
        <f>I111&amp;".1"</f>
      </c>
      <c r="K119" s="4238"/>
      <c r="L119" s="4242"/>
      <c r="M119" s="4135"/>
      <c r="N119" s="4135"/>
      <c r="O119" s="4243"/>
      <c r="P119" s="4244"/>
      <c r="Q119" s="4244"/>
      <c r="R119" s="4259"/>
      <c r="S119" s="5437"/>
      <c r="T119" s="5438" t="s">
        <v>471</v>
      </c>
      <c r="U119" s="5439"/>
      <c r="V119" s="5440"/>
      <c r="W119" s="5441"/>
      <c r="X119" s="5442"/>
      <c r="Y119" s="5443"/>
      <c r="Z119" s="5444"/>
      <c r="AA119" s="5445"/>
      <c r="AB119" s="5446"/>
      <c r="AC119" s="5447"/>
      <c r="AD119" s="5448"/>
      <c r="AE119" s="5449"/>
      <c r="AF119" s="5450"/>
      <c r="AG119" s="5451"/>
      <c r="AH119" s="5452"/>
      <c r="AI119" s="5453"/>
      <c r="AJ119" s="5454"/>
      <c r="AK119" s="5455"/>
      <c r="AL119" s="5456"/>
      <c r="AM119" s="5457"/>
      <c r="AN119" s="5458"/>
      <c r="AO119" s="5459"/>
      <c r="AP119" s="5460"/>
      <c r="AQ119" s="5461"/>
      <c r="AR119" s="5462"/>
      <c r="AS119" s="5463"/>
      <c r="AT119" s="5464"/>
      <c r="AU119" s="5465"/>
      <c r="AV119" s="5466"/>
      <c r="AW119" s="5467"/>
      <c r="AX119" s="5468"/>
      <c r="AY119" s="5469"/>
      <c r="AZ119" s="5470"/>
      <c r="BA119" s="5471"/>
      <c r="BB119" s="5472"/>
      <c r="BC119" s="5473"/>
      <c r="BD119" s="5474"/>
      <c r="BE119" s="5475"/>
      <c r="BF119" s="5476"/>
      <c r="BG119" s="5477"/>
      <c r="BH119" s="5478"/>
      <c r="BI119" s="5479"/>
      <c r="BJ119" s="5480"/>
      <c r="BK119" s="5481"/>
      <c r="BL119" s="5482"/>
      <c r="BM119" s="5483"/>
      <c r="BN119" s="5484"/>
      <c r="BO119" s="5485"/>
      <c r="BP119" s="5486"/>
      <c r="BQ119" s="5487"/>
      <c r="BR119" s="5488"/>
      <c r="BS119" s="5489"/>
      <c r="BT119" s="5490"/>
      <c r="BU119" s="5491"/>
      <c r="BV119" s="5492"/>
      <c r="BW119" s="5493"/>
      <c r="BX119" s="5494"/>
      <c r="BY119" s="5495"/>
      <c r="BZ119" s="5496"/>
      <c r="CA119" s="5497"/>
      <c r="CB119" s="5498"/>
      <c r="CC119" s="5499"/>
      <c r="CD119" s="5500"/>
      <c r="CE119" s="5501"/>
      <c r="CF119" s="5502"/>
      <c r="CG119" s="5503"/>
      <c r="CH119" s="5504"/>
      <c r="CI119" s="5505"/>
      <c r="CJ119" s="5506"/>
      <c r="CK119" s="5507"/>
      <c r="CL119" s="5508"/>
      <c r="CM119" s="5509"/>
      <c r="CN119" s="5510"/>
      <c r="CO119" s="5511"/>
      <c r="CP119" s="5512"/>
      <c r="CQ119" s="5513"/>
      <c r="CR119" s="5514"/>
      <c r="CS119" s="5515"/>
      <c r="CT119" s="5516"/>
      <c r="CU119" s="5517"/>
      <c r="CV119" s="5518"/>
      <c r="CW119" s="5519"/>
      <c r="CX119" s="5520"/>
      <c r="CY119" s="5521"/>
      <c r="CZ119" s="5522"/>
      <c r="DA119" s="5523"/>
      <c r="DB119" s="5524"/>
      <c r="DC119" s="5525"/>
      <c r="DD119" s="5526"/>
      <c r="DE119" s="5527"/>
      <c r="DF119" s="5528"/>
      <c r="DG119" s="4352"/>
      <c r="DH119" s="4143"/>
      <c r="DI119" s="4251"/>
      <c r="DJ119" s="4251" t="str">
        <f>IF(T119="","",T119)</f>
        <v>Добавить вид теплоносителя (параметры теплоносителя)</v>
      </c>
      <c r="DK119" s="4251"/>
      <c r="DL119" s="4251"/>
      <c r="DM119" s="3961">
        <v>0</v>
      </c>
    </row>
    <row s="33125" customFormat="1" customHeight="1" ht="15">
      <c r="A120" s="4238"/>
      <c r="B120" s="4238"/>
      <c r="C120" s="4238"/>
      <c r="D120" s="4238"/>
      <c r="E120" s="4239"/>
      <c r="F120" s="4239" t="s">
        <v>94</v>
      </c>
      <c r="G120" s="4239"/>
      <c r="H120" s="4239"/>
      <c r="I120" s="4241"/>
      <c r="J120" s="4238"/>
      <c r="K120" s="4238"/>
      <c r="L120" s="4242"/>
      <c r="M120" s="4135"/>
      <c r="N120" s="4243"/>
      <c r="O120" s="4243"/>
      <c r="P120" s="4244"/>
      <c r="Q120" s="4244"/>
      <c r="R120" s="4259"/>
      <c r="S120" s="5530"/>
      <c r="T120" s="5531" t="s">
        <v>472</v>
      </c>
      <c r="U120" s="5532"/>
      <c r="V120" s="5533"/>
      <c r="W120" s="5534"/>
      <c r="X120" s="5535"/>
      <c r="Y120" s="5536"/>
      <c r="Z120" s="5537"/>
      <c r="AA120" s="5538"/>
      <c r="AB120" s="5539"/>
      <c r="AC120" s="5540"/>
      <c r="AD120" s="5541"/>
      <c r="AE120" s="5542"/>
      <c r="AF120" s="5543"/>
      <c r="AG120" s="5544"/>
      <c r="AH120" s="5545"/>
      <c r="AI120" s="5546"/>
      <c r="AJ120" s="5547"/>
      <c r="AK120" s="5548"/>
      <c r="AL120" s="5549"/>
      <c r="AM120" s="5550"/>
      <c r="AN120" s="5551"/>
      <c r="AO120" s="5552"/>
      <c r="AP120" s="5553"/>
      <c r="AQ120" s="5554"/>
      <c r="AR120" s="5555"/>
      <c r="AS120" s="5556"/>
      <c r="AT120" s="5557"/>
      <c r="AU120" s="5558"/>
      <c r="AV120" s="5559"/>
      <c r="AW120" s="5560"/>
      <c r="AX120" s="5561"/>
      <c r="AY120" s="5562"/>
      <c r="AZ120" s="5563"/>
      <c r="BA120" s="5564"/>
      <c r="BB120" s="5565"/>
      <c r="BC120" s="5566"/>
      <c r="BD120" s="5567"/>
      <c r="BE120" s="5568"/>
      <c r="BF120" s="5569"/>
      <c r="BG120" s="5570"/>
      <c r="BH120" s="5571"/>
      <c r="BI120" s="5572"/>
      <c r="BJ120" s="5573"/>
      <c r="BK120" s="5574"/>
      <c r="BL120" s="5575"/>
      <c r="BM120" s="5576"/>
      <c r="BN120" s="5577"/>
      <c r="BO120" s="5578"/>
      <c r="BP120" s="5579"/>
      <c r="BQ120" s="5580"/>
      <c r="BR120" s="5581"/>
      <c r="BS120" s="5582"/>
      <c r="BT120" s="5583"/>
      <c r="BU120" s="5584"/>
      <c r="BV120" s="5585"/>
      <c r="BW120" s="5586"/>
      <c r="BX120" s="5587"/>
      <c r="BY120" s="5588"/>
      <c r="BZ120" s="5589"/>
      <c r="CA120" s="5590"/>
      <c r="CB120" s="5591"/>
      <c r="CC120" s="5592"/>
      <c r="CD120" s="5593"/>
      <c r="CE120" s="5594"/>
      <c r="CF120" s="5595"/>
      <c r="CG120" s="5596"/>
      <c r="CH120" s="5597"/>
      <c r="CI120" s="5598"/>
      <c r="CJ120" s="5599"/>
      <c r="CK120" s="5600"/>
      <c r="CL120" s="5601"/>
      <c r="CM120" s="5602"/>
      <c r="CN120" s="5603"/>
      <c r="CO120" s="5604"/>
      <c r="CP120" s="5605"/>
      <c r="CQ120" s="5606"/>
      <c r="CR120" s="5607"/>
      <c r="CS120" s="5608"/>
      <c r="CT120" s="5609"/>
      <c r="CU120" s="5610"/>
      <c r="CV120" s="5611"/>
      <c r="CW120" s="5612"/>
      <c r="CX120" s="5613"/>
      <c r="CY120" s="5614"/>
      <c r="CZ120" s="5615"/>
      <c r="DA120" s="5616"/>
      <c r="DB120" s="5617"/>
      <c r="DC120" s="5618"/>
      <c r="DD120" s="5619"/>
      <c r="DE120" s="5620"/>
      <c r="DF120" s="5621"/>
      <c r="DG120" s="5622"/>
      <c r="DH120" s="4143"/>
      <c r="DI120" s="4251"/>
      <c r="DJ120" s="4251" t="str">
        <f>IF(T120="","",T120)</f>
        <v>Добавить группу потребителей</v>
      </c>
      <c r="DK120" s="4251"/>
      <c r="DL120" s="4251"/>
      <c r="DM120" s="3961">
        <v>0</v>
      </c>
    </row>
    <row s="33219" customFormat="1" customHeight="1" ht="14.25">
      <c r="A121" s="4238"/>
      <c r="B121" s="4238"/>
      <c r="C121" s="4238"/>
      <c r="D121" s="4238"/>
      <c r="E121" s="4239"/>
      <c r="F121" s="4239" t="s">
        <v>94</v>
      </c>
      <c r="G121" s="4239"/>
      <c r="H121" s="4426"/>
      <c r="I121" s="4238"/>
      <c r="J121" s="4238"/>
      <c r="K121" s="4238"/>
      <c r="L121" s="4242"/>
      <c r="M121" s="4427"/>
      <c r="N121" s="4427"/>
      <c r="O121" s="4135"/>
      <c r="P121" s="4729"/>
      <c r="Q121" s="4730"/>
      <c r="R121" s="4731"/>
      <c r="S121" s="4732"/>
      <c r="T121" s="4733"/>
      <c r="U121" s="4131"/>
      <c r="V121" s="4131"/>
      <c r="W121" s="4131"/>
      <c r="X121" s="4131"/>
      <c r="Y121" s="4131"/>
      <c r="Z121" s="4131"/>
      <c r="AA121" s="4131"/>
      <c r="AB121" s="4131"/>
      <c r="AC121" s="4131"/>
      <c r="AD121" s="4131"/>
      <c r="AE121" s="4131"/>
      <c r="AF121" s="4131"/>
      <c r="AG121" s="4131"/>
      <c r="AH121" s="4131"/>
      <c r="AI121" s="4131"/>
      <c r="AJ121" s="4131"/>
      <c r="AK121" s="4131"/>
      <c r="AL121" s="4131"/>
      <c r="AM121" s="4131"/>
      <c r="AN121" s="4131"/>
      <c r="AO121" s="4131"/>
      <c r="AP121" s="4131"/>
      <c r="AQ121" s="4131"/>
      <c r="AR121" s="4131"/>
      <c r="AS121" s="4131"/>
      <c r="AT121" s="4131"/>
      <c r="AU121" s="4131"/>
      <c r="AV121" s="4131"/>
      <c r="AW121" s="4131"/>
      <c r="AX121" s="4131"/>
      <c r="AY121" s="4131"/>
      <c r="AZ121" s="4131"/>
      <c r="BA121" s="4131"/>
      <c r="BB121" s="4131"/>
      <c r="BC121" s="4131"/>
      <c r="BD121" s="4131"/>
      <c r="BE121" s="4131"/>
      <c r="BF121" s="4131"/>
      <c r="BG121" s="4131"/>
      <c r="BH121" s="4131"/>
      <c r="BI121" s="4131"/>
      <c r="BJ121" s="4131"/>
      <c r="BK121" s="4131"/>
      <c r="BL121" s="4131"/>
      <c r="BM121" s="4131"/>
      <c r="BN121" s="4131"/>
      <c r="BO121" s="4131"/>
      <c r="BP121" s="4131"/>
      <c r="BQ121" s="4131"/>
      <c r="BR121" s="4131"/>
      <c r="BS121" s="4131"/>
      <c r="BT121" s="4131"/>
      <c r="BU121" s="4131"/>
      <c r="BV121" s="4131"/>
      <c r="BW121" s="4131"/>
      <c r="BX121" s="4131"/>
      <c r="BY121" s="4131"/>
      <c r="BZ121" s="4131"/>
      <c r="CA121" s="4131"/>
      <c r="CB121" s="4131"/>
      <c r="CC121" s="4131"/>
      <c r="CD121" s="4131"/>
      <c r="CE121" s="4131"/>
      <c r="CF121" s="4131"/>
      <c r="CG121" s="4131"/>
      <c r="CH121" s="4131"/>
      <c r="CI121" s="4131"/>
      <c r="CJ121" s="4131"/>
      <c r="CK121" s="4131"/>
      <c r="CL121" s="4131"/>
      <c r="CM121" s="4131"/>
      <c r="CN121" s="4131"/>
      <c r="CO121" s="4131"/>
      <c r="CP121" s="4131"/>
      <c r="CQ121" s="4131"/>
      <c r="CR121" s="4131"/>
      <c r="CS121" s="4131"/>
      <c r="CT121" s="4131"/>
      <c r="CU121" s="4131"/>
      <c r="CV121" s="4131"/>
      <c r="CW121" s="4131"/>
      <c r="CX121" s="4131"/>
      <c r="CY121" s="4131"/>
      <c r="CZ121" s="4131"/>
      <c r="DA121" s="4131"/>
      <c r="DB121" s="4131"/>
      <c r="DC121" s="4131"/>
      <c r="DD121" s="4131"/>
      <c r="DE121" s="4131"/>
      <c r="DF121" s="4131"/>
      <c r="DG121" s="4734"/>
      <c r="DH121" s="4143"/>
      <c r="DI121" s="4251"/>
      <c r="DJ121" s="4251" t="str">
        <f>IF(T121="","",T121)</f>
        <v/>
      </c>
      <c r="DK121" s="4251"/>
      <c r="DL121" s="4251"/>
      <c r="DM121" s="3961">
        <v>0</v>
      </c>
    </row>
    <row s="33220" customFormat="1" customHeight="1" ht="0.75">
      <c r="A122" s="4736"/>
      <c r="B122" s="4736"/>
      <c r="C122" s="4736"/>
      <c r="D122" s="4736"/>
      <c r="E122" s="4239"/>
      <c r="F122" s="4239" t="s">
        <v>94</v>
      </c>
      <c r="G122" s="4426"/>
      <c r="H122" s="4736"/>
      <c r="I122" s="4736"/>
      <c r="J122" s="4736"/>
      <c r="K122" s="4736"/>
      <c r="L122" s="4737"/>
      <c r="M122" s="4738"/>
      <c r="N122" s="4738"/>
      <c r="O122" s="4143"/>
      <c r="P122" s="4739"/>
      <c r="Q122" s="4740"/>
      <c r="R122" s="4739"/>
      <c r="S122" s="4741"/>
      <c r="T122" s="4742" t="s">
        <v>213</v>
      </c>
      <c r="U122" s="4133"/>
      <c r="V122" s="4133"/>
      <c r="W122" s="4133"/>
      <c r="X122" s="4133"/>
      <c r="Y122" s="4133"/>
      <c r="Z122" s="4133"/>
      <c r="AA122" s="4133"/>
      <c r="AB122" s="4133"/>
      <c r="AC122" s="4133"/>
      <c r="AD122" s="4133"/>
      <c r="AE122" s="4133"/>
      <c r="AF122" s="4133"/>
      <c r="AG122" s="4133"/>
      <c r="AH122" s="4133"/>
      <c r="AI122" s="4133"/>
      <c r="AJ122" s="4133"/>
      <c r="AK122" s="4133"/>
      <c r="AL122" s="4133"/>
      <c r="AM122" s="4133"/>
      <c r="AN122" s="4133"/>
      <c r="AO122" s="4133"/>
      <c r="AP122" s="4133"/>
      <c r="AQ122" s="4133"/>
      <c r="AR122" s="4133"/>
      <c r="AS122" s="4133"/>
      <c r="AT122" s="4133"/>
      <c r="AU122" s="4133"/>
      <c r="AV122" s="4133"/>
      <c r="AW122" s="4133"/>
      <c r="AX122" s="4133"/>
      <c r="AY122" s="4133"/>
      <c r="AZ122" s="4133"/>
      <c r="BA122" s="4133"/>
      <c r="BB122" s="4133"/>
      <c r="BC122" s="4133"/>
      <c r="BD122" s="4133"/>
      <c r="BE122" s="4133"/>
      <c r="BF122" s="4133"/>
      <c r="BG122" s="4133"/>
      <c r="BH122" s="4133"/>
      <c r="BI122" s="4133"/>
      <c r="BJ122" s="4133"/>
      <c r="BK122" s="4133"/>
      <c r="BL122" s="4133"/>
      <c r="BM122" s="4133"/>
      <c r="BN122" s="4133"/>
      <c r="BO122" s="4133"/>
      <c r="BP122" s="4133"/>
      <c r="BQ122" s="4133"/>
      <c r="BR122" s="4133"/>
      <c r="BS122" s="4133"/>
      <c r="BT122" s="4133"/>
      <c r="BU122" s="4133"/>
      <c r="BV122" s="4133"/>
      <c r="BW122" s="4133"/>
      <c r="BX122" s="4133"/>
      <c r="BY122" s="4133"/>
      <c r="BZ122" s="4133"/>
      <c r="CA122" s="4133"/>
      <c r="CB122" s="4133"/>
      <c r="CC122" s="4133"/>
      <c r="CD122" s="4133"/>
      <c r="CE122" s="4133"/>
      <c r="CF122" s="4133"/>
      <c r="CG122" s="4133"/>
      <c r="CH122" s="4133"/>
      <c r="CI122" s="4133"/>
      <c r="CJ122" s="4133"/>
      <c r="CK122" s="4133"/>
      <c r="CL122" s="4133"/>
      <c r="CM122" s="4133"/>
      <c r="CN122" s="4133"/>
      <c r="CO122" s="4133"/>
      <c r="CP122" s="4133"/>
      <c r="CQ122" s="4133"/>
      <c r="CR122" s="4133"/>
      <c r="CS122" s="4133"/>
      <c r="CT122" s="4133"/>
      <c r="CU122" s="4133"/>
      <c r="CV122" s="4133"/>
      <c r="CW122" s="4133"/>
      <c r="CX122" s="4133"/>
      <c r="CY122" s="4133"/>
      <c r="CZ122" s="4133"/>
      <c r="DA122" s="4133"/>
      <c r="DB122" s="4133"/>
      <c r="DC122" s="4133"/>
      <c r="DD122" s="4133"/>
      <c r="DE122" s="4133"/>
      <c r="DF122" s="4133"/>
      <c r="DG122" s="4133"/>
      <c r="DH122" s="4143"/>
      <c r="DI122" s="4251"/>
      <c r="DJ122" s="4251" t="str">
        <f>IF(T122="","",T122)</f>
        <v>Добавить источник для дифференциации</v>
      </c>
      <c r="DK122" s="4251"/>
      <c r="DL122" s="4251"/>
      <c r="DM122" s="4143">
        <v>0</v>
      </c>
    </row>
    <row s="33221" customFormat="1" customHeight="1" ht="0.75">
      <c r="A123" s="4736"/>
      <c r="B123" s="4736"/>
      <c r="C123" s="4736"/>
      <c r="D123" s="4736"/>
      <c r="E123" s="4239"/>
      <c r="F123" s="4426" t="s">
        <v>94</v>
      </c>
      <c r="G123" s="4736"/>
      <c r="H123" s="4736"/>
      <c r="I123" s="4736"/>
      <c r="J123" s="4736"/>
      <c r="K123" s="4736"/>
      <c r="L123" s="4737"/>
      <c r="M123" s="4744"/>
      <c r="N123" s="4744"/>
      <c r="O123" s="4143"/>
      <c r="P123" s="4739"/>
      <c r="Q123" s="4740"/>
      <c r="R123" s="4739"/>
      <c r="S123" s="4745"/>
      <c r="T123" s="4746" t="s">
        <v>214</v>
      </c>
      <c r="U123" s="4134"/>
      <c r="V123" s="4134"/>
      <c r="W123" s="4134"/>
      <c r="X123" s="4134"/>
      <c r="Y123" s="4134"/>
      <c r="Z123" s="4134"/>
      <c r="AA123" s="4134"/>
      <c r="AB123" s="4134"/>
      <c r="AC123" s="4134"/>
      <c r="AD123" s="4134"/>
      <c r="AE123" s="4134"/>
      <c r="AF123" s="4134"/>
      <c r="AG123" s="4134"/>
      <c r="AH123" s="4134"/>
      <c r="AI123" s="4134"/>
      <c r="AJ123" s="4134"/>
      <c r="AK123" s="4134"/>
      <c r="AL123" s="4134"/>
      <c r="AM123" s="4134"/>
      <c r="AN123" s="4134"/>
      <c r="AO123" s="4134"/>
      <c r="AP123" s="4134"/>
      <c r="AQ123" s="4134"/>
      <c r="AR123" s="4134"/>
      <c r="AS123" s="4134"/>
      <c r="AT123" s="4134"/>
      <c r="AU123" s="4134"/>
      <c r="AV123" s="4134"/>
      <c r="AW123" s="4134"/>
      <c r="AX123" s="4134"/>
      <c r="AY123" s="4134"/>
      <c r="AZ123" s="4134"/>
      <c r="BA123" s="4134"/>
      <c r="BB123" s="4134"/>
      <c r="BC123" s="4134"/>
      <c r="BD123" s="4134"/>
      <c r="BE123" s="4134"/>
      <c r="BF123" s="4134"/>
      <c r="BG123" s="4134"/>
      <c r="BH123" s="4134"/>
      <c r="BI123" s="4134"/>
      <c r="BJ123" s="4134"/>
      <c r="BK123" s="4134"/>
      <c r="BL123" s="4134"/>
      <c r="BM123" s="4134"/>
      <c r="BN123" s="4134"/>
      <c r="BO123" s="4134"/>
      <c r="BP123" s="4134"/>
      <c r="BQ123" s="4134"/>
      <c r="BR123" s="4134"/>
      <c r="BS123" s="4134"/>
      <c r="BT123" s="4134"/>
      <c r="BU123" s="4134"/>
      <c r="BV123" s="4134"/>
      <c r="BW123" s="4134"/>
      <c r="BX123" s="4134"/>
      <c r="BY123" s="4134"/>
      <c r="BZ123" s="4134"/>
      <c r="CA123" s="4134"/>
      <c r="CB123" s="4134"/>
      <c r="CC123" s="4134"/>
      <c r="CD123" s="4134"/>
      <c r="CE123" s="4134"/>
      <c r="CF123" s="4134"/>
      <c r="CG123" s="4134"/>
      <c r="CH123" s="4134"/>
      <c r="CI123" s="4134"/>
      <c r="CJ123" s="4134"/>
      <c r="CK123" s="4134"/>
      <c r="CL123" s="4134"/>
      <c r="CM123" s="4134"/>
      <c r="CN123" s="4134"/>
      <c r="CO123" s="4134"/>
      <c r="CP123" s="4134"/>
      <c r="CQ123" s="4134"/>
      <c r="CR123" s="4134"/>
      <c r="CS123" s="4134"/>
      <c r="CT123" s="4134"/>
      <c r="CU123" s="4134"/>
      <c r="CV123" s="4134"/>
      <c r="CW123" s="4134"/>
      <c r="CX123" s="4134"/>
      <c r="CY123" s="4134"/>
      <c r="CZ123" s="4134"/>
      <c r="DA123" s="4134"/>
      <c r="DB123" s="4134"/>
      <c r="DC123" s="4134"/>
      <c r="DD123" s="4134"/>
      <c r="DE123" s="4134"/>
      <c r="DF123" s="4134"/>
      <c r="DG123" s="4134"/>
      <c r="DH123" s="4143"/>
      <c r="DI123" s="4251"/>
      <c r="DJ123" s="4251" t="str">
        <f>IF(T123="","",T123)</f>
        <v>Добавить централизованную систему для дифференциации</v>
      </c>
      <c r="DK123" s="4251"/>
      <c r="DL123" s="4251"/>
      <c r="DM123" s="4143">
        <v>0</v>
      </c>
    </row>
    <row s="33222" customFormat="1" customHeight="1" ht="21">
      <c r="A124" s="4238"/>
      <c r="B124" s="4238" t="s">
        <v>520</v>
      </c>
      <c r="C124" s="4238"/>
      <c r="D124" s="4238"/>
      <c r="E124" s="4239"/>
      <c r="F124" s="4426" t="s">
        <v>95</v>
      </c>
      <c r="G124" s="4238"/>
      <c r="H124" s="4238"/>
      <c r="I124" s="4238"/>
      <c r="J124" s="4238"/>
      <c r="K124" s="4238"/>
      <c r="L124" s="4242"/>
      <c r="M124" s="4427"/>
      <c r="N124" s="4427"/>
      <c r="O124" s="4427"/>
      <c r="P124" s="4428"/>
      <c r="Q124" s="4429"/>
      <c r="R124" s="4430"/>
      <c r="S124" s="4247">
        <f>INDEX(PT_DIFFERENTIATION_NUM_TER,MATCH(B124,PT_DIFFERENTIATION_TER_ID,0))</f>
      </c>
      <c r="T124" s="4431" t="s">
        <v>457</v>
      </c>
      <c r="U124" s="4249"/>
      <c r="V124" s="3962"/>
      <c r="W124" s="3963"/>
      <c r="X124" s="3963"/>
      <c r="Y124" s="3963"/>
      <c r="Z124" s="3963"/>
      <c r="AA124" s="3963"/>
      <c r="AB124" s="3963"/>
      <c r="AC124" s="3964"/>
      <c r="AD124" s="3962">
        <f>INDEX(PT_DIFFERENTIATION_TER,MATCH(B124,PT_DIFFERENTIATION_TER_ID,0))</f>
      </c>
      <c r="AE124" s="3963"/>
      <c r="AF124" s="3963"/>
      <c r="AG124" s="3963"/>
      <c r="AH124" s="3963"/>
      <c r="AI124" s="3963"/>
      <c r="AJ124" s="3963"/>
      <c r="AK124" s="3963"/>
      <c r="AL124" s="3962"/>
      <c r="AM124" s="3963"/>
      <c r="AN124" s="3963"/>
      <c r="AO124" s="3963"/>
      <c r="AP124" s="3963"/>
      <c r="AQ124" s="3963"/>
      <c r="AR124" s="3963"/>
      <c r="AS124" s="3964"/>
      <c r="AT124" s="3962"/>
      <c r="AU124" s="3963"/>
      <c r="AV124" s="3963"/>
      <c r="AW124" s="3963"/>
      <c r="AX124" s="3963"/>
      <c r="AY124" s="3963"/>
      <c r="AZ124" s="3963"/>
      <c r="BA124" s="3964"/>
      <c r="BB124" s="3962"/>
      <c r="BC124" s="3963"/>
      <c r="BD124" s="3963"/>
      <c r="BE124" s="3963"/>
      <c r="BF124" s="3963"/>
      <c r="BG124" s="3963"/>
      <c r="BH124" s="3963"/>
      <c r="BI124" s="3964"/>
      <c r="BJ124" s="3962"/>
      <c r="BK124" s="3963"/>
      <c r="BL124" s="3963"/>
      <c r="BM124" s="3963"/>
      <c r="BN124" s="3963"/>
      <c r="BO124" s="3963"/>
      <c r="BP124" s="3963"/>
      <c r="BQ124" s="3964"/>
      <c r="BR124" s="3962"/>
      <c r="BS124" s="3963"/>
      <c r="BT124" s="3963"/>
      <c r="BU124" s="3963"/>
      <c r="BV124" s="3963"/>
      <c r="BW124" s="3963"/>
      <c r="BX124" s="3963"/>
      <c r="BY124" s="3964"/>
      <c r="BZ124" s="3962"/>
      <c r="CA124" s="3963"/>
      <c r="CB124" s="3963"/>
      <c r="CC124" s="3963"/>
      <c r="CD124" s="3963"/>
      <c r="CE124" s="3963"/>
      <c r="CF124" s="3963"/>
      <c r="CG124" s="3964"/>
      <c r="CH124" s="3962"/>
      <c r="CI124" s="3963"/>
      <c r="CJ124" s="3963"/>
      <c r="CK124" s="3963"/>
      <c r="CL124" s="3963"/>
      <c r="CM124" s="3963"/>
      <c r="CN124" s="3963"/>
      <c r="CO124" s="3964"/>
      <c r="CP124" s="3962"/>
      <c r="CQ124" s="3963"/>
      <c r="CR124" s="3963"/>
      <c r="CS124" s="3963"/>
      <c r="CT124" s="3963"/>
      <c r="CU124" s="3963"/>
      <c r="CV124" s="3963"/>
      <c r="CW124" s="3964"/>
      <c r="CX124" s="3962"/>
      <c r="CY124" s="3963"/>
      <c r="CZ124" s="3963"/>
      <c r="DA124" s="3963"/>
      <c r="DB124" s="3963"/>
      <c r="DC124" s="3963"/>
      <c r="DD124" s="3963"/>
      <c r="DE124" s="3964"/>
      <c r="DF124" s="3964"/>
      <c r="DG124" s="4250" t="s">
        <v>458</v>
      </c>
      <c r="DH124" s="4143"/>
      <c r="DI124" s="4251"/>
      <c r="DJ124" s="4251" t="str">
        <f>IF(T124="","",T124)</f>
        <v>Территория действия тарифа</v>
      </c>
      <c r="DK124" s="4251"/>
      <c r="DL124" s="4251"/>
      <c r="DM124" s="3961">
        <v>0</v>
      </c>
    </row>
    <row s="33223" customFormat="1" customHeight="1" ht="23.25">
      <c r="A125" s="4238"/>
      <c r="B125" s="4238"/>
      <c r="C125" s="4238" t="s">
        <v>521</v>
      </c>
      <c r="D125" s="4238"/>
      <c r="E125" s="4239"/>
      <c r="F125" s="4239" t="s">
        <v>124</v>
      </c>
      <c r="G125" s="4426">
        <v>1</v>
      </c>
      <c r="H125" s="4238"/>
      <c r="I125" s="4238"/>
      <c r="J125" s="4238"/>
      <c r="K125" s="4238"/>
      <c r="L125" s="4242"/>
      <c r="M125" s="4427"/>
      <c r="N125" s="4427"/>
      <c r="O125" s="4427"/>
      <c r="P125" s="4433"/>
      <c r="Q125" s="4429"/>
      <c r="R125" s="4430"/>
      <c r="S125" s="4247">
        <f>INDEX(PT_DIFFERENTIATION_NUM_CS,MATCH(C125,PT_DIFFERENTIATION_CS_ID,0))</f>
      </c>
      <c r="T125" s="4434" t="s">
        <v>459</v>
      </c>
      <c r="U125" s="4249"/>
      <c r="V125" s="3962"/>
      <c r="W125" s="3963"/>
      <c r="X125" s="3963"/>
      <c r="Y125" s="3963"/>
      <c r="Z125" s="3963"/>
      <c r="AA125" s="3963"/>
      <c r="AB125" s="3963"/>
      <c r="AC125" s="3964"/>
      <c r="AD125" s="3962">
        <f>INDEX(PT_DIFFERENTIATION_CS,MATCH(C125,PT_DIFFERENTIATION_CS_ID,0))</f>
      </c>
      <c r="AE125" s="3963"/>
      <c r="AF125" s="3963"/>
      <c r="AG125" s="3963"/>
      <c r="AH125" s="3963"/>
      <c r="AI125" s="3963"/>
      <c r="AJ125" s="3963"/>
      <c r="AK125" s="3963"/>
      <c r="AL125" s="3962"/>
      <c r="AM125" s="3963"/>
      <c r="AN125" s="3963"/>
      <c r="AO125" s="3963"/>
      <c r="AP125" s="3963"/>
      <c r="AQ125" s="3963"/>
      <c r="AR125" s="3963"/>
      <c r="AS125" s="3964"/>
      <c r="AT125" s="3962"/>
      <c r="AU125" s="3963"/>
      <c r="AV125" s="3963"/>
      <c r="AW125" s="3963"/>
      <c r="AX125" s="3963"/>
      <c r="AY125" s="3963"/>
      <c r="AZ125" s="3963"/>
      <c r="BA125" s="3964"/>
      <c r="BB125" s="3962"/>
      <c r="BC125" s="3963"/>
      <c r="BD125" s="3963"/>
      <c r="BE125" s="3963"/>
      <c r="BF125" s="3963"/>
      <c r="BG125" s="3963"/>
      <c r="BH125" s="3963"/>
      <c r="BI125" s="3964"/>
      <c r="BJ125" s="3962"/>
      <c r="BK125" s="3963"/>
      <c r="BL125" s="3963"/>
      <c r="BM125" s="3963"/>
      <c r="BN125" s="3963"/>
      <c r="BO125" s="3963"/>
      <c r="BP125" s="3963"/>
      <c r="BQ125" s="3964"/>
      <c r="BR125" s="3962"/>
      <c r="BS125" s="3963"/>
      <c r="BT125" s="3963"/>
      <c r="BU125" s="3963"/>
      <c r="BV125" s="3963"/>
      <c r="BW125" s="3963"/>
      <c r="BX125" s="3963"/>
      <c r="BY125" s="3964"/>
      <c r="BZ125" s="3962"/>
      <c r="CA125" s="3963"/>
      <c r="CB125" s="3963"/>
      <c r="CC125" s="3963"/>
      <c r="CD125" s="3963"/>
      <c r="CE125" s="3963"/>
      <c r="CF125" s="3963"/>
      <c r="CG125" s="3964"/>
      <c r="CH125" s="3962"/>
      <c r="CI125" s="3963"/>
      <c r="CJ125" s="3963"/>
      <c r="CK125" s="3963"/>
      <c r="CL125" s="3963"/>
      <c r="CM125" s="3963"/>
      <c r="CN125" s="3963"/>
      <c r="CO125" s="3964"/>
      <c r="CP125" s="3962"/>
      <c r="CQ125" s="3963"/>
      <c r="CR125" s="3963"/>
      <c r="CS125" s="3963"/>
      <c r="CT125" s="3963"/>
      <c r="CU125" s="3963"/>
      <c r="CV125" s="3963"/>
      <c r="CW125" s="3964"/>
      <c r="CX125" s="3962"/>
      <c r="CY125" s="3963"/>
      <c r="CZ125" s="3963"/>
      <c r="DA125" s="3963"/>
      <c r="DB125" s="3963"/>
      <c r="DC125" s="3963"/>
      <c r="DD125" s="3963"/>
      <c r="DE125" s="3964"/>
      <c r="DF125" s="3964"/>
      <c r="DG125" s="4250" t="s">
        <v>460</v>
      </c>
      <c r="DH125" s="4143"/>
      <c r="DI125" s="4251"/>
      <c r="DJ125" s="4251" t="str">
        <f>IF(T125="","",T125)</f>
        <v>Наименование системы теплоснабжения </v>
      </c>
      <c r="DK125" s="4251"/>
      <c r="DL125" s="4251"/>
      <c r="DM125" s="3961">
        <v>0</v>
      </c>
    </row>
    <row s="33224" customFormat="1" customHeight="1" ht="21">
      <c r="A126" s="4238"/>
      <c r="B126" s="4238"/>
      <c r="C126" s="4238"/>
      <c r="D126" s="4238" t="s">
        <v>522</v>
      </c>
      <c r="E126" s="4239"/>
      <c r="F126" s="4239" t="s">
        <v>124</v>
      </c>
      <c r="G126" s="4239"/>
      <c r="H126" s="4426">
        <v>1</v>
      </c>
      <c r="I126" s="4238"/>
      <c r="J126" s="4238"/>
      <c r="K126" s="4238"/>
      <c r="L126" s="4242"/>
      <c r="M126" s="4427"/>
      <c r="N126" s="4427"/>
      <c r="O126" s="4427"/>
      <c r="P126" s="4433"/>
      <c r="Q126" s="4429"/>
      <c r="R126" s="4430"/>
      <c r="S126" s="4247">
        <f>INDEX(PT_DIFFERENTIATION_NUM_IST_TE,MATCH(D126,PT_DIFFERENTIATION_IST_TE_ID,0))</f>
      </c>
      <c r="T126" s="4436" t="s">
        <v>461</v>
      </c>
      <c r="U126" s="4249"/>
      <c r="V126" s="3962"/>
      <c r="W126" s="3963"/>
      <c r="X126" s="3963"/>
      <c r="Y126" s="3963"/>
      <c r="Z126" s="3963"/>
      <c r="AA126" s="3963"/>
      <c r="AB126" s="3963"/>
      <c r="AC126" s="3964"/>
      <c r="AD126" s="3962">
        <f>INDEX(PT_DIFFERENTIATION_IST_TE,MATCH(D126,PT_DIFFERENTIATION_IST_TE_ID,0))</f>
      </c>
      <c r="AE126" s="3963"/>
      <c r="AF126" s="3963"/>
      <c r="AG126" s="3963"/>
      <c r="AH126" s="3963"/>
      <c r="AI126" s="3963"/>
      <c r="AJ126" s="3963"/>
      <c r="AK126" s="3963"/>
      <c r="AL126" s="3962"/>
      <c r="AM126" s="3963"/>
      <c r="AN126" s="3963"/>
      <c r="AO126" s="3963"/>
      <c r="AP126" s="3963"/>
      <c r="AQ126" s="3963"/>
      <c r="AR126" s="3963"/>
      <c r="AS126" s="3964"/>
      <c r="AT126" s="3962"/>
      <c r="AU126" s="3963"/>
      <c r="AV126" s="3963"/>
      <c r="AW126" s="3963"/>
      <c r="AX126" s="3963"/>
      <c r="AY126" s="3963"/>
      <c r="AZ126" s="3963"/>
      <c r="BA126" s="3964"/>
      <c r="BB126" s="3962"/>
      <c r="BC126" s="3963"/>
      <c r="BD126" s="3963"/>
      <c r="BE126" s="3963"/>
      <c r="BF126" s="3963"/>
      <c r="BG126" s="3963"/>
      <c r="BH126" s="3963"/>
      <c r="BI126" s="3964"/>
      <c r="BJ126" s="3962"/>
      <c r="BK126" s="3963"/>
      <c r="BL126" s="3963"/>
      <c r="BM126" s="3963"/>
      <c r="BN126" s="3963"/>
      <c r="BO126" s="3963"/>
      <c r="BP126" s="3963"/>
      <c r="BQ126" s="3964"/>
      <c r="BR126" s="3962"/>
      <c r="BS126" s="3963"/>
      <c r="BT126" s="3963"/>
      <c r="BU126" s="3963"/>
      <c r="BV126" s="3963"/>
      <c r="BW126" s="3963"/>
      <c r="BX126" s="3963"/>
      <c r="BY126" s="3964"/>
      <c r="BZ126" s="3962"/>
      <c r="CA126" s="3963"/>
      <c r="CB126" s="3963"/>
      <c r="CC126" s="3963"/>
      <c r="CD126" s="3963"/>
      <c r="CE126" s="3963"/>
      <c r="CF126" s="3963"/>
      <c r="CG126" s="3964"/>
      <c r="CH126" s="3962"/>
      <c r="CI126" s="3963"/>
      <c r="CJ126" s="3963"/>
      <c r="CK126" s="3963"/>
      <c r="CL126" s="3963"/>
      <c r="CM126" s="3963"/>
      <c r="CN126" s="3963"/>
      <c r="CO126" s="3964"/>
      <c r="CP126" s="3962"/>
      <c r="CQ126" s="3963"/>
      <c r="CR126" s="3963"/>
      <c r="CS126" s="3963"/>
      <c r="CT126" s="3963"/>
      <c r="CU126" s="3963"/>
      <c r="CV126" s="3963"/>
      <c r="CW126" s="3964"/>
      <c r="CX126" s="3962"/>
      <c r="CY126" s="3963"/>
      <c r="CZ126" s="3963"/>
      <c r="DA126" s="3963"/>
      <c r="DB126" s="3963"/>
      <c r="DC126" s="3963"/>
      <c r="DD126" s="3963"/>
      <c r="DE126" s="3964"/>
      <c r="DF126" s="3964"/>
      <c r="DG126" s="4250" t="s">
        <v>462</v>
      </c>
      <c r="DH126" s="4143"/>
      <c r="DI126" s="4251"/>
      <c r="DJ126" s="4251" t="str">
        <f>IF(T126="","",T126)</f>
        <v>Источник тепловой энергии  </v>
      </c>
      <c r="DK126" s="4251"/>
      <c r="DL126" s="4251"/>
      <c r="DM126" s="3961">
        <v>0</v>
      </c>
    </row>
    <row s="33225" customFormat="1" customHeight="1" ht="14.25">
      <c r="A127" s="4238"/>
      <c r="B127" s="4238"/>
      <c r="C127" s="4238"/>
      <c r="D127" s="4238"/>
      <c r="E127" s="4239"/>
      <c r="F127" s="4239" t="s">
        <v>124</v>
      </c>
      <c r="G127" s="4239"/>
      <c r="H127" s="4239"/>
      <c r="I127" s="4241">
        <f>S126&amp;".1"</f>
      </c>
      <c r="J127" s="4238"/>
      <c r="K127" s="4238"/>
      <c r="L127" s="4242" t="s">
        <v>463</v>
      </c>
      <c r="M127" s="4135"/>
      <c r="N127" s="4243"/>
      <c r="O127" s="4243"/>
      <c r="P127" s="4244">
        <v>1</v>
      </c>
      <c r="Q127" s="4244"/>
      <c r="R127" s="4259"/>
      <c r="S127" s="4438"/>
      <c r="T127" s="4439"/>
      <c r="U127" s="4440"/>
      <c r="V127" s="3971"/>
      <c r="W127" s="3972"/>
      <c r="X127" s="3972"/>
      <c r="Y127" s="3972"/>
      <c r="Z127" s="3972"/>
      <c r="AA127" s="3972"/>
      <c r="AB127" s="3972"/>
      <c r="AC127" s="3973"/>
      <c r="AD127" s="3971"/>
      <c r="AE127" s="3972"/>
      <c r="AF127" s="3972"/>
      <c r="AG127" s="3972"/>
      <c r="AH127" s="3972"/>
      <c r="AI127" s="3972"/>
      <c r="AJ127" s="3972"/>
      <c r="AK127" s="3972"/>
      <c r="AL127" s="3971"/>
      <c r="AM127" s="3972"/>
      <c r="AN127" s="3972"/>
      <c r="AO127" s="3972"/>
      <c r="AP127" s="3972"/>
      <c r="AQ127" s="3972"/>
      <c r="AR127" s="3972"/>
      <c r="AS127" s="3973"/>
      <c r="AT127" s="3971"/>
      <c r="AU127" s="3972"/>
      <c r="AV127" s="3972"/>
      <c r="AW127" s="3972"/>
      <c r="AX127" s="3972"/>
      <c r="AY127" s="3972"/>
      <c r="AZ127" s="3972"/>
      <c r="BA127" s="3973"/>
      <c r="BB127" s="3971"/>
      <c r="BC127" s="3972"/>
      <c r="BD127" s="3972"/>
      <c r="BE127" s="3972"/>
      <c r="BF127" s="3972"/>
      <c r="BG127" s="3972"/>
      <c r="BH127" s="3972"/>
      <c r="BI127" s="3973"/>
      <c r="BJ127" s="3971"/>
      <c r="BK127" s="3972"/>
      <c r="BL127" s="3972"/>
      <c r="BM127" s="3972"/>
      <c r="BN127" s="3972"/>
      <c r="BO127" s="3972"/>
      <c r="BP127" s="3972"/>
      <c r="BQ127" s="3973"/>
      <c r="BR127" s="3971"/>
      <c r="BS127" s="3972"/>
      <c r="BT127" s="3972"/>
      <c r="BU127" s="3972"/>
      <c r="BV127" s="3972"/>
      <c r="BW127" s="3972"/>
      <c r="BX127" s="3972"/>
      <c r="BY127" s="3973"/>
      <c r="BZ127" s="3971"/>
      <c r="CA127" s="3972"/>
      <c r="CB127" s="3972"/>
      <c r="CC127" s="3972"/>
      <c r="CD127" s="3972"/>
      <c r="CE127" s="3972"/>
      <c r="CF127" s="3972"/>
      <c r="CG127" s="3973"/>
      <c r="CH127" s="3971"/>
      <c r="CI127" s="3972"/>
      <c r="CJ127" s="3972"/>
      <c r="CK127" s="3972"/>
      <c r="CL127" s="3972"/>
      <c r="CM127" s="3972"/>
      <c r="CN127" s="3972"/>
      <c r="CO127" s="3973"/>
      <c r="CP127" s="3971"/>
      <c r="CQ127" s="3972"/>
      <c r="CR127" s="3972"/>
      <c r="CS127" s="3972"/>
      <c r="CT127" s="3972"/>
      <c r="CU127" s="3972"/>
      <c r="CV127" s="3972"/>
      <c r="CW127" s="3973"/>
      <c r="CX127" s="3971"/>
      <c r="CY127" s="3972"/>
      <c r="CZ127" s="3972"/>
      <c r="DA127" s="3972"/>
      <c r="DB127" s="3972"/>
      <c r="DC127" s="3972"/>
      <c r="DD127" s="3972"/>
      <c r="DE127" s="3973"/>
      <c r="DF127" s="3973"/>
      <c r="DG127" s="4441"/>
      <c r="DH127" s="4143"/>
      <c r="DI127" s="4251"/>
      <c r="DJ127" s="4251" t="str">
        <f>IF(T127="","",T127)</f>
        <v/>
      </c>
      <c r="DK127" s="4251"/>
      <c r="DL127" s="4251"/>
      <c r="DM127" s="3961">
        <v>0</v>
      </c>
    </row>
    <row s="33226" customFormat="1" customHeight="1" ht="21">
      <c r="A128" s="4238"/>
      <c r="B128" s="4238"/>
      <c r="C128" s="4238"/>
      <c r="D128" s="4238"/>
      <c r="E128" s="4239"/>
      <c r="F128" s="4239" t="s">
        <v>124</v>
      </c>
      <c r="G128" s="4239"/>
      <c r="H128" s="4239"/>
      <c r="I128" s="4240"/>
      <c r="J128" s="4241">
        <f>I127&amp;".1"</f>
      </c>
      <c r="K128" s="4238"/>
      <c r="L128" s="4242" t="s">
        <v>466</v>
      </c>
      <c r="M128" s="4135"/>
      <c r="N128" s="4135"/>
      <c r="O128" s="4243"/>
      <c r="P128" s="4244"/>
      <c r="Q128" s="4244">
        <v>1</v>
      </c>
      <c r="R128" s="4246"/>
      <c r="S128" s="4247">
        <f>$J128</f>
      </c>
      <c r="T128" s="4248" t="s">
        <v>467</v>
      </c>
      <c r="U128" s="4249"/>
      <c r="V128" s="3975"/>
      <c r="W128" s="3976"/>
      <c r="X128" s="3976"/>
      <c r="Y128" s="3976"/>
      <c r="Z128" s="3976"/>
      <c r="AA128" s="3976"/>
      <c r="AB128" s="3976"/>
      <c r="AC128" s="3977"/>
      <c r="AD128" s="3975" t="s">
        <v>507</v>
      </c>
      <c r="AE128" s="3976"/>
      <c r="AF128" s="3976"/>
      <c r="AG128" s="3976"/>
      <c r="AH128" s="3976"/>
      <c r="AI128" s="3976"/>
      <c r="AJ128" s="3976"/>
      <c r="AK128" s="3976"/>
      <c r="AL128" s="3975"/>
      <c r="AM128" s="3976"/>
      <c r="AN128" s="3976"/>
      <c r="AO128" s="3976"/>
      <c r="AP128" s="3976"/>
      <c r="AQ128" s="3976"/>
      <c r="AR128" s="3976"/>
      <c r="AS128" s="3977"/>
      <c r="AT128" s="3975"/>
      <c r="AU128" s="3976"/>
      <c r="AV128" s="3976"/>
      <c r="AW128" s="3976"/>
      <c r="AX128" s="3976"/>
      <c r="AY128" s="3976"/>
      <c r="AZ128" s="3976"/>
      <c r="BA128" s="3977"/>
      <c r="BB128" s="3975"/>
      <c r="BC128" s="3976"/>
      <c r="BD128" s="3976"/>
      <c r="BE128" s="3976"/>
      <c r="BF128" s="3976"/>
      <c r="BG128" s="3976"/>
      <c r="BH128" s="3976"/>
      <c r="BI128" s="3977"/>
      <c r="BJ128" s="3975"/>
      <c r="BK128" s="3976"/>
      <c r="BL128" s="3976"/>
      <c r="BM128" s="3976"/>
      <c r="BN128" s="3976"/>
      <c r="BO128" s="3976"/>
      <c r="BP128" s="3976"/>
      <c r="BQ128" s="3977"/>
      <c r="BR128" s="3975"/>
      <c r="BS128" s="3976"/>
      <c r="BT128" s="3976"/>
      <c r="BU128" s="3976"/>
      <c r="BV128" s="3976"/>
      <c r="BW128" s="3976"/>
      <c r="BX128" s="3976"/>
      <c r="BY128" s="3977"/>
      <c r="BZ128" s="3975"/>
      <c r="CA128" s="3976"/>
      <c r="CB128" s="3976"/>
      <c r="CC128" s="3976"/>
      <c r="CD128" s="3976"/>
      <c r="CE128" s="3976"/>
      <c r="CF128" s="3976"/>
      <c r="CG128" s="3977"/>
      <c r="CH128" s="3975"/>
      <c r="CI128" s="3976"/>
      <c r="CJ128" s="3976"/>
      <c r="CK128" s="3976"/>
      <c r="CL128" s="3976"/>
      <c r="CM128" s="3976"/>
      <c r="CN128" s="3976"/>
      <c r="CO128" s="3977"/>
      <c r="CP128" s="3975"/>
      <c r="CQ128" s="3976"/>
      <c r="CR128" s="3976"/>
      <c r="CS128" s="3976"/>
      <c r="CT128" s="3976"/>
      <c r="CU128" s="3976"/>
      <c r="CV128" s="3976"/>
      <c r="CW128" s="3977"/>
      <c r="CX128" s="3975"/>
      <c r="CY128" s="3976"/>
      <c r="CZ128" s="3976"/>
      <c r="DA128" s="3976"/>
      <c r="DB128" s="3976"/>
      <c r="DC128" s="3976"/>
      <c r="DD128" s="3976"/>
      <c r="DE128" s="3977"/>
      <c r="DF128" s="3977"/>
      <c r="DG128" s="4250" t="s">
        <v>468</v>
      </c>
      <c r="DH128" s="4143"/>
      <c r="DI128" s="4251"/>
      <c r="DJ128" s="4251" t="str">
        <f>IF(T128="","",T128)</f>
        <v>Группа потребителей</v>
      </c>
      <c r="DK128" s="4251"/>
      <c r="DL128" s="4251"/>
      <c r="DM128" s="3961">
        <v>0</v>
      </c>
    </row>
    <row s="33227" customFormat="1" customHeight="1" ht="21">
      <c r="A129" s="4238"/>
      <c r="B129" s="4238"/>
      <c r="C129" s="4238"/>
      <c r="D129" s="4238"/>
      <c r="E129" s="4239"/>
      <c r="F129" s="4239" t="s">
        <v>124</v>
      </c>
      <c r="G129" s="4239"/>
      <c r="H129" s="4239"/>
      <c r="I129" s="4240"/>
      <c r="J129" s="4240"/>
      <c r="K129" s="4241">
        <f>J128&amp;".1"</f>
      </c>
      <c r="L129" s="4242" t="s">
        <v>469</v>
      </c>
      <c r="M129" s="4135"/>
      <c r="N129" s="4135"/>
      <c r="O129" s="4135"/>
      <c r="P129" s="4244"/>
      <c r="Q129" s="4244"/>
      <c r="R129" s="4246">
        <v>1</v>
      </c>
      <c r="S129" s="4247">
        <f>$K129</f>
      </c>
      <c r="T129" s="4253" t="s">
        <v>508</v>
      </c>
      <c r="U129" s="4249"/>
      <c r="V129" s="3978"/>
      <c r="W129" s="3979"/>
      <c r="X129" s="3978"/>
      <c r="Y129" s="3980"/>
      <c r="Z129" s="3981"/>
      <c r="AA129" s="3365" t="s">
        <v>64</v>
      </c>
      <c r="AB129" s="3981"/>
      <c r="AC129" s="3365" t="s">
        <v>64</v>
      </c>
      <c r="AD129" s="3978">
        <v>52.56</v>
      </c>
      <c r="AE129" s="3979"/>
      <c r="AF129" s="3978"/>
      <c r="AG129" s="3980"/>
      <c r="AH129" s="3981">
        <v>45292</v>
      </c>
      <c r="AI129" s="3365" t="s">
        <v>64</v>
      </c>
      <c r="AJ129" s="3981">
        <v>45473</v>
      </c>
      <c r="AK129" s="3365" t="s">
        <v>64</v>
      </c>
      <c r="AL129" s="3978">
        <v>78.83</v>
      </c>
      <c r="AM129" s="3979"/>
      <c r="AN129" s="3978"/>
      <c r="AO129" s="3980"/>
      <c r="AP129" s="3981">
        <v>45474</v>
      </c>
      <c r="AQ129" s="3365" t="s">
        <v>64</v>
      </c>
      <c r="AR129" s="3981">
        <v>45657</v>
      </c>
      <c r="AS129" s="3365" t="s">
        <v>64</v>
      </c>
      <c r="AT129" s="3978">
        <v>78.83</v>
      </c>
      <c r="AU129" s="3979"/>
      <c r="AV129" s="3978"/>
      <c r="AW129" s="3980"/>
      <c r="AX129" s="3981">
        <v>45658</v>
      </c>
      <c r="AY129" s="3365" t="s">
        <v>64</v>
      </c>
      <c r="AZ129" s="3981">
        <v>45838</v>
      </c>
      <c r="BA129" s="3365" t="s">
        <v>64</v>
      </c>
      <c r="BB129" s="3978">
        <v>88.45</v>
      </c>
      <c r="BC129" s="3979"/>
      <c r="BD129" s="3978"/>
      <c r="BE129" s="3980"/>
      <c r="BF129" s="3981">
        <v>45839</v>
      </c>
      <c r="BG129" s="3365" t="s">
        <v>64</v>
      </c>
      <c r="BH129" s="3981">
        <v>46022</v>
      </c>
      <c r="BI129" s="3365" t="s">
        <v>64</v>
      </c>
      <c r="BJ129" s="3978">
        <v>118.25</v>
      </c>
      <c r="BK129" s="3979"/>
      <c r="BL129" s="3978"/>
      <c r="BM129" s="3980"/>
      <c r="BN129" s="3981">
        <v>46023</v>
      </c>
      <c r="BO129" s="3365" t="s">
        <v>64</v>
      </c>
      <c r="BP129" s="3981">
        <v>46203</v>
      </c>
      <c r="BQ129" s="3365" t="s">
        <v>64</v>
      </c>
      <c r="BR129" s="3978">
        <v>171.46</v>
      </c>
      <c r="BS129" s="3979"/>
      <c r="BT129" s="3978"/>
      <c r="BU129" s="3980"/>
      <c r="BV129" s="3981">
        <v>46204</v>
      </c>
      <c r="BW129" s="3365" t="s">
        <v>64</v>
      </c>
      <c r="BX129" s="3981">
        <v>46387</v>
      </c>
      <c r="BY129" s="3365" t="s">
        <v>64</v>
      </c>
      <c r="BZ129" s="3978">
        <v>171.46</v>
      </c>
      <c r="CA129" s="3979"/>
      <c r="CB129" s="3978"/>
      <c r="CC129" s="3980"/>
      <c r="CD129" s="3981">
        <v>46388</v>
      </c>
      <c r="CE129" s="3365" t="s">
        <v>64</v>
      </c>
      <c r="CF129" s="3981">
        <v>46568</v>
      </c>
      <c r="CG129" s="3365" t="s">
        <v>64</v>
      </c>
      <c r="CH129" s="3978">
        <v>248.62</v>
      </c>
      <c r="CI129" s="3979"/>
      <c r="CJ129" s="3978"/>
      <c r="CK129" s="3980"/>
      <c r="CL129" s="3981">
        <v>46569</v>
      </c>
      <c r="CM129" s="3365" t="s">
        <v>64</v>
      </c>
      <c r="CN129" s="3981">
        <v>46752</v>
      </c>
      <c r="CO129" s="3365" t="s">
        <v>64</v>
      </c>
      <c r="CP129" s="3978">
        <v>248.62</v>
      </c>
      <c r="CQ129" s="3979"/>
      <c r="CR129" s="3978"/>
      <c r="CS129" s="3980"/>
      <c r="CT129" s="3981">
        <v>46753</v>
      </c>
      <c r="CU129" s="3365" t="s">
        <v>64</v>
      </c>
      <c r="CV129" s="3981">
        <v>46934</v>
      </c>
      <c r="CW129" s="3365" t="s">
        <v>64</v>
      </c>
      <c r="CX129" s="3978">
        <v>358.79</v>
      </c>
      <c r="CY129" s="3979"/>
      <c r="CZ129" s="3978"/>
      <c r="DA129" s="3980"/>
      <c r="DB129" s="3981">
        <v>46935</v>
      </c>
      <c r="DC129" s="3365" t="s">
        <v>64</v>
      </c>
      <c r="DD129" s="3981">
        <v>47118</v>
      </c>
      <c r="DE129" s="3365" t="s">
        <v>64</v>
      </c>
      <c r="DF129" s="3979"/>
      <c r="DG129" s="4254" t="s">
        <v>470</v>
      </c>
      <c r="DH129" s="4143">
        <f>STRCHECKDATE(V130:DF130)</f>
      </c>
      <c r="DI129" s="4251"/>
      <c r="DJ129" s="4251" t="str">
        <f>IF(T129="","",T129)</f>
        <v>вода</v>
      </c>
      <c r="DK129" s="4251"/>
      <c r="DL129" s="4251"/>
      <c r="DM129" s="3961">
        <v>0</v>
      </c>
    </row>
    <row s="33228" customFormat="1" customHeight="1" ht="0.75">
      <c r="A130" s="4238"/>
      <c r="B130" s="4238"/>
      <c r="C130" s="4238"/>
      <c r="D130" s="4238"/>
      <c r="E130" s="4239"/>
      <c r="F130" s="4239" t="s">
        <v>124</v>
      </c>
      <c r="G130" s="4239"/>
      <c r="H130" s="4239"/>
      <c r="I130" s="4240"/>
      <c r="J130" s="4240"/>
      <c r="K130" s="4241"/>
      <c r="L130" s="4242"/>
      <c r="M130" s="4135"/>
      <c r="N130" s="4135"/>
      <c r="O130" s="4135"/>
      <c r="P130" s="4244"/>
      <c r="Q130" s="4244"/>
      <c r="R130" s="4246"/>
      <c r="S130" s="4256"/>
      <c r="T130" s="4249"/>
      <c r="U130" s="4249"/>
      <c r="V130" s="3979"/>
      <c r="W130" s="3979"/>
      <c r="X130" s="3979"/>
      <c r="Y130" s="3982" t="str">
        <f>Z129&amp;"-"&amp;AB129</f>
        <v>-</v>
      </c>
      <c r="Z130" s="3983"/>
      <c r="AA130" s="3365"/>
      <c r="AB130" s="3983"/>
      <c r="AC130" s="3365"/>
      <c r="AD130" s="3979"/>
      <c r="AE130" s="3979"/>
      <c r="AF130" s="3979"/>
      <c r="AG130" s="3982" t="str">
        <f>AH129&amp;"-"&amp;AJ129</f>
        <v>45292-45473</v>
      </c>
      <c r="AH130" s="3983"/>
      <c r="AI130" s="3365"/>
      <c r="AJ130" s="3983"/>
      <c r="AK130" s="3365"/>
      <c r="AL130" s="3979"/>
      <c r="AM130" s="3979"/>
      <c r="AN130" s="3979"/>
      <c r="AO130" s="3982" t="str">
        <f>AP129&amp;"-"&amp;AR129</f>
        <v>45474-45657</v>
      </c>
      <c r="AP130" s="3983"/>
      <c r="AQ130" s="3365"/>
      <c r="AR130" s="3983"/>
      <c r="AS130" s="3365"/>
      <c r="AT130" s="3979"/>
      <c r="AU130" s="3979"/>
      <c r="AV130" s="3979"/>
      <c r="AW130" s="3982" t="str">
        <f>AX129&amp;"-"&amp;AZ129</f>
        <v>45658-45838</v>
      </c>
      <c r="AX130" s="3983"/>
      <c r="AY130" s="3365"/>
      <c r="AZ130" s="3983"/>
      <c r="BA130" s="3365"/>
      <c r="BB130" s="3979"/>
      <c r="BC130" s="3979"/>
      <c r="BD130" s="3979"/>
      <c r="BE130" s="3982" t="str">
        <f>BF129&amp;"-"&amp;BH129</f>
        <v>45839-46022</v>
      </c>
      <c r="BF130" s="3983"/>
      <c r="BG130" s="3365"/>
      <c r="BH130" s="3983"/>
      <c r="BI130" s="3365"/>
      <c r="BJ130" s="3979"/>
      <c r="BK130" s="3979"/>
      <c r="BL130" s="3979"/>
      <c r="BM130" s="3982" t="str">
        <f>BN129&amp;"-"&amp;BP129</f>
        <v>46023-46203</v>
      </c>
      <c r="BN130" s="3983"/>
      <c r="BO130" s="3365"/>
      <c r="BP130" s="3983"/>
      <c r="BQ130" s="3365"/>
      <c r="BR130" s="3979"/>
      <c r="BS130" s="3979"/>
      <c r="BT130" s="3979"/>
      <c r="BU130" s="3982" t="str">
        <f>BV129&amp;"-"&amp;BX129</f>
        <v>46204-46387</v>
      </c>
      <c r="BV130" s="3983"/>
      <c r="BW130" s="3365"/>
      <c r="BX130" s="3983"/>
      <c r="BY130" s="3365"/>
      <c r="BZ130" s="3979"/>
      <c r="CA130" s="3979"/>
      <c r="CB130" s="3979"/>
      <c r="CC130" s="3982" t="str">
        <f>CD129&amp;"-"&amp;CF129</f>
        <v>46388-46568</v>
      </c>
      <c r="CD130" s="3983"/>
      <c r="CE130" s="3365"/>
      <c r="CF130" s="3983"/>
      <c r="CG130" s="3365"/>
      <c r="CH130" s="3979"/>
      <c r="CI130" s="3979"/>
      <c r="CJ130" s="3979"/>
      <c r="CK130" s="3982" t="str">
        <f>CL129&amp;"-"&amp;CN129</f>
        <v>46569-46752</v>
      </c>
      <c r="CL130" s="3983"/>
      <c r="CM130" s="3365"/>
      <c r="CN130" s="3983"/>
      <c r="CO130" s="3365"/>
      <c r="CP130" s="3979"/>
      <c r="CQ130" s="3979"/>
      <c r="CR130" s="3979"/>
      <c r="CS130" s="3982" t="str">
        <f>CT129&amp;"-"&amp;CV129</f>
        <v>46753-46934</v>
      </c>
      <c r="CT130" s="3983"/>
      <c r="CU130" s="3365"/>
      <c r="CV130" s="3983"/>
      <c r="CW130" s="3365"/>
      <c r="CX130" s="3979"/>
      <c r="CY130" s="3979"/>
      <c r="CZ130" s="3979"/>
      <c r="DA130" s="3982" t="str">
        <f>DB129&amp;"-"&amp;DD129</f>
        <v>46935-47118</v>
      </c>
      <c r="DB130" s="3983"/>
      <c r="DC130" s="3365"/>
      <c r="DD130" s="3983"/>
      <c r="DE130" s="3365"/>
      <c r="DF130" s="3979"/>
      <c r="DG130" s="4257"/>
      <c r="DH130" s="4143"/>
      <c r="DI130" s="4251"/>
      <c r="DJ130" s="4251" t="str">
        <f>IF(T130="","",T130)</f>
        <v/>
      </c>
      <c r="DK130" s="4251"/>
      <c r="DL130" s="4251"/>
      <c r="DM130" s="3961">
        <v>0</v>
      </c>
    </row>
    <row s="33229" customFormat="1" customHeight="1" ht="15">
      <c r="A131" s="4238"/>
      <c r="B131" s="4238"/>
      <c r="C131" s="4238"/>
      <c r="D131" s="4238"/>
      <c r="E131" s="4239"/>
      <c r="F131" s="4239" t="s">
        <v>124</v>
      </c>
      <c r="G131" s="4239"/>
      <c r="H131" s="4239"/>
      <c r="I131" s="4240"/>
      <c r="J131" s="4241"/>
      <c r="K131" s="4238"/>
      <c r="L131" s="4242"/>
      <c r="M131" s="4135"/>
      <c r="N131" s="4135"/>
      <c r="O131" s="4243"/>
      <c r="P131" s="4244"/>
      <c r="Q131" s="4244"/>
      <c r="R131" s="4259"/>
      <c r="S131" s="5634"/>
      <c r="T131" s="5635" t="s">
        <v>471</v>
      </c>
      <c r="U131" s="5636"/>
      <c r="V131" s="5637"/>
      <c r="W131" s="5638"/>
      <c r="X131" s="5639"/>
      <c r="Y131" s="5640"/>
      <c r="Z131" s="5641"/>
      <c r="AA131" s="5642"/>
      <c r="AB131" s="5643"/>
      <c r="AC131" s="5644"/>
      <c r="AD131" s="5645"/>
      <c r="AE131" s="5646"/>
      <c r="AF131" s="5647"/>
      <c r="AG131" s="5648"/>
      <c r="AH131" s="5649"/>
      <c r="AI131" s="5650"/>
      <c r="AJ131" s="5651"/>
      <c r="AK131" s="5652"/>
      <c r="AL131" s="5653"/>
      <c r="AM131" s="5654"/>
      <c r="AN131" s="5655"/>
      <c r="AO131" s="5656"/>
      <c r="AP131" s="5657"/>
      <c r="AQ131" s="5658"/>
      <c r="AR131" s="5659"/>
      <c r="AS131" s="5660"/>
      <c r="AT131" s="5661"/>
      <c r="AU131" s="5662"/>
      <c r="AV131" s="5663"/>
      <c r="AW131" s="5664"/>
      <c r="AX131" s="5665"/>
      <c r="AY131" s="5666"/>
      <c r="AZ131" s="5667"/>
      <c r="BA131" s="5668"/>
      <c r="BB131" s="5669"/>
      <c r="BC131" s="5670"/>
      <c r="BD131" s="5671"/>
      <c r="BE131" s="5672"/>
      <c r="BF131" s="5673"/>
      <c r="BG131" s="5674"/>
      <c r="BH131" s="5675"/>
      <c r="BI131" s="5676"/>
      <c r="BJ131" s="5677"/>
      <c r="BK131" s="5678"/>
      <c r="BL131" s="5679"/>
      <c r="BM131" s="5680"/>
      <c r="BN131" s="5681"/>
      <c r="BO131" s="5682"/>
      <c r="BP131" s="5683"/>
      <c r="BQ131" s="5684"/>
      <c r="BR131" s="5685"/>
      <c r="BS131" s="5686"/>
      <c r="BT131" s="5687"/>
      <c r="BU131" s="5688"/>
      <c r="BV131" s="5689"/>
      <c r="BW131" s="5690"/>
      <c r="BX131" s="5691"/>
      <c r="BY131" s="5692"/>
      <c r="BZ131" s="5693"/>
      <c r="CA131" s="5694"/>
      <c r="CB131" s="5695"/>
      <c r="CC131" s="5696"/>
      <c r="CD131" s="5697"/>
      <c r="CE131" s="5698"/>
      <c r="CF131" s="5699"/>
      <c r="CG131" s="5700"/>
      <c r="CH131" s="5701"/>
      <c r="CI131" s="5702"/>
      <c r="CJ131" s="5703"/>
      <c r="CK131" s="5704"/>
      <c r="CL131" s="5705"/>
      <c r="CM131" s="5706"/>
      <c r="CN131" s="5707"/>
      <c r="CO131" s="5708"/>
      <c r="CP131" s="5709"/>
      <c r="CQ131" s="5710"/>
      <c r="CR131" s="5711"/>
      <c r="CS131" s="5712"/>
      <c r="CT131" s="5713"/>
      <c r="CU131" s="5714"/>
      <c r="CV131" s="5715"/>
      <c r="CW131" s="5716"/>
      <c r="CX131" s="5717"/>
      <c r="CY131" s="5718"/>
      <c r="CZ131" s="5719"/>
      <c r="DA131" s="5720"/>
      <c r="DB131" s="5721"/>
      <c r="DC131" s="5722"/>
      <c r="DD131" s="5723"/>
      <c r="DE131" s="5724"/>
      <c r="DF131" s="5725"/>
      <c r="DG131" s="4352"/>
      <c r="DH131" s="4143"/>
      <c r="DI131" s="4251"/>
      <c r="DJ131" s="4251" t="str">
        <f>IF(T131="","",T131)</f>
        <v>Добавить вид теплоносителя (параметры теплоносителя)</v>
      </c>
      <c r="DK131" s="4251"/>
      <c r="DL131" s="4251"/>
      <c r="DM131" s="3961">
        <v>0</v>
      </c>
    </row>
    <row s="33322" customFormat="1" customHeight="1" ht="21">
      <c r="A132" s="4238"/>
      <c r="B132" s="4238"/>
      <c r="C132" s="4238"/>
      <c r="D132" s="4238"/>
      <c r="E132" s="4239"/>
      <c r="F132" s="4239"/>
      <c r="G132" s="4239"/>
      <c r="H132" s="4239"/>
      <c r="I132" s="4240"/>
      <c r="J132" s="4241">
        <f>I127&amp;".2"</f>
      </c>
      <c r="K132" s="4238"/>
      <c r="L132" s="4242" t="s">
        <v>466</v>
      </c>
      <c r="M132" s="4135"/>
      <c r="N132" s="4135"/>
      <c r="O132" s="4243"/>
      <c r="P132" s="4244"/>
      <c r="Q132" s="4245" t="s">
        <v>106</v>
      </c>
      <c r="R132" s="4246"/>
      <c r="S132" s="4247">
        <f>$J132</f>
      </c>
      <c r="T132" s="4248" t="s">
        <v>467</v>
      </c>
      <c r="U132" s="4249"/>
      <c r="V132" s="3975"/>
      <c r="W132" s="3976"/>
      <c r="X132" s="3976"/>
      <c r="Y132" s="3976"/>
      <c r="Z132" s="3976"/>
      <c r="AA132" s="3976"/>
      <c r="AB132" s="3976"/>
      <c r="AC132" s="3977"/>
      <c r="AD132" s="3975" t="s">
        <v>510</v>
      </c>
      <c r="AE132" s="3976"/>
      <c r="AF132" s="3976"/>
      <c r="AG132" s="3976"/>
      <c r="AH132" s="3976"/>
      <c r="AI132" s="3976"/>
      <c r="AJ132" s="3976"/>
      <c r="AK132" s="3976"/>
      <c r="AL132" s="3975"/>
      <c r="AM132" s="3976"/>
      <c r="AN132" s="3976"/>
      <c r="AO132" s="3976"/>
      <c r="AP132" s="3976"/>
      <c r="AQ132" s="3976"/>
      <c r="AR132" s="3976"/>
      <c r="AS132" s="3977"/>
      <c r="AT132" s="3975"/>
      <c r="AU132" s="3976"/>
      <c r="AV132" s="3976"/>
      <c r="AW132" s="3976"/>
      <c r="AX132" s="3976"/>
      <c r="AY132" s="3976"/>
      <c r="AZ132" s="3976"/>
      <c r="BA132" s="3977"/>
      <c r="BB132" s="3975"/>
      <c r="BC132" s="3976"/>
      <c r="BD132" s="3976"/>
      <c r="BE132" s="3976"/>
      <c r="BF132" s="3976"/>
      <c r="BG132" s="3976"/>
      <c r="BH132" s="3976"/>
      <c r="BI132" s="3977"/>
      <c r="BJ132" s="3975"/>
      <c r="BK132" s="3976"/>
      <c r="BL132" s="3976"/>
      <c r="BM132" s="3976"/>
      <c r="BN132" s="3976"/>
      <c r="BO132" s="3976"/>
      <c r="BP132" s="3976"/>
      <c r="BQ132" s="3977"/>
      <c r="BR132" s="3975"/>
      <c r="BS132" s="3976"/>
      <c r="BT132" s="3976"/>
      <c r="BU132" s="3976"/>
      <c r="BV132" s="3976"/>
      <c r="BW132" s="3976"/>
      <c r="BX132" s="3976"/>
      <c r="BY132" s="3977"/>
      <c r="BZ132" s="3975"/>
      <c r="CA132" s="3976"/>
      <c r="CB132" s="3976"/>
      <c r="CC132" s="3976"/>
      <c r="CD132" s="3976"/>
      <c r="CE132" s="3976"/>
      <c r="CF132" s="3976"/>
      <c r="CG132" s="3977"/>
      <c r="CH132" s="3975"/>
      <c r="CI132" s="3976"/>
      <c r="CJ132" s="3976"/>
      <c r="CK132" s="3976"/>
      <c r="CL132" s="3976"/>
      <c r="CM132" s="3976"/>
      <c r="CN132" s="3976"/>
      <c r="CO132" s="3977"/>
      <c r="CP132" s="3975"/>
      <c r="CQ132" s="3976"/>
      <c r="CR132" s="3976"/>
      <c r="CS132" s="3976"/>
      <c r="CT132" s="3976"/>
      <c r="CU132" s="3976"/>
      <c r="CV132" s="3976"/>
      <c r="CW132" s="3977"/>
      <c r="CX132" s="3975"/>
      <c r="CY132" s="3976"/>
      <c r="CZ132" s="3976"/>
      <c r="DA132" s="3976"/>
      <c r="DB132" s="3976"/>
      <c r="DC132" s="3976"/>
      <c r="DD132" s="3976"/>
      <c r="DE132" s="3977"/>
      <c r="DF132" s="3977"/>
      <c r="DG132" s="4250" t="s">
        <v>468</v>
      </c>
      <c r="DH132" s="4143"/>
      <c r="DI132" s="4251"/>
      <c r="DJ132" s="4251" t="str">
        <f>IF(T132="","",T132)</f>
        <v>Группа потребителей</v>
      </c>
      <c r="DK132" s="4251"/>
      <c r="DL132" s="4251"/>
      <c r="DM132" s="3961">
        <v>0</v>
      </c>
    </row>
    <row s="33323" customFormat="1" customHeight="1" ht="21">
      <c r="A133" s="4238"/>
      <c r="B133" s="4238"/>
      <c r="C133" s="4238"/>
      <c r="D133" s="4238"/>
      <c r="E133" s="4239"/>
      <c r="F133" s="4239"/>
      <c r="G133" s="4239"/>
      <c r="H133" s="4239"/>
      <c r="I133" s="4240"/>
      <c r="J133" s="4240">
        <f>I127&amp;".1"</f>
      </c>
      <c r="K133" s="4241">
        <f>J132&amp;".1"</f>
      </c>
      <c r="L133" s="4242" t="s">
        <v>469</v>
      </c>
      <c r="M133" s="4135"/>
      <c r="N133" s="4135"/>
      <c r="O133" s="4135"/>
      <c r="P133" s="4244"/>
      <c r="Q133" s="4244"/>
      <c r="R133" s="4246">
        <v>1</v>
      </c>
      <c r="S133" s="4247">
        <f>$K133</f>
      </c>
      <c r="T133" s="4253" t="s">
        <v>508</v>
      </c>
      <c r="U133" s="4249"/>
      <c r="V133" s="3978"/>
      <c r="W133" s="3979"/>
      <c r="X133" s="3978"/>
      <c r="Y133" s="3980"/>
      <c r="Z133" s="3981"/>
      <c r="AA133" s="3365" t="s">
        <v>64</v>
      </c>
      <c r="AB133" s="3981"/>
      <c r="AC133" s="3365" t="s">
        <v>64</v>
      </c>
      <c r="AD133" s="3978">
        <v>63.07</v>
      </c>
      <c r="AE133" s="3979"/>
      <c r="AF133" s="3978"/>
      <c r="AG133" s="3980"/>
      <c r="AH133" s="3981">
        <v>45292</v>
      </c>
      <c r="AI133" s="3365" t="s">
        <v>64</v>
      </c>
      <c r="AJ133" s="3981">
        <v>45473</v>
      </c>
      <c r="AK133" s="3365" t="s">
        <v>64</v>
      </c>
      <c r="AL133" s="3978">
        <v>94.6</v>
      </c>
      <c r="AM133" s="3979"/>
      <c r="AN133" s="3978"/>
      <c r="AO133" s="3980"/>
      <c r="AP133" s="3981">
        <v>45474</v>
      </c>
      <c r="AQ133" s="3365" t="s">
        <v>64</v>
      </c>
      <c r="AR133" s="3981">
        <v>45657</v>
      </c>
      <c r="AS133" s="3365" t="s">
        <v>64</v>
      </c>
      <c r="AT133" s="3978">
        <v>94.6</v>
      </c>
      <c r="AU133" s="3979"/>
      <c r="AV133" s="3978"/>
      <c r="AW133" s="3980"/>
      <c r="AX133" s="3981">
        <v>45658</v>
      </c>
      <c r="AY133" s="3365" t="s">
        <v>64</v>
      </c>
      <c r="AZ133" s="3981">
        <v>45838</v>
      </c>
      <c r="BA133" s="3365" t="s">
        <v>64</v>
      </c>
      <c r="BB133" s="3978">
        <v>106.14</v>
      </c>
      <c r="BC133" s="3979"/>
      <c r="BD133" s="3978"/>
      <c r="BE133" s="3980"/>
      <c r="BF133" s="3981">
        <v>45839</v>
      </c>
      <c r="BG133" s="3365" t="s">
        <v>64</v>
      </c>
      <c r="BH133" s="3981">
        <v>46022</v>
      </c>
      <c r="BI133" s="3365" t="s">
        <v>64</v>
      </c>
      <c r="BJ133" s="3978">
        <v>141.9</v>
      </c>
      <c r="BK133" s="3979"/>
      <c r="BL133" s="3978"/>
      <c r="BM133" s="3980"/>
      <c r="BN133" s="3981">
        <v>46023</v>
      </c>
      <c r="BO133" s="3365" t="s">
        <v>64</v>
      </c>
      <c r="BP133" s="3981">
        <v>46203</v>
      </c>
      <c r="BQ133" s="3365" t="s">
        <v>64</v>
      </c>
      <c r="BR133" s="3978">
        <v>205.76</v>
      </c>
      <c r="BS133" s="3979"/>
      <c r="BT133" s="3978"/>
      <c r="BU133" s="3980"/>
      <c r="BV133" s="3981">
        <v>46204</v>
      </c>
      <c r="BW133" s="3365" t="s">
        <v>64</v>
      </c>
      <c r="BX133" s="3981">
        <v>46387</v>
      </c>
      <c r="BY133" s="3365" t="s">
        <v>64</v>
      </c>
      <c r="BZ133" s="3978">
        <v>205.76</v>
      </c>
      <c r="CA133" s="3979"/>
      <c r="CB133" s="3978"/>
      <c r="CC133" s="3980"/>
      <c r="CD133" s="3981">
        <v>46388</v>
      </c>
      <c r="CE133" s="3365" t="s">
        <v>64</v>
      </c>
      <c r="CF133" s="3981">
        <v>46568</v>
      </c>
      <c r="CG133" s="3365" t="s">
        <v>64</v>
      </c>
      <c r="CH133" s="3978">
        <v>298.35</v>
      </c>
      <c r="CI133" s="3979"/>
      <c r="CJ133" s="3978"/>
      <c r="CK133" s="3980"/>
      <c r="CL133" s="3981">
        <v>46569</v>
      </c>
      <c r="CM133" s="3365" t="s">
        <v>64</v>
      </c>
      <c r="CN133" s="3981">
        <v>46752</v>
      </c>
      <c r="CO133" s="3365" t="s">
        <v>64</v>
      </c>
      <c r="CP133" s="3978">
        <v>298.35</v>
      </c>
      <c r="CQ133" s="3979"/>
      <c r="CR133" s="3978"/>
      <c r="CS133" s="3980"/>
      <c r="CT133" s="3981">
        <v>46753</v>
      </c>
      <c r="CU133" s="3365" t="s">
        <v>64</v>
      </c>
      <c r="CV133" s="3981">
        <v>46934</v>
      </c>
      <c r="CW133" s="3365" t="s">
        <v>64</v>
      </c>
      <c r="CX133" s="3978">
        <v>430.55</v>
      </c>
      <c r="CY133" s="3979"/>
      <c r="CZ133" s="3978"/>
      <c r="DA133" s="3980"/>
      <c r="DB133" s="3981">
        <v>46935</v>
      </c>
      <c r="DC133" s="3365" t="s">
        <v>64</v>
      </c>
      <c r="DD133" s="3981">
        <v>47118</v>
      </c>
      <c r="DE133" s="3365" t="s">
        <v>64</v>
      </c>
      <c r="DF133" s="3979"/>
      <c r="DG133" s="4254" t="s">
        <v>470</v>
      </c>
      <c r="DH133" s="4143">
        <f>STRCHECKDATE(V134:DF134)</f>
      </c>
      <c r="DI133" s="4251"/>
      <c r="DJ133" s="4251" t="str">
        <f>IF(T133="","",T133)</f>
        <v>вода</v>
      </c>
      <c r="DK133" s="4251"/>
      <c r="DL133" s="4251"/>
      <c r="DM133" s="3961">
        <v>0</v>
      </c>
    </row>
    <row s="33324" customFormat="1" customHeight="1" ht="0.75">
      <c r="A134" s="4238"/>
      <c r="B134" s="4238"/>
      <c r="C134" s="4238"/>
      <c r="D134" s="4238"/>
      <c r="E134" s="4239"/>
      <c r="F134" s="4239"/>
      <c r="G134" s="4239"/>
      <c r="H134" s="4239"/>
      <c r="I134" s="4240"/>
      <c r="J134" s="4240">
        <f>I127&amp;".1"</f>
      </c>
      <c r="K134" s="4241"/>
      <c r="L134" s="4242"/>
      <c r="M134" s="4135"/>
      <c r="N134" s="4135"/>
      <c r="O134" s="4135"/>
      <c r="P134" s="4244"/>
      <c r="Q134" s="4244"/>
      <c r="R134" s="4246"/>
      <c r="S134" s="4256"/>
      <c r="T134" s="4249"/>
      <c r="U134" s="4249"/>
      <c r="V134" s="3979"/>
      <c r="W134" s="3979"/>
      <c r="X134" s="3979"/>
      <c r="Y134" s="3982" t="str">
        <f>Z133&amp;"-"&amp;AB133</f>
        <v>-</v>
      </c>
      <c r="Z134" s="3983"/>
      <c r="AA134" s="3365"/>
      <c r="AB134" s="3983"/>
      <c r="AC134" s="3365"/>
      <c r="AD134" s="3979"/>
      <c r="AE134" s="3979"/>
      <c r="AF134" s="3979"/>
      <c r="AG134" s="3982" t="str">
        <f>AH133&amp;"-"&amp;AJ133</f>
        <v>45292-45473</v>
      </c>
      <c r="AH134" s="3983"/>
      <c r="AI134" s="3365"/>
      <c r="AJ134" s="3983"/>
      <c r="AK134" s="3365"/>
      <c r="AL134" s="3979"/>
      <c r="AM134" s="3979"/>
      <c r="AN134" s="3979"/>
      <c r="AO134" s="3982" t="str">
        <f>AP133&amp;"-"&amp;AR133</f>
        <v>45474-45657</v>
      </c>
      <c r="AP134" s="3983"/>
      <c r="AQ134" s="3365"/>
      <c r="AR134" s="3983"/>
      <c r="AS134" s="3365"/>
      <c r="AT134" s="3979"/>
      <c r="AU134" s="3979"/>
      <c r="AV134" s="3979"/>
      <c r="AW134" s="3982" t="str">
        <f>AX133&amp;"-"&amp;AZ133</f>
        <v>45658-45838</v>
      </c>
      <c r="AX134" s="3983"/>
      <c r="AY134" s="3365"/>
      <c r="AZ134" s="3983"/>
      <c r="BA134" s="3365"/>
      <c r="BB134" s="3979"/>
      <c r="BC134" s="3979"/>
      <c r="BD134" s="3979"/>
      <c r="BE134" s="3982" t="str">
        <f>BF133&amp;"-"&amp;BH133</f>
        <v>45839-46022</v>
      </c>
      <c r="BF134" s="3983"/>
      <c r="BG134" s="3365"/>
      <c r="BH134" s="3983"/>
      <c r="BI134" s="3365"/>
      <c r="BJ134" s="3979"/>
      <c r="BK134" s="3979"/>
      <c r="BL134" s="3979"/>
      <c r="BM134" s="3982" t="str">
        <f>BN133&amp;"-"&amp;BP133</f>
        <v>46023-46203</v>
      </c>
      <c r="BN134" s="3983"/>
      <c r="BO134" s="3365"/>
      <c r="BP134" s="3983"/>
      <c r="BQ134" s="3365"/>
      <c r="BR134" s="3979"/>
      <c r="BS134" s="3979"/>
      <c r="BT134" s="3979"/>
      <c r="BU134" s="3982" t="str">
        <f>BV133&amp;"-"&amp;BX133</f>
        <v>46204-46387</v>
      </c>
      <c r="BV134" s="3983"/>
      <c r="BW134" s="3365"/>
      <c r="BX134" s="3983"/>
      <c r="BY134" s="3365"/>
      <c r="BZ134" s="3979"/>
      <c r="CA134" s="3979"/>
      <c r="CB134" s="3979"/>
      <c r="CC134" s="3982" t="str">
        <f>CD133&amp;"-"&amp;CF133</f>
        <v>46388-46568</v>
      </c>
      <c r="CD134" s="3983"/>
      <c r="CE134" s="3365"/>
      <c r="CF134" s="3983"/>
      <c r="CG134" s="3365"/>
      <c r="CH134" s="3979"/>
      <c r="CI134" s="3979"/>
      <c r="CJ134" s="3979"/>
      <c r="CK134" s="3982" t="str">
        <f>CL133&amp;"-"&amp;CN133</f>
        <v>46569-46752</v>
      </c>
      <c r="CL134" s="3983"/>
      <c r="CM134" s="3365"/>
      <c r="CN134" s="3983"/>
      <c r="CO134" s="3365"/>
      <c r="CP134" s="3979"/>
      <c r="CQ134" s="3979"/>
      <c r="CR134" s="3979"/>
      <c r="CS134" s="3982" t="str">
        <f>CT133&amp;"-"&amp;CV133</f>
        <v>46753-46934</v>
      </c>
      <c r="CT134" s="3983"/>
      <c r="CU134" s="3365"/>
      <c r="CV134" s="3983"/>
      <c r="CW134" s="3365"/>
      <c r="CX134" s="3979"/>
      <c r="CY134" s="3979"/>
      <c r="CZ134" s="3979"/>
      <c r="DA134" s="3982" t="str">
        <f>DB133&amp;"-"&amp;DD133</f>
        <v>46935-47118</v>
      </c>
      <c r="DB134" s="3983"/>
      <c r="DC134" s="3365"/>
      <c r="DD134" s="3983"/>
      <c r="DE134" s="3365"/>
      <c r="DF134" s="3979"/>
      <c r="DG134" s="4257"/>
      <c r="DH134" s="4143"/>
      <c r="DI134" s="4251"/>
      <c r="DJ134" s="4251" t="str">
        <f>IF(T134="","",T134)</f>
        <v/>
      </c>
      <c r="DK134" s="4251"/>
      <c r="DL134" s="4251"/>
      <c r="DM134" s="3961">
        <v>0</v>
      </c>
    </row>
    <row s="33325" customFormat="1" customHeight="1" ht="15">
      <c r="A135" s="4238"/>
      <c r="B135" s="4238"/>
      <c r="C135" s="4238"/>
      <c r="D135" s="4238"/>
      <c r="E135" s="4239"/>
      <c r="F135" s="4239"/>
      <c r="G135" s="4239"/>
      <c r="H135" s="4239"/>
      <c r="I135" s="4240"/>
      <c r="J135" s="4241">
        <f>I127&amp;".1"</f>
      </c>
      <c r="K135" s="4238"/>
      <c r="L135" s="4242"/>
      <c r="M135" s="4135"/>
      <c r="N135" s="4135"/>
      <c r="O135" s="4243"/>
      <c r="P135" s="4244"/>
      <c r="Q135" s="4244"/>
      <c r="R135" s="4259"/>
      <c r="S135" s="5730"/>
      <c r="T135" s="5731" t="s">
        <v>471</v>
      </c>
      <c r="U135" s="5732"/>
      <c r="V135" s="5733"/>
      <c r="W135" s="5734"/>
      <c r="X135" s="5735"/>
      <c r="Y135" s="5736"/>
      <c r="Z135" s="5737"/>
      <c r="AA135" s="5738"/>
      <c r="AB135" s="5739"/>
      <c r="AC135" s="5740"/>
      <c r="AD135" s="5741"/>
      <c r="AE135" s="5742"/>
      <c r="AF135" s="5743"/>
      <c r="AG135" s="5744"/>
      <c r="AH135" s="5745"/>
      <c r="AI135" s="5746"/>
      <c r="AJ135" s="5747"/>
      <c r="AK135" s="5748"/>
      <c r="AL135" s="5749"/>
      <c r="AM135" s="5750"/>
      <c r="AN135" s="5751"/>
      <c r="AO135" s="5752"/>
      <c r="AP135" s="5753"/>
      <c r="AQ135" s="5754"/>
      <c r="AR135" s="5755"/>
      <c r="AS135" s="5756"/>
      <c r="AT135" s="5757"/>
      <c r="AU135" s="5758"/>
      <c r="AV135" s="5759"/>
      <c r="AW135" s="5760"/>
      <c r="AX135" s="5761"/>
      <c r="AY135" s="5762"/>
      <c r="AZ135" s="5763"/>
      <c r="BA135" s="5764"/>
      <c r="BB135" s="5765"/>
      <c r="BC135" s="5766"/>
      <c r="BD135" s="5767"/>
      <c r="BE135" s="5768"/>
      <c r="BF135" s="5769"/>
      <c r="BG135" s="5770"/>
      <c r="BH135" s="5771"/>
      <c r="BI135" s="5772"/>
      <c r="BJ135" s="5773"/>
      <c r="BK135" s="5774"/>
      <c r="BL135" s="5775"/>
      <c r="BM135" s="5776"/>
      <c r="BN135" s="5777"/>
      <c r="BO135" s="5778"/>
      <c r="BP135" s="5779"/>
      <c r="BQ135" s="5780"/>
      <c r="BR135" s="5781"/>
      <c r="BS135" s="5782"/>
      <c r="BT135" s="5783"/>
      <c r="BU135" s="5784"/>
      <c r="BV135" s="5785"/>
      <c r="BW135" s="5786"/>
      <c r="BX135" s="5787"/>
      <c r="BY135" s="5788"/>
      <c r="BZ135" s="5789"/>
      <c r="CA135" s="5790"/>
      <c r="CB135" s="5791"/>
      <c r="CC135" s="5792"/>
      <c r="CD135" s="5793"/>
      <c r="CE135" s="5794"/>
      <c r="CF135" s="5795"/>
      <c r="CG135" s="5796"/>
      <c r="CH135" s="5797"/>
      <c r="CI135" s="5798"/>
      <c r="CJ135" s="5799"/>
      <c r="CK135" s="5800"/>
      <c r="CL135" s="5801"/>
      <c r="CM135" s="5802"/>
      <c r="CN135" s="5803"/>
      <c r="CO135" s="5804"/>
      <c r="CP135" s="5805"/>
      <c r="CQ135" s="5806"/>
      <c r="CR135" s="5807"/>
      <c r="CS135" s="5808"/>
      <c r="CT135" s="5809"/>
      <c r="CU135" s="5810"/>
      <c r="CV135" s="5811"/>
      <c r="CW135" s="5812"/>
      <c r="CX135" s="5813"/>
      <c r="CY135" s="5814"/>
      <c r="CZ135" s="5815"/>
      <c r="DA135" s="5816"/>
      <c r="DB135" s="5817"/>
      <c r="DC135" s="5818"/>
      <c r="DD135" s="5819"/>
      <c r="DE135" s="5820"/>
      <c r="DF135" s="5821"/>
      <c r="DG135" s="4352"/>
      <c r="DH135" s="4143"/>
      <c r="DI135" s="4251"/>
      <c r="DJ135" s="4251" t="str">
        <f>IF(T135="","",T135)</f>
        <v>Добавить вид теплоносителя (параметры теплоносителя)</v>
      </c>
      <c r="DK135" s="4251"/>
      <c r="DL135" s="4251"/>
      <c r="DM135" s="3961">
        <v>0</v>
      </c>
    </row>
    <row s="33418" customFormat="1" customHeight="1" ht="15">
      <c r="A136" s="4238"/>
      <c r="B136" s="4238"/>
      <c r="C136" s="4238"/>
      <c r="D136" s="4238"/>
      <c r="E136" s="4239"/>
      <c r="F136" s="4239" t="s">
        <v>124</v>
      </c>
      <c r="G136" s="4239"/>
      <c r="H136" s="4239"/>
      <c r="I136" s="4241"/>
      <c r="J136" s="4238"/>
      <c r="K136" s="4238"/>
      <c r="L136" s="4242"/>
      <c r="M136" s="4135"/>
      <c r="N136" s="4243"/>
      <c r="O136" s="4243"/>
      <c r="P136" s="4244"/>
      <c r="Q136" s="4244"/>
      <c r="R136" s="4259"/>
      <c r="S136" s="5823"/>
      <c r="T136" s="5824" t="s">
        <v>472</v>
      </c>
      <c r="U136" s="5825"/>
      <c r="V136" s="5826"/>
      <c r="W136" s="5827"/>
      <c r="X136" s="5828"/>
      <c r="Y136" s="5829"/>
      <c r="Z136" s="5830"/>
      <c r="AA136" s="5831"/>
      <c r="AB136" s="5832"/>
      <c r="AC136" s="5833"/>
      <c r="AD136" s="5834"/>
      <c r="AE136" s="5835"/>
      <c r="AF136" s="5836"/>
      <c r="AG136" s="5837"/>
      <c r="AH136" s="5838"/>
      <c r="AI136" s="5839"/>
      <c r="AJ136" s="5840"/>
      <c r="AK136" s="5841"/>
      <c r="AL136" s="5842"/>
      <c r="AM136" s="5843"/>
      <c r="AN136" s="5844"/>
      <c r="AO136" s="5845"/>
      <c r="AP136" s="5846"/>
      <c r="AQ136" s="5847"/>
      <c r="AR136" s="5848"/>
      <c r="AS136" s="5849"/>
      <c r="AT136" s="5850"/>
      <c r="AU136" s="5851"/>
      <c r="AV136" s="5852"/>
      <c r="AW136" s="5853"/>
      <c r="AX136" s="5854"/>
      <c r="AY136" s="5855"/>
      <c r="AZ136" s="5856"/>
      <c r="BA136" s="5857"/>
      <c r="BB136" s="5858"/>
      <c r="BC136" s="5859"/>
      <c r="BD136" s="5860"/>
      <c r="BE136" s="5861"/>
      <c r="BF136" s="5862"/>
      <c r="BG136" s="5863"/>
      <c r="BH136" s="5864"/>
      <c r="BI136" s="5865"/>
      <c r="BJ136" s="5866"/>
      <c r="BK136" s="5867"/>
      <c r="BL136" s="5868"/>
      <c r="BM136" s="5869"/>
      <c r="BN136" s="5870"/>
      <c r="BO136" s="5871"/>
      <c r="BP136" s="5872"/>
      <c r="BQ136" s="5873"/>
      <c r="BR136" s="5874"/>
      <c r="BS136" s="5875"/>
      <c r="BT136" s="5876"/>
      <c r="BU136" s="5877"/>
      <c r="BV136" s="5878"/>
      <c r="BW136" s="5879"/>
      <c r="BX136" s="5880"/>
      <c r="BY136" s="5881"/>
      <c r="BZ136" s="5882"/>
      <c r="CA136" s="5883"/>
      <c r="CB136" s="5884"/>
      <c r="CC136" s="5885"/>
      <c r="CD136" s="5886"/>
      <c r="CE136" s="5887"/>
      <c r="CF136" s="5888"/>
      <c r="CG136" s="5889"/>
      <c r="CH136" s="5890"/>
      <c r="CI136" s="5891"/>
      <c r="CJ136" s="5892"/>
      <c r="CK136" s="5893"/>
      <c r="CL136" s="5894"/>
      <c r="CM136" s="5895"/>
      <c r="CN136" s="5896"/>
      <c r="CO136" s="5897"/>
      <c r="CP136" s="5898"/>
      <c r="CQ136" s="5899"/>
      <c r="CR136" s="5900"/>
      <c r="CS136" s="5901"/>
      <c r="CT136" s="5902"/>
      <c r="CU136" s="5903"/>
      <c r="CV136" s="5904"/>
      <c r="CW136" s="5905"/>
      <c r="CX136" s="5906"/>
      <c r="CY136" s="5907"/>
      <c r="CZ136" s="5908"/>
      <c r="DA136" s="5909"/>
      <c r="DB136" s="5910"/>
      <c r="DC136" s="5911"/>
      <c r="DD136" s="5912"/>
      <c r="DE136" s="5913"/>
      <c r="DF136" s="5914"/>
      <c r="DG136" s="5915"/>
      <c r="DH136" s="4143"/>
      <c r="DI136" s="4251"/>
      <c r="DJ136" s="4251" t="str">
        <f>IF(T136="","",T136)</f>
        <v>Добавить группу потребителей</v>
      </c>
      <c r="DK136" s="4251"/>
      <c r="DL136" s="4251"/>
      <c r="DM136" s="3961">
        <v>0</v>
      </c>
    </row>
    <row s="33512" customFormat="1" customHeight="1" ht="14.25">
      <c r="A137" s="4238"/>
      <c r="B137" s="4238"/>
      <c r="C137" s="4238"/>
      <c r="D137" s="4238"/>
      <c r="E137" s="4239"/>
      <c r="F137" s="4239" t="s">
        <v>124</v>
      </c>
      <c r="G137" s="4239"/>
      <c r="H137" s="4426"/>
      <c r="I137" s="4238"/>
      <c r="J137" s="4238"/>
      <c r="K137" s="4238"/>
      <c r="L137" s="4242"/>
      <c r="M137" s="4427"/>
      <c r="N137" s="4427"/>
      <c r="O137" s="4135"/>
      <c r="P137" s="4729"/>
      <c r="Q137" s="4730"/>
      <c r="R137" s="4731"/>
      <c r="S137" s="4732"/>
      <c r="T137" s="4733"/>
      <c r="U137" s="4131"/>
      <c r="V137" s="4131"/>
      <c r="W137" s="4131"/>
      <c r="X137" s="4131"/>
      <c r="Y137" s="4131"/>
      <c r="Z137" s="4131"/>
      <c r="AA137" s="4131"/>
      <c r="AB137" s="4131"/>
      <c r="AC137" s="4131"/>
      <c r="AD137" s="4131"/>
      <c r="AE137" s="4131"/>
      <c r="AF137" s="4131"/>
      <c r="AG137" s="4131"/>
      <c r="AH137" s="4131"/>
      <c r="AI137" s="4131"/>
      <c r="AJ137" s="4131"/>
      <c r="AK137" s="4131"/>
      <c r="AL137" s="4131"/>
      <c r="AM137" s="4131"/>
      <c r="AN137" s="4131"/>
      <c r="AO137" s="4131"/>
      <c r="AP137" s="4131"/>
      <c r="AQ137" s="4131"/>
      <c r="AR137" s="4131"/>
      <c r="AS137" s="4131"/>
      <c r="AT137" s="4131"/>
      <c r="AU137" s="4131"/>
      <c r="AV137" s="4131"/>
      <c r="AW137" s="4131"/>
      <c r="AX137" s="4131"/>
      <c r="AY137" s="4131"/>
      <c r="AZ137" s="4131"/>
      <c r="BA137" s="4131"/>
      <c r="BB137" s="4131"/>
      <c r="BC137" s="4131"/>
      <c r="BD137" s="4131"/>
      <c r="BE137" s="4131"/>
      <c r="BF137" s="4131"/>
      <c r="BG137" s="4131"/>
      <c r="BH137" s="4131"/>
      <c r="BI137" s="4131"/>
      <c r="BJ137" s="4131"/>
      <c r="BK137" s="4131"/>
      <c r="BL137" s="4131"/>
      <c r="BM137" s="4131"/>
      <c r="BN137" s="4131"/>
      <c r="BO137" s="4131"/>
      <c r="BP137" s="4131"/>
      <c r="BQ137" s="4131"/>
      <c r="BR137" s="4131"/>
      <c r="BS137" s="4131"/>
      <c r="BT137" s="4131"/>
      <c r="BU137" s="4131"/>
      <c r="BV137" s="4131"/>
      <c r="BW137" s="4131"/>
      <c r="BX137" s="4131"/>
      <c r="BY137" s="4131"/>
      <c r="BZ137" s="4131"/>
      <c r="CA137" s="4131"/>
      <c r="CB137" s="4131"/>
      <c r="CC137" s="4131"/>
      <c r="CD137" s="4131"/>
      <c r="CE137" s="4131"/>
      <c r="CF137" s="4131"/>
      <c r="CG137" s="4131"/>
      <c r="CH137" s="4131"/>
      <c r="CI137" s="4131"/>
      <c r="CJ137" s="4131"/>
      <c r="CK137" s="4131"/>
      <c r="CL137" s="4131"/>
      <c r="CM137" s="4131"/>
      <c r="CN137" s="4131"/>
      <c r="CO137" s="4131"/>
      <c r="CP137" s="4131"/>
      <c r="CQ137" s="4131"/>
      <c r="CR137" s="4131"/>
      <c r="CS137" s="4131"/>
      <c r="CT137" s="4131"/>
      <c r="CU137" s="4131"/>
      <c r="CV137" s="4131"/>
      <c r="CW137" s="4131"/>
      <c r="CX137" s="4131"/>
      <c r="CY137" s="4131"/>
      <c r="CZ137" s="4131"/>
      <c r="DA137" s="4131"/>
      <c r="DB137" s="4131"/>
      <c r="DC137" s="4131"/>
      <c r="DD137" s="4131"/>
      <c r="DE137" s="4131"/>
      <c r="DF137" s="4131"/>
      <c r="DG137" s="4734"/>
      <c r="DH137" s="4143"/>
      <c r="DI137" s="4251"/>
      <c r="DJ137" s="4251" t="str">
        <f>IF(T137="","",T137)</f>
        <v/>
      </c>
      <c r="DK137" s="4251"/>
      <c r="DL137" s="4251"/>
      <c r="DM137" s="3961">
        <v>0</v>
      </c>
    </row>
    <row s="33513" customFormat="1" customHeight="1" ht="0.75">
      <c r="A138" s="4736"/>
      <c r="B138" s="4736"/>
      <c r="C138" s="4736"/>
      <c r="D138" s="4736"/>
      <c r="E138" s="4239"/>
      <c r="F138" s="4239" t="s">
        <v>124</v>
      </c>
      <c r="G138" s="4426"/>
      <c r="H138" s="4736"/>
      <c r="I138" s="4736"/>
      <c r="J138" s="4736"/>
      <c r="K138" s="4736"/>
      <c r="L138" s="4737"/>
      <c r="M138" s="4738"/>
      <c r="N138" s="4738"/>
      <c r="O138" s="4143"/>
      <c r="P138" s="4739"/>
      <c r="Q138" s="4740"/>
      <c r="R138" s="4739"/>
      <c r="S138" s="4741"/>
      <c r="T138" s="4742" t="s">
        <v>213</v>
      </c>
      <c r="U138" s="4133"/>
      <c r="V138" s="4133"/>
      <c r="W138" s="4133"/>
      <c r="X138" s="4133"/>
      <c r="Y138" s="4133"/>
      <c r="Z138" s="4133"/>
      <c r="AA138" s="4133"/>
      <c r="AB138" s="4133"/>
      <c r="AC138" s="4133"/>
      <c r="AD138" s="4133"/>
      <c r="AE138" s="4133"/>
      <c r="AF138" s="4133"/>
      <c r="AG138" s="4133"/>
      <c r="AH138" s="4133"/>
      <c r="AI138" s="4133"/>
      <c r="AJ138" s="4133"/>
      <c r="AK138" s="4133"/>
      <c r="AL138" s="4133"/>
      <c r="AM138" s="4133"/>
      <c r="AN138" s="4133"/>
      <c r="AO138" s="4133"/>
      <c r="AP138" s="4133"/>
      <c r="AQ138" s="4133"/>
      <c r="AR138" s="4133"/>
      <c r="AS138" s="4133"/>
      <c r="AT138" s="4133"/>
      <c r="AU138" s="4133"/>
      <c r="AV138" s="4133"/>
      <c r="AW138" s="4133"/>
      <c r="AX138" s="4133"/>
      <c r="AY138" s="4133"/>
      <c r="AZ138" s="4133"/>
      <c r="BA138" s="4133"/>
      <c r="BB138" s="4133"/>
      <c r="BC138" s="4133"/>
      <c r="BD138" s="4133"/>
      <c r="BE138" s="4133"/>
      <c r="BF138" s="4133"/>
      <c r="BG138" s="4133"/>
      <c r="BH138" s="4133"/>
      <c r="BI138" s="4133"/>
      <c r="BJ138" s="4133"/>
      <c r="BK138" s="4133"/>
      <c r="BL138" s="4133"/>
      <c r="BM138" s="4133"/>
      <c r="BN138" s="4133"/>
      <c r="BO138" s="4133"/>
      <c r="BP138" s="4133"/>
      <c r="BQ138" s="4133"/>
      <c r="BR138" s="4133"/>
      <c r="BS138" s="4133"/>
      <c r="BT138" s="4133"/>
      <c r="BU138" s="4133"/>
      <c r="BV138" s="4133"/>
      <c r="BW138" s="4133"/>
      <c r="BX138" s="4133"/>
      <c r="BY138" s="4133"/>
      <c r="BZ138" s="4133"/>
      <c r="CA138" s="4133"/>
      <c r="CB138" s="4133"/>
      <c r="CC138" s="4133"/>
      <c r="CD138" s="4133"/>
      <c r="CE138" s="4133"/>
      <c r="CF138" s="4133"/>
      <c r="CG138" s="4133"/>
      <c r="CH138" s="4133"/>
      <c r="CI138" s="4133"/>
      <c r="CJ138" s="4133"/>
      <c r="CK138" s="4133"/>
      <c r="CL138" s="4133"/>
      <c r="CM138" s="4133"/>
      <c r="CN138" s="4133"/>
      <c r="CO138" s="4133"/>
      <c r="CP138" s="4133"/>
      <c r="CQ138" s="4133"/>
      <c r="CR138" s="4133"/>
      <c r="CS138" s="4133"/>
      <c r="CT138" s="4133"/>
      <c r="CU138" s="4133"/>
      <c r="CV138" s="4133"/>
      <c r="CW138" s="4133"/>
      <c r="CX138" s="4133"/>
      <c r="CY138" s="4133"/>
      <c r="CZ138" s="4133"/>
      <c r="DA138" s="4133"/>
      <c r="DB138" s="4133"/>
      <c r="DC138" s="4133"/>
      <c r="DD138" s="4133"/>
      <c r="DE138" s="4133"/>
      <c r="DF138" s="4133"/>
      <c r="DG138" s="4133"/>
      <c r="DH138" s="4143"/>
      <c r="DI138" s="4251"/>
      <c r="DJ138" s="4251" t="str">
        <f>IF(T138="","",T138)</f>
        <v>Добавить источник для дифференциации</v>
      </c>
      <c r="DK138" s="4251"/>
      <c r="DL138" s="4251"/>
      <c r="DM138" s="4143">
        <v>0</v>
      </c>
    </row>
    <row s="33514" customFormat="1" customHeight="1" ht="0.75">
      <c r="A139" s="4736"/>
      <c r="B139" s="4736"/>
      <c r="C139" s="4736"/>
      <c r="D139" s="4736"/>
      <c r="E139" s="4239"/>
      <c r="F139" s="4426" t="s">
        <v>124</v>
      </c>
      <c r="G139" s="4736"/>
      <c r="H139" s="4736"/>
      <c r="I139" s="4736"/>
      <c r="J139" s="4736"/>
      <c r="K139" s="4736"/>
      <c r="L139" s="4737"/>
      <c r="M139" s="4744"/>
      <c r="N139" s="4744"/>
      <c r="O139" s="4143"/>
      <c r="P139" s="4739"/>
      <c r="Q139" s="4740"/>
      <c r="R139" s="4739"/>
      <c r="S139" s="4745"/>
      <c r="T139" s="4746" t="s">
        <v>214</v>
      </c>
      <c r="U139" s="4134"/>
      <c r="V139" s="4134"/>
      <c r="W139" s="4134"/>
      <c r="X139" s="4134"/>
      <c r="Y139" s="4134"/>
      <c r="Z139" s="4134"/>
      <c r="AA139" s="4134"/>
      <c r="AB139" s="4134"/>
      <c r="AC139" s="4134"/>
      <c r="AD139" s="4134"/>
      <c r="AE139" s="4134"/>
      <c r="AF139" s="4134"/>
      <c r="AG139" s="4134"/>
      <c r="AH139" s="4134"/>
      <c r="AI139" s="4134"/>
      <c r="AJ139" s="4134"/>
      <c r="AK139" s="4134"/>
      <c r="AL139" s="4134"/>
      <c r="AM139" s="4134"/>
      <c r="AN139" s="4134"/>
      <c r="AO139" s="4134"/>
      <c r="AP139" s="4134"/>
      <c r="AQ139" s="4134"/>
      <c r="AR139" s="4134"/>
      <c r="AS139" s="4134"/>
      <c r="AT139" s="4134"/>
      <c r="AU139" s="4134"/>
      <c r="AV139" s="4134"/>
      <c r="AW139" s="4134"/>
      <c r="AX139" s="4134"/>
      <c r="AY139" s="4134"/>
      <c r="AZ139" s="4134"/>
      <c r="BA139" s="4134"/>
      <c r="BB139" s="4134"/>
      <c r="BC139" s="4134"/>
      <c r="BD139" s="4134"/>
      <c r="BE139" s="4134"/>
      <c r="BF139" s="4134"/>
      <c r="BG139" s="4134"/>
      <c r="BH139" s="4134"/>
      <c r="BI139" s="4134"/>
      <c r="BJ139" s="4134"/>
      <c r="BK139" s="4134"/>
      <c r="BL139" s="4134"/>
      <c r="BM139" s="4134"/>
      <c r="BN139" s="4134"/>
      <c r="BO139" s="4134"/>
      <c r="BP139" s="4134"/>
      <c r="BQ139" s="4134"/>
      <c r="BR139" s="4134"/>
      <c r="BS139" s="4134"/>
      <c r="BT139" s="4134"/>
      <c r="BU139" s="4134"/>
      <c r="BV139" s="4134"/>
      <c r="BW139" s="4134"/>
      <c r="BX139" s="4134"/>
      <c r="BY139" s="4134"/>
      <c r="BZ139" s="4134"/>
      <c r="CA139" s="4134"/>
      <c r="CB139" s="4134"/>
      <c r="CC139" s="4134"/>
      <c r="CD139" s="4134"/>
      <c r="CE139" s="4134"/>
      <c r="CF139" s="4134"/>
      <c r="CG139" s="4134"/>
      <c r="CH139" s="4134"/>
      <c r="CI139" s="4134"/>
      <c r="CJ139" s="4134"/>
      <c r="CK139" s="4134"/>
      <c r="CL139" s="4134"/>
      <c r="CM139" s="4134"/>
      <c r="CN139" s="4134"/>
      <c r="CO139" s="4134"/>
      <c r="CP139" s="4134"/>
      <c r="CQ139" s="4134"/>
      <c r="CR139" s="4134"/>
      <c r="CS139" s="4134"/>
      <c r="CT139" s="4134"/>
      <c r="CU139" s="4134"/>
      <c r="CV139" s="4134"/>
      <c r="CW139" s="4134"/>
      <c r="CX139" s="4134"/>
      <c r="CY139" s="4134"/>
      <c r="CZ139" s="4134"/>
      <c r="DA139" s="4134"/>
      <c r="DB139" s="4134"/>
      <c r="DC139" s="4134"/>
      <c r="DD139" s="4134"/>
      <c r="DE139" s="4134"/>
      <c r="DF139" s="4134"/>
      <c r="DG139" s="4134"/>
      <c r="DH139" s="4143"/>
      <c r="DI139" s="4251"/>
      <c r="DJ139" s="4251" t="str">
        <f>IF(T139="","",T139)</f>
        <v>Добавить централизованную систему для дифференциации</v>
      </c>
      <c r="DK139" s="4251"/>
      <c r="DL139" s="4251"/>
      <c r="DM139" s="4143">
        <v>0</v>
      </c>
    </row>
    <row s="30621" customFormat="1" customHeight="1" ht="1.05">
      <c r="A140" s="1627" t="s">
        <v>198</v>
      </c>
      <c r="B140" s="1627"/>
      <c r="C140" s="1627"/>
      <c r="D140" s="1627"/>
      <c r="E140" s="2542"/>
      <c r="F140" s="1627"/>
      <c r="G140" s="1627"/>
      <c r="H140" s="1627"/>
      <c r="I140" s="1627"/>
      <c r="J140" s="1627"/>
      <c r="K140" s="1627"/>
      <c r="L140" s="1630"/>
      <c r="M140" s="1605"/>
      <c r="N140" s="1605"/>
      <c r="O140" s="802"/>
      <c r="P140" s="664"/>
      <c r="Q140" s="1628"/>
      <c r="R140" s="664"/>
      <c r="S140" s="1606"/>
      <c r="T140" s="1609" t="s">
        <v>230</v>
      </c>
      <c r="U140" s="1608"/>
      <c r="V140" s="1608"/>
      <c r="W140" s="1608"/>
      <c r="X140" s="1608"/>
      <c r="Y140" s="1608"/>
      <c r="Z140" s="1608"/>
      <c r="AA140" s="1608"/>
      <c r="AB140" s="1608"/>
      <c r="AC140" s="1608"/>
      <c r="AD140" s="1608"/>
      <c r="AE140" s="1608"/>
      <c r="AF140" s="1608"/>
      <c r="AG140" s="1608"/>
      <c r="AH140" s="1608"/>
      <c r="AI140" s="1608"/>
      <c r="AJ140" s="1608"/>
      <c r="AK140" s="1608"/>
      <c r="AL140" s="4134"/>
      <c r="AM140" s="4134"/>
      <c r="AN140" s="4134"/>
      <c r="AO140" s="4134"/>
      <c r="AP140" s="4134"/>
      <c r="AQ140" s="4134"/>
      <c r="AR140" s="4134"/>
      <c r="AS140" s="4134"/>
      <c r="AT140" s="4134"/>
      <c r="AU140" s="4134"/>
      <c r="AV140" s="4134"/>
      <c r="AW140" s="4134"/>
      <c r="AX140" s="4134"/>
      <c r="AY140" s="4134"/>
      <c r="AZ140" s="4134"/>
      <c r="BA140" s="4134"/>
      <c r="BB140" s="4134"/>
      <c r="BC140" s="4134"/>
      <c r="BD140" s="4134"/>
      <c r="BE140" s="4134"/>
      <c r="BF140" s="4134"/>
      <c r="BG140" s="4134"/>
      <c r="BH140" s="4134"/>
      <c r="BI140" s="4134"/>
      <c r="BJ140" s="4134"/>
      <c r="BK140" s="4134"/>
      <c r="BL140" s="4134"/>
      <c r="BM140" s="4134"/>
      <c r="BN140" s="4134"/>
      <c r="BO140" s="4134"/>
      <c r="BP140" s="4134"/>
      <c r="BQ140" s="4134"/>
      <c r="BR140" s="4134"/>
      <c r="BS140" s="4134"/>
      <c r="BT140" s="4134"/>
      <c r="BU140" s="4134"/>
      <c r="BV140" s="4134"/>
      <c r="BW140" s="4134"/>
      <c r="BX140" s="4134"/>
      <c r="BY140" s="4134"/>
      <c r="BZ140" s="4134"/>
      <c r="CA140" s="4134"/>
      <c r="CB140" s="4134"/>
      <c r="CC140" s="4134"/>
      <c r="CD140" s="4134"/>
      <c r="CE140" s="4134"/>
      <c r="CF140" s="4134"/>
      <c r="CG140" s="4134"/>
      <c r="CH140" s="4134"/>
      <c r="CI140" s="4134"/>
      <c r="CJ140" s="4134"/>
      <c r="CK140" s="4134"/>
      <c r="CL140" s="4134"/>
      <c r="CM140" s="4134"/>
      <c r="CN140" s="4134"/>
      <c r="CO140" s="4134"/>
      <c r="CP140" s="4134"/>
      <c r="CQ140" s="4134"/>
      <c r="CR140" s="4134"/>
      <c r="CS140" s="4134"/>
      <c r="CT140" s="4134"/>
      <c r="CU140" s="4134"/>
      <c r="CV140" s="4134"/>
      <c r="CW140" s="4134"/>
      <c r="CX140" s="4134"/>
      <c r="CY140" s="4134"/>
      <c r="CZ140" s="4134"/>
      <c r="DA140" s="4134"/>
      <c r="DB140" s="4134"/>
      <c r="DC140" s="4134"/>
      <c r="DD140" s="4134"/>
      <c r="DE140" s="4134"/>
      <c r="DF140" s="1608"/>
      <c r="DG140" s="1608"/>
      <c r="DI140" s="784"/>
      <c r="DJ140" s="784" t="str">
        <f>IF(T140="","",T140)</f>
        <v>Добавить территорию для дифференциации</v>
      </c>
      <c r="DK140" s="784"/>
      <c r="DL140" s="784"/>
      <c r="DM140" s="795">
        <v>1</v>
      </c>
    </row>
    <row s="30621" customFormat="1" customHeight="1" ht="1.05">
      <c r="A141" s="1598"/>
      <c r="B141" s="1598"/>
      <c r="C141" s="1598"/>
      <c r="D141" s="1598"/>
      <c r="E141" s="1627"/>
      <c r="F141" s="1598"/>
      <c r="G141" s="1598"/>
      <c r="H141" s="1598"/>
      <c r="I141" s="1598"/>
      <c r="J141" s="1598"/>
      <c r="K141" s="1598"/>
      <c r="L141" s="1623"/>
      <c r="M141" s="1605"/>
      <c r="N141" s="1605"/>
      <c r="P141" s="1600"/>
      <c r="Q141" s="1601"/>
      <c r="R141" s="1600"/>
      <c r="S141" s="1606"/>
      <c r="T141" s="1609" t="s">
        <v>239</v>
      </c>
      <c r="U141" s="1608"/>
      <c r="V141" s="1608"/>
      <c r="W141" s="1608"/>
      <c r="X141" s="1608"/>
      <c r="Y141" s="1608"/>
      <c r="Z141" s="1608"/>
      <c r="AA141" s="1608"/>
      <c r="AB141" s="1608"/>
      <c r="AC141" s="1608"/>
      <c r="AD141" s="1608"/>
      <c r="AE141" s="1608"/>
      <c r="AF141" s="1608"/>
      <c r="AG141" s="1608"/>
      <c r="AH141" s="1608"/>
      <c r="AI141" s="1608"/>
      <c r="AJ141" s="1608"/>
      <c r="AK141" s="1608"/>
      <c r="AL141" s="4134"/>
      <c r="AM141" s="4134"/>
      <c r="AN141" s="4134"/>
      <c r="AO141" s="4134"/>
      <c r="AP141" s="4134"/>
      <c r="AQ141" s="4134"/>
      <c r="AR141" s="4134"/>
      <c r="AS141" s="4134"/>
      <c r="AT141" s="4134"/>
      <c r="AU141" s="4134"/>
      <c r="AV141" s="4134"/>
      <c r="AW141" s="4134"/>
      <c r="AX141" s="4134"/>
      <c r="AY141" s="4134"/>
      <c r="AZ141" s="4134"/>
      <c r="BA141" s="4134"/>
      <c r="BB141" s="4134"/>
      <c r="BC141" s="4134"/>
      <c r="BD141" s="4134"/>
      <c r="BE141" s="4134"/>
      <c r="BF141" s="4134"/>
      <c r="BG141" s="4134"/>
      <c r="BH141" s="4134"/>
      <c r="BI141" s="4134"/>
      <c r="BJ141" s="4134"/>
      <c r="BK141" s="4134"/>
      <c r="BL141" s="4134"/>
      <c r="BM141" s="4134"/>
      <c r="BN141" s="4134"/>
      <c r="BO141" s="4134"/>
      <c r="BP141" s="4134"/>
      <c r="BQ141" s="4134"/>
      <c r="BR141" s="4134"/>
      <c r="BS141" s="4134"/>
      <c r="BT141" s="4134"/>
      <c r="BU141" s="4134"/>
      <c r="BV141" s="4134"/>
      <c r="BW141" s="4134"/>
      <c r="BX141" s="4134"/>
      <c r="BY141" s="4134"/>
      <c r="BZ141" s="4134"/>
      <c r="CA141" s="4134"/>
      <c r="CB141" s="4134"/>
      <c r="CC141" s="4134"/>
      <c r="CD141" s="4134"/>
      <c r="CE141" s="4134"/>
      <c r="CF141" s="4134"/>
      <c r="CG141" s="4134"/>
      <c r="CH141" s="4134"/>
      <c r="CI141" s="4134"/>
      <c r="CJ141" s="4134"/>
      <c r="CK141" s="4134"/>
      <c r="CL141" s="4134"/>
      <c r="CM141" s="4134"/>
      <c r="CN141" s="4134"/>
      <c r="CO141" s="4134"/>
      <c r="CP141" s="4134"/>
      <c r="CQ141" s="4134"/>
      <c r="CR141" s="4134"/>
      <c r="CS141" s="4134"/>
      <c r="CT141" s="4134"/>
      <c r="CU141" s="4134"/>
      <c r="CV141" s="4134"/>
      <c r="CW141" s="4134"/>
      <c r="CX141" s="4134"/>
      <c r="CY141" s="4134"/>
      <c r="CZ141" s="4134"/>
      <c r="DA141" s="4134"/>
      <c r="DB141" s="4134"/>
      <c r="DC141" s="4134"/>
      <c r="DD141" s="4134"/>
      <c r="DE141" s="4134"/>
      <c r="DF141" s="1608"/>
      <c r="DG141" s="1608"/>
      <c r="DI141" s="1073"/>
      <c r="DJ141" s="1073" t="str">
        <f>IF(T141="","",T141)</f>
        <v>Добавить наименование тарифа</v>
      </c>
      <c r="DK141" s="1073"/>
      <c r="DL141" s="1073"/>
      <c r="DM141" s="802">
        <v>1</v>
      </c>
    </row>
    <row customHeight="1" ht="11.549999999999999">
      <c r="M142" s="1444"/>
      <c r="N142" s="1444"/>
      <c r="O142" s="821"/>
      <c r="P142" s="1439"/>
      <c r="Q142" s="1439"/>
      <c r="R142" s="1439"/>
      <c r="S142" s="1439"/>
      <c r="AL142" s="3961"/>
      <c r="AM142" s="3961"/>
      <c r="AN142" s="3961"/>
      <c r="AO142" s="3961"/>
      <c r="AP142" s="3961"/>
      <c r="AQ142" s="3961"/>
      <c r="AR142" s="3961"/>
      <c r="AS142" s="3961"/>
      <c r="AT142" s="3961"/>
      <c r="AU142" s="3961"/>
      <c r="AV142" s="3961"/>
      <c r="AW142" s="3961"/>
      <c r="AX142" s="3961"/>
      <c r="AY142" s="3961"/>
      <c r="AZ142" s="3961"/>
      <c r="BA142" s="3961"/>
      <c r="BB142" s="3961"/>
      <c r="BC142" s="3961"/>
      <c r="BD142" s="3961"/>
      <c r="BE142" s="3961"/>
      <c r="BF142" s="3961"/>
      <c r="BG142" s="3961"/>
      <c r="BH142" s="3961"/>
      <c r="BI142" s="3961"/>
      <c r="BJ142" s="3961"/>
      <c r="BK142" s="3961"/>
      <c r="BL142" s="3961"/>
      <c r="BM142" s="3961"/>
      <c r="BN142" s="3961"/>
      <c r="BO142" s="3961"/>
      <c r="BP142" s="3961"/>
      <c r="BQ142" s="3961"/>
      <c r="BR142" s="3961"/>
      <c r="BS142" s="3961"/>
      <c r="BT142" s="3961"/>
      <c r="BU142" s="3961"/>
      <c r="BV142" s="3961"/>
      <c r="BW142" s="3961"/>
      <c r="BX142" s="3961"/>
      <c r="BY142" s="3961"/>
      <c r="BZ142" s="3961"/>
      <c r="CA142" s="3961"/>
      <c r="CB142" s="3961"/>
      <c r="CC142" s="3961"/>
      <c r="CD142" s="3961"/>
      <c r="CE142" s="3961"/>
      <c r="CF142" s="3961"/>
      <c r="CG142" s="3961"/>
      <c r="CH142" s="3961"/>
      <c r="CI142" s="3961"/>
      <c r="CJ142" s="3961"/>
      <c r="CK142" s="3961"/>
      <c r="CL142" s="3961"/>
      <c r="CM142" s="3961"/>
      <c r="CN142" s="3961"/>
      <c r="CO142" s="3961"/>
      <c r="CP142" s="3961"/>
      <c r="CQ142" s="3961"/>
      <c r="CR142" s="3961"/>
      <c r="CS142" s="3961"/>
      <c r="CT142" s="3961"/>
      <c r="CU142" s="3961"/>
      <c r="CV142" s="3961"/>
      <c r="CW142" s="3961"/>
      <c r="CX142" s="3961"/>
      <c r="CY142" s="3961"/>
      <c r="CZ142" s="3961"/>
      <c r="DA142" s="3961"/>
      <c r="DB142" s="3961"/>
      <c r="DC142" s="3961"/>
      <c r="DD142" s="3961"/>
      <c r="DE142" s="3961"/>
      <c r="DH142" s="1439"/>
      <c r="DI142" s="1439"/>
      <c r="DJ142" s="1439"/>
      <c r="DK142" s="1439"/>
      <c r="DL142" s="1439"/>
      <c r="DM142" s="1439">
        <v>11</v>
      </c>
    </row>
    <row customHeight="1" ht="19.95">
      <c r="O143" s="821"/>
      <c r="S143" s="1537"/>
      <c r="T143" s="2569"/>
      <c r="U143" s="2569"/>
      <c r="V143" s="2569"/>
      <c r="W143" s="2569"/>
      <c r="X143" s="2569"/>
      <c r="Y143" s="2569"/>
      <c r="Z143" s="2569"/>
      <c r="AA143" s="2569"/>
      <c r="AB143" s="2569"/>
      <c r="AC143" s="2569"/>
      <c r="AD143" s="2569"/>
      <c r="AE143" s="2569"/>
      <c r="AF143" s="2569"/>
      <c r="AG143" s="2569"/>
      <c r="AH143" s="2569"/>
      <c r="AI143" s="2569"/>
      <c r="AJ143" s="2569"/>
      <c r="AK143" s="2569"/>
      <c r="AL143" s="6318"/>
      <c r="AM143" s="6318"/>
      <c r="AN143" s="6318"/>
      <c r="AO143" s="6318"/>
      <c r="AP143" s="6318"/>
      <c r="AQ143" s="6318"/>
      <c r="AR143" s="6318"/>
      <c r="AS143" s="6318"/>
      <c r="AT143" s="6318"/>
      <c r="AU143" s="6318"/>
      <c r="AV143" s="6318"/>
      <c r="AW143" s="6318"/>
      <c r="AX143" s="6318"/>
      <c r="AY143" s="6318"/>
      <c r="AZ143" s="6318"/>
      <c r="BA143" s="6318"/>
      <c r="BB143" s="6318"/>
      <c r="BC143" s="6318"/>
      <c r="BD143" s="6318"/>
      <c r="BE143" s="6318"/>
      <c r="BF143" s="6318"/>
      <c r="BG143" s="6318"/>
      <c r="BH143" s="6318"/>
      <c r="BI143" s="6318"/>
      <c r="BJ143" s="6318"/>
      <c r="BK143" s="6318"/>
      <c r="BL143" s="6318"/>
      <c r="BM143" s="6318"/>
      <c r="BN143" s="6318"/>
      <c r="BO143" s="6318"/>
      <c r="BP143" s="6318"/>
      <c r="BQ143" s="6318"/>
      <c r="BR143" s="6318"/>
      <c r="BS143" s="6318"/>
      <c r="BT143" s="6318"/>
      <c r="BU143" s="6318"/>
      <c r="BV143" s="6318"/>
      <c r="BW143" s="6318"/>
      <c r="BX143" s="6318"/>
      <c r="BY143" s="6318"/>
      <c r="BZ143" s="6318"/>
      <c r="CA143" s="6318"/>
      <c r="CB143" s="6318"/>
      <c r="CC143" s="6318"/>
      <c r="CD143" s="6318"/>
      <c r="CE143" s="6318"/>
      <c r="CF143" s="6318"/>
      <c r="CG143" s="6318"/>
      <c r="CH143" s="6318"/>
      <c r="CI143" s="6318"/>
      <c r="CJ143" s="6318"/>
      <c r="CK143" s="6318"/>
      <c r="CL143" s="6318"/>
      <c r="CM143" s="6318"/>
      <c r="CN143" s="6318"/>
      <c r="CO143" s="6318"/>
      <c r="CP143" s="6318"/>
      <c r="CQ143" s="6318"/>
      <c r="CR143" s="6318"/>
      <c r="CS143" s="6318"/>
      <c r="CT143" s="6318"/>
      <c r="CU143" s="6318"/>
      <c r="CV143" s="6318"/>
      <c r="CW143" s="6318"/>
      <c r="CX143" s="6318"/>
      <c r="CY143" s="6318"/>
      <c r="CZ143" s="6318"/>
      <c r="DA143" s="6318"/>
      <c r="DB143" s="6318"/>
      <c r="DC143" s="6318"/>
      <c r="DD143" s="6318"/>
      <c r="DE143" s="6318"/>
      <c r="DF143" s="2569"/>
      <c r="DG143" s="2569"/>
      <c r="DM143" s="1439">
        <v>19</v>
      </c>
    </row>
    <row customHeight="1" ht="29.25">
      <c r="O144" s="821"/>
      <c r="T144" s="2569"/>
      <c r="U144" s="2569"/>
      <c r="V144" s="2569"/>
      <c r="W144" s="2569"/>
      <c r="X144" s="2569"/>
      <c r="Y144" s="2569"/>
      <c r="Z144" s="2569"/>
      <c r="AA144" s="2569"/>
      <c r="AB144" s="2569"/>
      <c r="AC144" s="2569"/>
      <c r="AD144" s="2569"/>
      <c r="AE144" s="2569"/>
      <c r="AF144" s="2569"/>
      <c r="AG144" s="2569"/>
      <c r="AH144" s="2569"/>
      <c r="AI144" s="2569"/>
      <c r="AJ144" s="2569"/>
      <c r="AK144" s="2569"/>
      <c r="AL144" s="6318"/>
      <c r="AM144" s="6318"/>
      <c r="AN144" s="6318"/>
      <c r="AO144" s="6318"/>
      <c r="AP144" s="6318"/>
      <c r="AQ144" s="6318"/>
      <c r="AR144" s="6318"/>
      <c r="AS144" s="6318"/>
      <c r="AT144" s="6318"/>
      <c r="AU144" s="6318"/>
      <c r="AV144" s="6318"/>
      <c r="AW144" s="6318"/>
      <c r="AX144" s="6318"/>
      <c r="AY144" s="6318"/>
      <c r="AZ144" s="6318"/>
      <c r="BA144" s="6318"/>
      <c r="BB144" s="6318"/>
      <c r="BC144" s="6318"/>
      <c r="BD144" s="6318"/>
      <c r="BE144" s="6318"/>
      <c r="BF144" s="6318"/>
      <c r="BG144" s="6318"/>
      <c r="BH144" s="6318"/>
      <c r="BI144" s="6318"/>
      <c r="BJ144" s="6318"/>
      <c r="BK144" s="6318"/>
      <c r="BL144" s="6318"/>
      <c r="BM144" s="6318"/>
      <c r="BN144" s="6318"/>
      <c r="BO144" s="6318"/>
      <c r="BP144" s="6318"/>
      <c r="BQ144" s="6318"/>
      <c r="BR144" s="6318"/>
      <c r="BS144" s="6318"/>
      <c r="BT144" s="6318"/>
      <c r="BU144" s="6318"/>
      <c r="BV144" s="6318"/>
      <c r="BW144" s="6318"/>
      <c r="BX144" s="6318"/>
      <c r="BY144" s="6318"/>
      <c r="BZ144" s="6318"/>
      <c r="CA144" s="6318"/>
      <c r="CB144" s="6318"/>
      <c r="CC144" s="6318"/>
      <c r="CD144" s="6318"/>
      <c r="CE144" s="6318"/>
      <c r="CF144" s="6318"/>
      <c r="CG144" s="6318"/>
      <c r="CH144" s="6318"/>
      <c r="CI144" s="6318"/>
      <c r="CJ144" s="6318"/>
      <c r="CK144" s="6318"/>
      <c r="CL144" s="6318"/>
      <c r="CM144" s="6318"/>
      <c r="CN144" s="6318"/>
      <c r="CO144" s="6318"/>
      <c r="CP144" s="6318"/>
      <c r="CQ144" s="6318"/>
      <c r="CR144" s="6318"/>
      <c r="CS144" s="6318"/>
      <c r="CT144" s="6318"/>
      <c r="CU144" s="6318"/>
      <c r="CV144" s="6318"/>
      <c r="CW144" s="6318"/>
      <c r="CX144" s="6318"/>
      <c r="CY144" s="6318"/>
      <c r="CZ144" s="6318"/>
      <c r="DA144" s="6318"/>
      <c r="DB144" s="6318"/>
      <c r="DC144" s="6318"/>
      <c r="DD144" s="6318"/>
      <c r="DE144" s="6318"/>
      <c r="DF144" s="2569"/>
      <c r="DG144" s="2569"/>
      <c r="DM144" s="1439">
        <v>28</v>
      </c>
    </row>
    <row customHeight="1" ht="42">
      <c r="O145" s="821"/>
      <c r="T145" s="2569"/>
      <c r="U145" s="2569"/>
      <c r="V145" s="2569"/>
      <c r="W145" s="2569"/>
      <c r="X145" s="2569"/>
      <c r="Y145" s="2569"/>
      <c r="Z145" s="2569"/>
      <c r="AA145" s="2569"/>
      <c r="AB145" s="2569"/>
      <c r="AC145" s="2569"/>
      <c r="AD145" s="2569"/>
      <c r="AE145" s="2569"/>
      <c r="AF145" s="2569"/>
      <c r="AG145" s="2569"/>
      <c r="AH145" s="2569"/>
      <c r="AI145" s="2569"/>
      <c r="AJ145" s="2569"/>
      <c r="AK145" s="2569"/>
      <c r="AL145" s="6318"/>
      <c r="AM145" s="6318"/>
      <c r="AN145" s="6318"/>
      <c r="AO145" s="6318"/>
      <c r="AP145" s="6318"/>
      <c r="AQ145" s="6318"/>
      <c r="AR145" s="6318"/>
      <c r="AS145" s="6318"/>
      <c r="AT145" s="6318"/>
      <c r="AU145" s="6318"/>
      <c r="AV145" s="6318"/>
      <c r="AW145" s="6318"/>
      <c r="AX145" s="6318"/>
      <c r="AY145" s="6318"/>
      <c r="AZ145" s="6318"/>
      <c r="BA145" s="6318"/>
      <c r="BB145" s="6318"/>
      <c r="BC145" s="6318"/>
      <c r="BD145" s="6318"/>
      <c r="BE145" s="6318"/>
      <c r="BF145" s="6318"/>
      <c r="BG145" s="6318"/>
      <c r="BH145" s="6318"/>
      <c r="BI145" s="6318"/>
      <c r="BJ145" s="6318"/>
      <c r="BK145" s="6318"/>
      <c r="BL145" s="6318"/>
      <c r="BM145" s="6318"/>
      <c r="BN145" s="6318"/>
      <c r="BO145" s="6318"/>
      <c r="BP145" s="6318"/>
      <c r="BQ145" s="6318"/>
      <c r="BR145" s="6318"/>
      <c r="BS145" s="6318"/>
      <c r="BT145" s="6318"/>
      <c r="BU145" s="6318"/>
      <c r="BV145" s="6318"/>
      <c r="BW145" s="6318"/>
      <c r="BX145" s="6318"/>
      <c r="BY145" s="6318"/>
      <c r="BZ145" s="6318"/>
      <c r="CA145" s="6318"/>
      <c r="CB145" s="6318"/>
      <c r="CC145" s="6318"/>
      <c r="CD145" s="6318"/>
      <c r="CE145" s="6318"/>
      <c r="CF145" s="6318"/>
      <c r="CG145" s="6318"/>
      <c r="CH145" s="6318"/>
      <c r="CI145" s="6318"/>
      <c r="CJ145" s="6318"/>
      <c r="CK145" s="6318"/>
      <c r="CL145" s="6318"/>
      <c r="CM145" s="6318"/>
      <c r="CN145" s="6318"/>
      <c r="CO145" s="6318"/>
      <c r="CP145" s="6318"/>
      <c r="CQ145" s="6318"/>
      <c r="CR145" s="6318"/>
      <c r="CS145" s="6318"/>
      <c r="CT145" s="6318"/>
      <c r="CU145" s="6318"/>
      <c r="CV145" s="6318"/>
      <c r="CW145" s="6318"/>
      <c r="CX145" s="6318"/>
      <c r="CY145" s="6318"/>
      <c r="CZ145" s="6318"/>
      <c r="DA145" s="6318"/>
      <c r="DB145" s="6318"/>
      <c r="DC145" s="6318"/>
      <c r="DD145" s="6318"/>
      <c r="DE145" s="6318"/>
      <c r="DF145" s="2569"/>
      <c r="DG145" s="2569"/>
      <c r="DM145" s="1439">
        <v>40</v>
      </c>
    </row>
    <row customHeight="1" ht="14.699999999999998">
      <c r="O146" s="821"/>
      <c r="AL146" s="3961"/>
      <c r="AM146" s="3961"/>
      <c r="AN146" s="3961"/>
      <c r="AO146" s="3961"/>
      <c r="AP146" s="3961"/>
      <c r="AQ146" s="3961"/>
      <c r="AR146" s="3961"/>
      <c r="AS146" s="3961"/>
      <c r="AT146" s="3961"/>
      <c r="AU146" s="3961"/>
      <c r="AV146" s="3961"/>
      <c r="AW146" s="3961"/>
      <c r="AX146" s="3961"/>
      <c r="AY146" s="3961"/>
      <c r="AZ146" s="3961"/>
      <c r="BA146" s="3961"/>
      <c r="BB146" s="3961"/>
      <c r="BC146" s="3961"/>
      <c r="BD146" s="3961"/>
      <c r="BE146" s="3961"/>
      <c r="BF146" s="3961"/>
      <c r="BG146" s="3961"/>
      <c r="BH146" s="3961"/>
      <c r="BI146" s="3961"/>
      <c r="BJ146" s="3961"/>
      <c r="BK146" s="3961"/>
      <c r="BL146" s="3961"/>
      <c r="BM146" s="3961"/>
      <c r="BN146" s="3961"/>
      <c r="BO146" s="3961"/>
      <c r="BP146" s="3961"/>
      <c r="BQ146" s="3961"/>
      <c r="BR146" s="3961"/>
      <c r="BS146" s="3961"/>
      <c r="BT146" s="3961"/>
      <c r="BU146" s="3961"/>
      <c r="BV146" s="3961"/>
      <c r="BW146" s="3961"/>
      <c r="BX146" s="3961"/>
      <c r="BY146" s="3961"/>
      <c r="BZ146" s="3961"/>
      <c r="CA146" s="3961"/>
      <c r="CB146" s="3961"/>
      <c r="CC146" s="3961"/>
      <c r="CD146" s="3961"/>
      <c r="CE146" s="3961"/>
      <c r="CF146" s="3961"/>
      <c r="CG146" s="3961"/>
      <c r="CH146" s="3961"/>
      <c r="CI146" s="3961"/>
      <c r="CJ146" s="3961"/>
      <c r="CK146" s="3961"/>
      <c r="CL146" s="3961"/>
      <c r="CM146" s="3961"/>
      <c r="CN146" s="3961"/>
      <c r="CO146" s="3961"/>
      <c r="CP146" s="3961"/>
      <c r="CQ146" s="3961"/>
      <c r="CR146" s="3961"/>
      <c r="CS146" s="3961"/>
      <c r="CT146" s="3961"/>
      <c r="CU146" s="3961"/>
      <c r="CV146" s="3961"/>
      <c r="CW146" s="3961"/>
      <c r="CX146" s="3961"/>
      <c r="CY146" s="3961"/>
      <c r="CZ146" s="3961"/>
      <c r="DA146" s="3961"/>
      <c r="DB146" s="3961"/>
      <c r="DC146" s="3961"/>
      <c r="DD146" s="3961"/>
      <c r="DE146" s="3961"/>
      <c r="DM146" s="1439">
        <v>14</v>
      </c>
    </row>
    <row customHeight="1" ht="21">
      <c r="O147" s="821"/>
      <c r="S147" s="1537"/>
      <c r="T147" s="2583"/>
      <c r="U147" s="2569"/>
      <c r="V147" s="2569"/>
      <c r="W147" s="2569"/>
      <c r="X147" s="2569"/>
      <c r="Y147" s="2569"/>
      <c r="Z147" s="2569"/>
      <c r="AA147" s="2569"/>
      <c r="AB147" s="2569"/>
      <c r="AC147" s="2569"/>
      <c r="AD147" s="2569"/>
      <c r="AE147" s="2569"/>
      <c r="AF147" s="2569"/>
      <c r="AG147" s="2569"/>
      <c r="AH147" s="2569"/>
      <c r="AI147" s="2569"/>
      <c r="AJ147" s="2569"/>
      <c r="AK147" s="2569"/>
      <c r="AL147" s="6318"/>
      <c r="AM147" s="6318"/>
      <c r="AN147" s="6318"/>
      <c r="AO147" s="6318"/>
      <c r="AP147" s="6318"/>
      <c r="AQ147" s="6318"/>
      <c r="AR147" s="6318"/>
      <c r="AS147" s="6318"/>
      <c r="AT147" s="6318"/>
      <c r="AU147" s="6318"/>
      <c r="AV147" s="6318"/>
      <c r="AW147" s="6318"/>
      <c r="AX147" s="6318"/>
      <c r="AY147" s="6318"/>
      <c r="AZ147" s="6318"/>
      <c r="BA147" s="6318"/>
      <c r="BB147" s="6318"/>
      <c r="BC147" s="6318"/>
      <c r="BD147" s="6318"/>
      <c r="BE147" s="6318"/>
      <c r="BF147" s="6318"/>
      <c r="BG147" s="6318"/>
      <c r="BH147" s="6318"/>
      <c r="BI147" s="6318"/>
      <c r="BJ147" s="6318"/>
      <c r="BK147" s="6318"/>
      <c r="BL147" s="6318"/>
      <c r="BM147" s="6318"/>
      <c r="BN147" s="6318"/>
      <c r="BO147" s="6318"/>
      <c r="BP147" s="6318"/>
      <c r="BQ147" s="6318"/>
      <c r="BR147" s="6318"/>
      <c r="BS147" s="6318"/>
      <c r="BT147" s="6318"/>
      <c r="BU147" s="6318"/>
      <c r="BV147" s="6318"/>
      <c r="BW147" s="6318"/>
      <c r="BX147" s="6318"/>
      <c r="BY147" s="6318"/>
      <c r="BZ147" s="6318"/>
      <c r="CA147" s="6318"/>
      <c r="CB147" s="6318"/>
      <c r="CC147" s="6318"/>
      <c r="CD147" s="6318"/>
      <c r="CE147" s="6318"/>
      <c r="CF147" s="6318"/>
      <c r="CG147" s="6318"/>
      <c r="CH147" s="6318"/>
      <c r="CI147" s="6318"/>
      <c r="CJ147" s="6318"/>
      <c r="CK147" s="6318"/>
      <c r="CL147" s="6318"/>
      <c r="CM147" s="6318"/>
      <c r="CN147" s="6318"/>
      <c r="CO147" s="6318"/>
      <c r="CP147" s="6318"/>
      <c r="CQ147" s="6318"/>
      <c r="CR147" s="6318"/>
      <c r="CS147" s="6318"/>
      <c r="CT147" s="6318"/>
      <c r="CU147" s="6318"/>
      <c r="CV147" s="6318"/>
      <c r="CW147" s="6318"/>
      <c r="CX147" s="6318"/>
      <c r="CY147" s="6318"/>
      <c r="CZ147" s="6318"/>
      <c r="DA147" s="6318"/>
      <c r="DB147" s="6318"/>
      <c r="DC147" s="6318"/>
      <c r="DD147" s="6318"/>
      <c r="DE147" s="6318"/>
      <c r="DF147" s="2569"/>
      <c r="DG147" s="2569"/>
      <c r="DM147" s="1439">
        <v>20</v>
      </c>
    </row>
    <row customHeight="1" ht="29.25">
      <c r="O148" s="821"/>
      <c r="T148" s="2569"/>
      <c r="U148" s="2569"/>
      <c r="V148" s="2569"/>
      <c r="W148" s="2569"/>
      <c r="X148" s="2569"/>
      <c r="Y148" s="2569"/>
      <c r="Z148" s="2569"/>
      <c r="AA148" s="2569"/>
      <c r="AB148" s="2569"/>
      <c r="AC148" s="2569"/>
      <c r="AD148" s="2569"/>
      <c r="AE148" s="2569"/>
      <c r="AF148" s="2569"/>
      <c r="AG148" s="2569"/>
      <c r="AH148" s="2569"/>
      <c r="AI148" s="2569"/>
      <c r="AJ148" s="2569"/>
      <c r="AK148" s="2569"/>
      <c r="AL148" s="6318"/>
      <c r="AM148" s="6318"/>
      <c r="AN148" s="6318"/>
      <c r="AO148" s="6318"/>
      <c r="AP148" s="6318"/>
      <c r="AQ148" s="6318"/>
      <c r="AR148" s="6318"/>
      <c r="AS148" s="6318"/>
      <c r="AT148" s="6318"/>
      <c r="AU148" s="6318"/>
      <c r="AV148" s="6318"/>
      <c r="AW148" s="6318"/>
      <c r="AX148" s="6318"/>
      <c r="AY148" s="6318"/>
      <c r="AZ148" s="6318"/>
      <c r="BA148" s="6318"/>
      <c r="BB148" s="6318"/>
      <c r="BC148" s="6318"/>
      <c r="BD148" s="6318"/>
      <c r="BE148" s="6318"/>
      <c r="BF148" s="6318"/>
      <c r="BG148" s="6318"/>
      <c r="BH148" s="6318"/>
      <c r="BI148" s="6318"/>
      <c r="BJ148" s="6318"/>
      <c r="BK148" s="6318"/>
      <c r="BL148" s="6318"/>
      <c r="BM148" s="6318"/>
      <c r="BN148" s="6318"/>
      <c r="BO148" s="6318"/>
      <c r="BP148" s="6318"/>
      <c r="BQ148" s="6318"/>
      <c r="BR148" s="6318"/>
      <c r="BS148" s="6318"/>
      <c r="BT148" s="6318"/>
      <c r="BU148" s="6318"/>
      <c r="BV148" s="6318"/>
      <c r="BW148" s="6318"/>
      <c r="BX148" s="6318"/>
      <c r="BY148" s="6318"/>
      <c r="BZ148" s="6318"/>
      <c r="CA148" s="6318"/>
      <c r="CB148" s="6318"/>
      <c r="CC148" s="6318"/>
      <c r="CD148" s="6318"/>
      <c r="CE148" s="6318"/>
      <c r="CF148" s="6318"/>
      <c r="CG148" s="6318"/>
      <c r="CH148" s="6318"/>
      <c r="CI148" s="6318"/>
      <c r="CJ148" s="6318"/>
      <c r="CK148" s="6318"/>
      <c r="CL148" s="6318"/>
      <c r="CM148" s="6318"/>
      <c r="CN148" s="6318"/>
      <c r="CO148" s="6318"/>
      <c r="CP148" s="6318"/>
      <c r="CQ148" s="6318"/>
      <c r="CR148" s="6318"/>
      <c r="CS148" s="6318"/>
      <c r="CT148" s="6318"/>
      <c r="CU148" s="6318"/>
      <c r="CV148" s="6318"/>
      <c r="CW148" s="6318"/>
      <c r="CX148" s="6318"/>
      <c r="CY148" s="6318"/>
      <c r="CZ148" s="6318"/>
      <c r="DA148" s="6318"/>
      <c r="DB148" s="6318"/>
      <c r="DC148" s="6318"/>
      <c r="DD148" s="6318"/>
      <c r="DE148" s="6318"/>
      <c r="DF148" s="2569"/>
      <c r="DG148" s="2569"/>
      <c r="DM148" s="1439">
        <v>28</v>
      </c>
    </row>
    <row customHeight="1" ht="35.699999999999996">
      <c r="T149" s="2569"/>
      <c r="U149" s="2569"/>
      <c r="V149" s="2569"/>
      <c r="W149" s="2569"/>
      <c r="X149" s="2569"/>
      <c r="Y149" s="2569"/>
      <c r="Z149" s="2569"/>
      <c r="AA149" s="2569"/>
      <c r="AB149" s="2569"/>
      <c r="AC149" s="2569"/>
      <c r="AD149" s="2569"/>
      <c r="AE149" s="2569"/>
      <c r="AF149" s="2569"/>
      <c r="AG149" s="2569"/>
      <c r="AH149" s="2569"/>
      <c r="AI149" s="2569"/>
      <c r="AJ149" s="2569"/>
      <c r="AK149" s="2569"/>
      <c r="AL149" s="6318"/>
      <c r="AM149" s="6318"/>
      <c r="AN149" s="6318"/>
      <c r="AO149" s="6318"/>
      <c r="AP149" s="6318"/>
      <c r="AQ149" s="6318"/>
      <c r="AR149" s="6318"/>
      <c r="AS149" s="6318"/>
      <c r="AT149" s="6318"/>
      <c r="AU149" s="6318"/>
      <c r="AV149" s="6318"/>
      <c r="AW149" s="6318"/>
      <c r="AX149" s="6318"/>
      <c r="AY149" s="6318"/>
      <c r="AZ149" s="6318"/>
      <c r="BA149" s="6318"/>
      <c r="BB149" s="6318"/>
      <c r="BC149" s="6318"/>
      <c r="BD149" s="6318"/>
      <c r="BE149" s="6318"/>
      <c r="BF149" s="6318"/>
      <c r="BG149" s="6318"/>
      <c r="BH149" s="6318"/>
      <c r="BI149" s="6318"/>
      <c r="BJ149" s="6318"/>
      <c r="BK149" s="6318"/>
      <c r="BL149" s="6318"/>
      <c r="BM149" s="6318"/>
      <c r="BN149" s="6318"/>
      <c r="BO149" s="6318"/>
      <c r="BP149" s="6318"/>
      <c r="BQ149" s="6318"/>
      <c r="BR149" s="6318"/>
      <c r="BS149" s="6318"/>
      <c r="BT149" s="6318"/>
      <c r="BU149" s="6318"/>
      <c r="BV149" s="6318"/>
      <c r="BW149" s="6318"/>
      <c r="BX149" s="6318"/>
      <c r="BY149" s="6318"/>
      <c r="BZ149" s="6318"/>
      <c r="CA149" s="6318"/>
      <c r="CB149" s="6318"/>
      <c r="CC149" s="6318"/>
      <c r="CD149" s="6318"/>
      <c r="CE149" s="6318"/>
      <c r="CF149" s="6318"/>
      <c r="CG149" s="6318"/>
      <c r="CH149" s="6318"/>
      <c r="CI149" s="6318"/>
      <c r="CJ149" s="6318"/>
      <c r="CK149" s="6318"/>
      <c r="CL149" s="6318"/>
      <c r="CM149" s="6318"/>
      <c r="CN149" s="6318"/>
      <c r="CO149" s="6318"/>
      <c r="CP149" s="6318"/>
      <c r="CQ149" s="6318"/>
      <c r="CR149" s="6318"/>
      <c r="CS149" s="6318"/>
      <c r="CT149" s="6318"/>
      <c r="CU149" s="6318"/>
      <c r="CV149" s="6318"/>
      <c r="CW149" s="6318"/>
      <c r="CX149" s="6318"/>
      <c r="CY149" s="6318"/>
      <c r="CZ149" s="6318"/>
      <c r="DA149" s="6318"/>
      <c r="DB149" s="6318"/>
      <c r="DC149" s="6318"/>
      <c r="DD149" s="6318"/>
      <c r="DE149" s="6318"/>
      <c r="DF149" s="2569"/>
      <c r="DG149" s="2569"/>
      <c r="DM149" s="1439">
        <v>34</v>
      </c>
    </row>
    <row customHeight="1" ht="22.5" hidden="1">
      <c r="A150" s="1444" t="s">
        <v>85</v>
      </c>
      <c r="B150" s="1444">
        <v>0</v>
      </c>
      <c r="C150" s="1444">
        <v>0</v>
      </c>
      <c r="D150" s="1444">
        <v>0</v>
      </c>
      <c r="E150" s="1444">
        <v>0</v>
      </c>
      <c r="F150" s="1444">
        <v>0</v>
      </c>
      <c r="G150" s="1444">
        <v>0</v>
      </c>
      <c r="H150" s="1444">
        <v>0</v>
      </c>
      <c r="I150" s="1444">
        <v>0</v>
      </c>
      <c r="J150" s="1444">
        <v>0</v>
      </c>
      <c r="K150" s="1444">
        <v>0</v>
      </c>
      <c r="L150" s="1613">
        <v>0</v>
      </c>
      <c r="M150" s="1646">
        <v>0</v>
      </c>
      <c r="N150" s="1646">
        <v>0</v>
      </c>
      <c r="O150" s="1646">
        <v>0</v>
      </c>
      <c r="P150" s="1612">
        <v>0</v>
      </c>
      <c r="Q150" s="628">
        <v>3</v>
      </c>
      <c r="R150" s="628">
        <v>3</v>
      </c>
      <c r="S150" s="865">
        <v>12</v>
      </c>
      <c r="T150" s="1439">
        <v>31</v>
      </c>
      <c r="U150" s="1439">
        <v>0</v>
      </c>
      <c r="V150" s="1439">
        <v>0</v>
      </c>
      <c r="W150" s="1439">
        <v>0</v>
      </c>
      <c r="X150" s="1439">
        <v>0</v>
      </c>
      <c r="Y150" s="1439">
        <v>0</v>
      </c>
      <c r="Z150" s="1439">
        <v>0</v>
      </c>
      <c r="AA150" s="1439">
        <v>0</v>
      </c>
      <c r="AB150" s="1439">
        <v>0</v>
      </c>
      <c r="AC150" s="1439">
        <v>0</v>
      </c>
      <c r="AD150" s="1439">
        <v>24</v>
      </c>
      <c r="AE150" s="1439">
        <v>0</v>
      </c>
      <c r="AF150" s="1439">
        <v>24</v>
      </c>
      <c r="AG150" s="1439">
        <v>24</v>
      </c>
      <c r="AH150" s="1439">
        <v>11</v>
      </c>
      <c r="AI150" s="1439">
        <v>3</v>
      </c>
      <c r="AJ150" s="1439">
        <v>11</v>
      </c>
      <c r="AK150" s="1439">
        <v>0</v>
      </c>
      <c r="AL150" s="3961">
        <v>0</v>
      </c>
      <c r="AM150" s="3961">
        <v>0</v>
      </c>
      <c r="AN150" s="3961">
        <v>0</v>
      </c>
      <c r="AO150" s="3961">
        <v>0</v>
      </c>
      <c r="AP150" s="3961">
        <v>0</v>
      </c>
      <c r="AQ150" s="3961">
        <v>0</v>
      </c>
      <c r="AR150" s="3961">
        <v>0</v>
      </c>
      <c r="AS150" s="3961">
        <v>0</v>
      </c>
      <c r="AT150" s="3961">
        <v>0</v>
      </c>
      <c r="AU150" s="3961">
        <v>0</v>
      </c>
      <c r="AV150" s="3961">
        <v>0</v>
      </c>
      <c r="AW150" s="3961">
        <v>0</v>
      </c>
      <c r="AX150" s="3961">
        <v>0</v>
      </c>
      <c r="AY150" s="3961">
        <v>0</v>
      </c>
      <c r="AZ150" s="3961">
        <v>0</v>
      </c>
      <c r="BA150" s="3961">
        <v>0</v>
      </c>
      <c r="BB150" s="3961">
        <v>0</v>
      </c>
      <c r="BC150" s="3961">
        <v>0</v>
      </c>
      <c r="BD150" s="3961">
        <v>0</v>
      </c>
      <c r="BE150" s="3961">
        <v>0</v>
      </c>
      <c r="BF150" s="3961">
        <v>0</v>
      </c>
      <c r="BG150" s="3961">
        <v>0</v>
      </c>
      <c r="BH150" s="3961">
        <v>0</v>
      </c>
      <c r="BI150" s="3961">
        <v>0</v>
      </c>
      <c r="BJ150" s="3961">
        <v>0</v>
      </c>
      <c r="BK150" s="3961">
        <v>0</v>
      </c>
      <c r="BL150" s="3961">
        <v>0</v>
      </c>
      <c r="BM150" s="3961">
        <v>0</v>
      </c>
      <c r="BN150" s="3961">
        <v>0</v>
      </c>
      <c r="BO150" s="3961">
        <v>0</v>
      </c>
      <c r="BP150" s="3961">
        <v>0</v>
      </c>
      <c r="BQ150" s="3961">
        <v>0</v>
      </c>
      <c r="BR150" s="3961">
        <v>0</v>
      </c>
      <c r="BS150" s="3961">
        <v>0</v>
      </c>
      <c r="BT150" s="3961">
        <v>0</v>
      </c>
      <c r="BU150" s="3961">
        <v>0</v>
      </c>
      <c r="BV150" s="3961">
        <v>0</v>
      </c>
      <c r="BW150" s="3961">
        <v>0</v>
      </c>
      <c r="BX150" s="3961">
        <v>0</v>
      </c>
      <c r="BY150" s="3961">
        <v>0</v>
      </c>
      <c r="BZ150" s="3961">
        <v>0</v>
      </c>
      <c r="CA150" s="3961">
        <v>0</v>
      </c>
      <c r="CB150" s="3961">
        <v>0</v>
      </c>
      <c r="CC150" s="3961">
        <v>0</v>
      </c>
      <c r="CD150" s="3961">
        <v>0</v>
      </c>
      <c r="CE150" s="3961">
        <v>0</v>
      </c>
      <c r="CF150" s="3961">
        <v>0</v>
      </c>
      <c r="CG150" s="3961">
        <v>0</v>
      </c>
      <c r="CH150" s="3961">
        <v>0</v>
      </c>
      <c r="CI150" s="3961">
        <v>0</v>
      </c>
      <c r="CJ150" s="3961">
        <v>0</v>
      </c>
      <c r="CK150" s="3961">
        <v>0</v>
      </c>
      <c r="CL150" s="3961">
        <v>0</v>
      </c>
      <c r="CM150" s="3961">
        <v>0</v>
      </c>
      <c r="CN150" s="3961">
        <v>0</v>
      </c>
      <c r="CO150" s="3961">
        <v>0</v>
      </c>
      <c r="CP150" s="3961">
        <v>0</v>
      </c>
      <c r="CQ150" s="3961">
        <v>0</v>
      </c>
      <c r="CR150" s="3961">
        <v>0</v>
      </c>
      <c r="CS150" s="3961">
        <v>0</v>
      </c>
      <c r="CT150" s="3961">
        <v>0</v>
      </c>
      <c r="CU150" s="3961">
        <v>0</v>
      </c>
      <c r="CV150" s="3961">
        <v>0</v>
      </c>
      <c r="CW150" s="3961">
        <v>0</v>
      </c>
      <c r="CX150" s="3961">
        <v>0</v>
      </c>
      <c r="CY150" s="3961">
        <v>0</v>
      </c>
      <c r="CZ150" s="3961">
        <v>0</v>
      </c>
      <c r="DA150" s="3961">
        <v>0</v>
      </c>
      <c r="DB150" s="3961">
        <v>0</v>
      </c>
      <c r="DC150" s="3961">
        <v>0</v>
      </c>
      <c r="DD150" s="3961">
        <v>0</v>
      </c>
      <c r="DE150" s="3961">
        <v>0</v>
      </c>
      <c r="DF150" s="1439">
        <v>4</v>
      </c>
      <c r="DG150" s="1439">
        <v>115</v>
      </c>
      <c r="DH150" s="795">
        <v>10</v>
      </c>
      <c r="DI150" s="795">
        <v>10</v>
      </c>
      <c r="DJ150" s="795">
        <v>10</v>
      </c>
      <c r="DK150" s="795">
        <v>10</v>
      </c>
      <c r="DL150" s="795">
        <v>10</v>
      </c>
      <c r="DM150" s="1439">
        <v>23</v>
      </c>
    </row>
  </sheetData>
  <sheetProtection sheet="1" formatColumns="0" formatRows="0" autoFilter="0" sort="1" insertRows="1" insertColumns="1" deleteRows="1" deleteColumns="1"/>
  <mergeCells count="935">
    <mergeCell ref="T148:DG148"/>
    <mergeCell ref="T149:DG149"/>
    <mergeCell ref="S35:T35"/>
    <mergeCell ref="V35:AB35"/>
    <mergeCell ref="AD35:AJ35"/>
    <mergeCell ref="S34:T34"/>
    <mergeCell ref="V34:AB34"/>
    <mergeCell ref="AD34:AJ34"/>
    <mergeCell ref="V2:AC2"/>
    <mergeCell ref="AD2:DF2"/>
    <mergeCell ref="V3:AC3"/>
    <mergeCell ref="AD3:DF3"/>
    <mergeCell ref="V4:AC4"/>
    <mergeCell ref="AD4:DF4"/>
    <mergeCell ref="V5:AC5"/>
    <mergeCell ref="AD5:DF5"/>
    <mergeCell ref="V6:AC6"/>
    <mergeCell ref="AD6:DF6"/>
    <mergeCell ref="V7:AC7"/>
    <mergeCell ref="AD7:DF7"/>
    <mergeCell ref="T147:DG147"/>
    <mergeCell ref="T145:DG145"/>
    <mergeCell ref="AJ49:AJ50"/>
    <mergeCell ref="AK49:AK50"/>
    <mergeCell ref="DG49:DG51"/>
    <mergeCell ref="T143:DG143"/>
    <mergeCell ref="T144:DG144"/>
    <mergeCell ref="AA42:AB42"/>
    <mergeCell ref="AI42:AJ42"/>
    <mergeCell ref="E43:E140"/>
    <mergeCell ref="V43:AC43"/>
    <mergeCell ref="AD43:DF43"/>
    <mergeCell ref="F44:F59"/>
    <mergeCell ref="V44:AC44"/>
    <mergeCell ref="AD44:DF44"/>
    <mergeCell ref="G45:G58"/>
    <mergeCell ref="V45:AC45"/>
    <mergeCell ref="AD45:DF45"/>
    <mergeCell ref="H46:H57"/>
    <mergeCell ref="V46:AC46"/>
    <mergeCell ref="AD46:DF46"/>
    <mergeCell ref="P47:P56"/>
    <mergeCell ref="J48:J51"/>
    <mergeCell ref="Q48:Q51"/>
    <mergeCell ref="V48:AC48"/>
    <mergeCell ref="AD48:DF48"/>
    <mergeCell ref="K49:K50"/>
    <mergeCell ref="Z49:Z50"/>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DG8:DG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6"/>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DF38"/>
    <mergeCell ref="S26:AJ26"/>
    <mergeCell ref="S27:AJ27"/>
    <mergeCell ref="AC49:AC50"/>
    <mergeCell ref="AA49:AA50"/>
    <mergeCell ref="AB49:AB50"/>
    <mergeCell ref="AH49:AH50"/>
    <mergeCell ref="AI49:AI50"/>
    <mergeCell ref="V47:AC47"/>
    <mergeCell ref="AD47:DF47"/>
    <mergeCell ref="AD31:AJ31"/>
    <mergeCell ref="AD32:AJ32"/>
    <mergeCell ref="AE40:AE41"/>
    <mergeCell ref="AF40:AG40"/>
    <mergeCell ref="AH40:AJ40"/>
    <mergeCell ref="AI41:AJ41"/>
    <mergeCell ref="AD37:AK37"/>
    <mergeCell ref="V60:AC60"/>
    <mergeCell ref="AD60:DF60"/>
    <mergeCell ref="V61:AC61"/>
    <mergeCell ref="AD61:DF61"/>
    <mergeCell ref="V62:AC62"/>
    <mergeCell ref="AD62:DF62"/>
    <mergeCell ref="V63:AC63"/>
    <mergeCell ref="AD63:DF63"/>
    <mergeCell ref="V64:AC64"/>
    <mergeCell ref="AD64:DF64"/>
    <mergeCell ref="DG65:DG67"/>
    <mergeCell ref="Z65:Z66"/>
    <mergeCell ref="AA65:AA66"/>
    <mergeCell ref="AH65:AH66"/>
    <mergeCell ref="AI65:AI66"/>
    <mergeCell ref="AJ65:AJ66"/>
    <mergeCell ref="AK65:AK66"/>
    <mergeCell ref="AB65:AB66"/>
    <mergeCell ref="AC65:AC66"/>
    <mergeCell ref="F60:F75"/>
    <mergeCell ref="G61:G74"/>
    <mergeCell ref="H62:H73"/>
    <mergeCell ref="I63:I72"/>
    <mergeCell ref="P63:P72"/>
    <mergeCell ref="J64:J67"/>
    <mergeCell ref="Q64:Q67"/>
    <mergeCell ref="K65:K66"/>
    <mergeCell ref="V76:AC76"/>
    <mergeCell ref="AD76:DF76"/>
    <mergeCell ref="V77:AC77"/>
    <mergeCell ref="AD77:DF77"/>
    <mergeCell ref="V78:AC78"/>
    <mergeCell ref="AD78:DF78"/>
    <mergeCell ref="V79:AC79"/>
    <mergeCell ref="AD79:DF79"/>
    <mergeCell ref="V80:AC80"/>
    <mergeCell ref="AD80:DF80"/>
    <mergeCell ref="DG81:DG83"/>
    <mergeCell ref="Z81:Z82"/>
    <mergeCell ref="AA81:AA82"/>
    <mergeCell ref="AH81:AH82"/>
    <mergeCell ref="AI81:AI82"/>
    <mergeCell ref="AJ81:AJ82"/>
    <mergeCell ref="AK81:AK82"/>
    <mergeCell ref="AB81:AB82"/>
    <mergeCell ref="AC81:AC82"/>
    <mergeCell ref="F76:F91"/>
    <mergeCell ref="G77:G90"/>
    <mergeCell ref="H78:H89"/>
    <mergeCell ref="I79:I88"/>
    <mergeCell ref="P79:P88"/>
    <mergeCell ref="J80:J83"/>
    <mergeCell ref="Q80:Q83"/>
    <mergeCell ref="K81:K82"/>
    <mergeCell ref="V92:AC92"/>
    <mergeCell ref="AD92:DF92"/>
    <mergeCell ref="V93:AC93"/>
    <mergeCell ref="AD93:DF93"/>
    <mergeCell ref="V94:AC94"/>
    <mergeCell ref="AD94:DF94"/>
    <mergeCell ref="V95:AC95"/>
    <mergeCell ref="AD95:DF95"/>
    <mergeCell ref="V96:AC96"/>
    <mergeCell ref="AD96:DF96"/>
    <mergeCell ref="DG97:DG99"/>
    <mergeCell ref="Z97:Z98"/>
    <mergeCell ref="AA97:AA98"/>
    <mergeCell ref="AH97:AH98"/>
    <mergeCell ref="AI97:AI98"/>
    <mergeCell ref="AJ97:AJ98"/>
    <mergeCell ref="AK97:AK98"/>
    <mergeCell ref="AB97:AB98"/>
    <mergeCell ref="AC97:AC98"/>
    <mergeCell ref="F92:F107"/>
    <mergeCell ref="G93:G106"/>
    <mergeCell ref="H94:H105"/>
    <mergeCell ref="I95:I104"/>
    <mergeCell ref="P95:P104"/>
    <mergeCell ref="J96:J99"/>
    <mergeCell ref="Q96:Q99"/>
    <mergeCell ref="K97:K98"/>
    <mergeCell ref="V108:AC108"/>
    <mergeCell ref="AD108:DF108"/>
    <mergeCell ref="V109:AC109"/>
    <mergeCell ref="AD109:DF109"/>
    <mergeCell ref="V110:AC110"/>
    <mergeCell ref="AD110:DF110"/>
    <mergeCell ref="V111:AC111"/>
    <mergeCell ref="AD111:DF111"/>
    <mergeCell ref="V112:AC112"/>
    <mergeCell ref="AD112:DF112"/>
    <mergeCell ref="DG113:DG115"/>
    <mergeCell ref="Z113:Z114"/>
    <mergeCell ref="AA113:AA114"/>
    <mergeCell ref="AH113:AH114"/>
    <mergeCell ref="AI113:AI114"/>
    <mergeCell ref="AJ113:AJ114"/>
    <mergeCell ref="AK113:AK114"/>
    <mergeCell ref="AB113:AB114"/>
    <mergeCell ref="AC113:AC114"/>
    <mergeCell ref="F108:F123"/>
    <mergeCell ref="G109:G122"/>
    <mergeCell ref="H110:H121"/>
    <mergeCell ref="I111:I120"/>
    <mergeCell ref="P111:P120"/>
    <mergeCell ref="J112:J115"/>
    <mergeCell ref="Q112:Q115"/>
    <mergeCell ref="K113:K114"/>
    <mergeCell ref="V124:AC124"/>
    <mergeCell ref="AD124:DF124"/>
    <mergeCell ref="V125:AC125"/>
    <mergeCell ref="AD125:DF125"/>
    <mergeCell ref="V126:AC126"/>
    <mergeCell ref="AD126:DF126"/>
    <mergeCell ref="V127:AC127"/>
    <mergeCell ref="AD127:DF127"/>
    <mergeCell ref="V128:AC128"/>
    <mergeCell ref="AD128:DF128"/>
    <mergeCell ref="DG129:DG131"/>
    <mergeCell ref="Z129:Z130"/>
    <mergeCell ref="AA129:AA130"/>
    <mergeCell ref="AH129:AH130"/>
    <mergeCell ref="AI129:AI130"/>
    <mergeCell ref="AJ129:AJ130"/>
    <mergeCell ref="AK129:AK130"/>
    <mergeCell ref="AB129:AB130"/>
    <mergeCell ref="AC129:AC130"/>
    <mergeCell ref="F124:F139"/>
    <mergeCell ref="G125:G138"/>
    <mergeCell ref="H126:H137"/>
    <mergeCell ref="I127:I136"/>
    <mergeCell ref="P127:P136"/>
    <mergeCell ref="J128:J131"/>
    <mergeCell ref="Q128:Q131"/>
    <mergeCell ref="K129:K130"/>
    <mergeCell ref="AL35:AR35"/>
    <mergeCell ref="AL34:AR34"/>
    <mergeCell ref="AP8:AP9"/>
    <mergeCell ref="AQ8:AQ9"/>
    <mergeCell ref="AR8:AR9"/>
    <mergeCell ref="AS8:AS9"/>
    <mergeCell ref="AL29:AR29"/>
    <mergeCell ref="AL30:AR30"/>
    <mergeCell ref="AL31:AR31"/>
    <mergeCell ref="AL32:AR32"/>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AP65:AP66"/>
    <mergeCell ref="AQ65:AQ66"/>
    <mergeCell ref="AR65:AR66"/>
    <mergeCell ref="AS65:AS66"/>
    <mergeCell ref="AP81:AP82"/>
    <mergeCell ref="AQ81:AQ82"/>
    <mergeCell ref="AR81:AR82"/>
    <mergeCell ref="AS81:AS82"/>
    <mergeCell ref="AP97:AP98"/>
    <mergeCell ref="AQ97:AQ98"/>
    <mergeCell ref="AR97:AR98"/>
    <mergeCell ref="AS97:AS98"/>
    <mergeCell ref="AP113:AP114"/>
    <mergeCell ref="AQ113:AQ114"/>
    <mergeCell ref="AR113:AR114"/>
    <mergeCell ref="AS113:AS114"/>
    <mergeCell ref="AP129:AP130"/>
    <mergeCell ref="AQ129:AQ130"/>
    <mergeCell ref="AR129:AR130"/>
    <mergeCell ref="AS129:AS130"/>
    <mergeCell ref="AT35:AZ35"/>
    <mergeCell ref="AT34:AZ34"/>
    <mergeCell ref="AX8:AX9"/>
    <mergeCell ref="AY8:AY9"/>
    <mergeCell ref="AZ8:AZ9"/>
    <mergeCell ref="BA8:BA9"/>
    <mergeCell ref="AT29:AZ29"/>
    <mergeCell ref="AT30:AZ30"/>
    <mergeCell ref="AT31:AZ31"/>
    <mergeCell ref="AT32:AZ32"/>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AX65:AX66"/>
    <mergeCell ref="AY65:AY66"/>
    <mergeCell ref="AZ65:AZ66"/>
    <mergeCell ref="BA65:BA66"/>
    <mergeCell ref="AX81:AX82"/>
    <mergeCell ref="AY81:AY82"/>
    <mergeCell ref="AZ81:AZ82"/>
    <mergeCell ref="BA81:BA82"/>
    <mergeCell ref="AX97:AX98"/>
    <mergeCell ref="AY97:AY98"/>
    <mergeCell ref="AZ97:AZ98"/>
    <mergeCell ref="BA97:BA98"/>
    <mergeCell ref="AX113:AX114"/>
    <mergeCell ref="AY113:AY114"/>
    <mergeCell ref="AZ113:AZ114"/>
    <mergeCell ref="BA113:BA114"/>
    <mergeCell ref="AX129:AX130"/>
    <mergeCell ref="AY129:AY130"/>
    <mergeCell ref="AZ129:AZ130"/>
    <mergeCell ref="BA129:BA130"/>
    <mergeCell ref="BB35:BH35"/>
    <mergeCell ref="BB34:BH34"/>
    <mergeCell ref="BF8:BF9"/>
    <mergeCell ref="BG8:BG9"/>
    <mergeCell ref="BH8:BH9"/>
    <mergeCell ref="BI8:BI9"/>
    <mergeCell ref="BB29:BH29"/>
    <mergeCell ref="BB30:BH30"/>
    <mergeCell ref="BB31:BH31"/>
    <mergeCell ref="BB32:BH32"/>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F65:BF66"/>
    <mergeCell ref="BG65:BG66"/>
    <mergeCell ref="BH65:BH66"/>
    <mergeCell ref="BI65:BI66"/>
    <mergeCell ref="BF81:BF82"/>
    <mergeCell ref="BG81:BG82"/>
    <mergeCell ref="BH81:BH82"/>
    <mergeCell ref="BI81:BI82"/>
    <mergeCell ref="BF97:BF98"/>
    <mergeCell ref="BG97:BG98"/>
    <mergeCell ref="BH97:BH98"/>
    <mergeCell ref="BI97:BI98"/>
    <mergeCell ref="BF113:BF114"/>
    <mergeCell ref="BG113:BG114"/>
    <mergeCell ref="BH113:BH114"/>
    <mergeCell ref="BI113:BI114"/>
    <mergeCell ref="BF129:BF130"/>
    <mergeCell ref="BG129:BG130"/>
    <mergeCell ref="BH129:BH130"/>
    <mergeCell ref="BI129:BI130"/>
    <mergeCell ref="BJ35:BP35"/>
    <mergeCell ref="BJ34:BP34"/>
    <mergeCell ref="BN8:BN9"/>
    <mergeCell ref="BO8:BO9"/>
    <mergeCell ref="BP8:BP9"/>
    <mergeCell ref="BQ8:BQ9"/>
    <mergeCell ref="BJ29:BP29"/>
    <mergeCell ref="BJ30:BP30"/>
    <mergeCell ref="BJ31:BP31"/>
    <mergeCell ref="BJ32:BP32"/>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N65:BN66"/>
    <mergeCell ref="BO65:BO66"/>
    <mergeCell ref="BP65:BP66"/>
    <mergeCell ref="BQ65:BQ66"/>
    <mergeCell ref="BN81:BN82"/>
    <mergeCell ref="BO81:BO82"/>
    <mergeCell ref="BP81:BP82"/>
    <mergeCell ref="BQ81:BQ82"/>
    <mergeCell ref="BN97:BN98"/>
    <mergeCell ref="BO97:BO98"/>
    <mergeCell ref="BP97:BP98"/>
    <mergeCell ref="BQ97:BQ98"/>
    <mergeCell ref="BN113:BN114"/>
    <mergeCell ref="BO113:BO114"/>
    <mergeCell ref="BP113:BP114"/>
    <mergeCell ref="BQ113:BQ114"/>
    <mergeCell ref="BN129:BN130"/>
    <mergeCell ref="BO129:BO130"/>
    <mergeCell ref="BP129:BP130"/>
    <mergeCell ref="BQ129:BQ130"/>
    <mergeCell ref="BR35:BX35"/>
    <mergeCell ref="BR34:BX34"/>
    <mergeCell ref="BV8:BV9"/>
    <mergeCell ref="BW8:BW9"/>
    <mergeCell ref="BX8:BX9"/>
    <mergeCell ref="BY8:BY9"/>
    <mergeCell ref="BR29:BX29"/>
    <mergeCell ref="BR30:BX30"/>
    <mergeCell ref="BR31:BX31"/>
    <mergeCell ref="BR32:BX32"/>
    <mergeCell ref="BR37:BY37"/>
    <mergeCell ref="BR39:BX39"/>
    <mergeCell ref="BY39:BY41"/>
    <mergeCell ref="BR40:BR41"/>
    <mergeCell ref="BS40:BS41"/>
    <mergeCell ref="BT40:BU40"/>
    <mergeCell ref="BV40:BX40"/>
    <mergeCell ref="BW41:BX41"/>
    <mergeCell ref="BW42:BX42"/>
    <mergeCell ref="BV49:BV50"/>
    <mergeCell ref="BW49:BW50"/>
    <mergeCell ref="BX49:BX50"/>
    <mergeCell ref="BY49:BY50"/>
    <mergeCell ref="BV65:BV66"/>
    <mergeCell ref="BW65:BW66"/>
    <mergeCell ref="BX65:BX66"/>
    <mergeCell ref="BY65:BY66"/>
    <mergeCell ref="BV81:BV82"/>
    <mergeCell ref="BW81:BW82"/>
    <mergeCell ref="BX81:BX82"/>
    <mergeCell ref="BY81:BY82"/>
    <mergeCell ref="BV97:BV98"/>
    <mergeCell ref="BW97:BW98"/>
    <mergeCell ref="BX97:BX98"/>
    <mergeCell ref="BY97:BY98"/>
    <mergeCell ref="BV113:BV114"/>
    <mergeCell ref="BW113:BW114"/>
    <mergeCell ref="BX113:BX114"/>
    <mergeCell ref="BY113:BY114"/>
    <mergeCell ref="BV129:BV130"/>
    <mergeCell ref="BW129:BW130"/>
    <mergeCell ref="BX129:BX130"/>
    <mergeCell ref="BY129:BY130"/>
    <mergeCell ref="BZ35:CF35"/>
    <mergeCell ref="BZ34:CF34"/>
    <mergeCell ref="CD8:CD9"/>
    <mergeCell ref="CE8:CE9"/>
    <mergeCell ref="CF8:CF9"/>
    <mergeCell ref="CG8:CG9"/>
    <mergeCell ref="BZ29:CF29"/>
    <mergeCell ref="BZ30:CF30"/>
    <mergeCell ref="BZ31:CF31"/>
    <mergeCell ref="BZ32:CF32"/>
    <mergeCell ref="BZ37:CG37"/>
    <mergeCell ref="BZ39:CF39"/>
    <mergeCell ref="CG39:CG41"/>
    <mergeCell ref="BZ40:BZ41"/>
    <mergeCell ref="CA40:CA41"/>
    <mergeCell ref="CB40:CC40"/>
    <mergeCell ref="CD40:CF40"/>
    <mergeCell ref="CE41:CF41"/>
    <mergeCell ref="CE42:CF42"/>
    <mergeCell ref="CD49:CD50"/>
    <mergeCell ref="CE49:CE50"/>
    <mergeCell ref="CF49:CF50"/>
    <mergeCell ref="CG49:CG50"/>
    <mergeCell ref="CD65:CD66"/>
    <mergeCell ref="CE65:CE66"/>
    <mergeCell ref="CF65:CF66"/>
    <mergeCell ref="CG65:CG66"/>
    <mergeCell ref="CD81:CD82"/>
    <mergeCell ref="CE81:CE82"/>
    <mergeCell ref="CF81:CF82"/>
    <mergeCell ref="CG81:CG82"/>
    <mergeCell ref="CD97:CD98"/>
    <mergeCell ref="CE97:CE98"/>
    <mergeCell ref="CF97:CF98"/>
    <mergeCell ref="CG97:CG98"/>
    <mergeCell ref="CD113:CD114"/>
    <mergeCell ref="CE113:CE114"/>
    <mergeCell ref="CF113:CF114"/>
    <mergeCell ref="CG113:CG114"/>
    <mergeCell ref="CD129:CD130"/>
    <mergeCell ref="CE129:CE130"/>
    <mergeCell ref="CF129:CF130"/>
    <mergeCell ref="CG129:CG130"/>
    <mergeCell ref="CH35:CN35"/>
    <mergeCell ref="CH34:CN34"/>
    <mergeCell ref="CL8:CL9"/>
    <mergeCell ref="CM8:CM9"/>
    <mergeCell ref="CN8:CN9"/>
    <mergeCell ref="CO8:CO9"/>
    <mergeCell ref="CH29:CN29"/>
    <mergeCell ref="CH30:CN30"/>
    <mergeCell ref="CH31:CN31"/>
    <mergeCell ref="CH32:CN32"/>
    <mergeCell ref="CH37:CO37"/>
    <mergeCell ref="CH39:CN39"/>
    <mergeCell ref="CO39:CO41"/>
    <mergeCell ref="CH40:CH41"/>
    <mergeCell ref="CI40:CI41"/>
    <mergeCell ref="CJ40:CK40"/>
    <mergeCell ref="CL40:CN40"/>
    <mergeCell ref="CM41:CN41"/>
    <mergeCell ref="CM42:CN42"/>
    <mergeCell ref="CL49:CL50"/>
    <mergeCell ref="CM49:CM50"/>
    <mergeCell ref="CN49:CN50"/>
    <mergeCell ref="CO49:CO50"/>
    <mergeCell ref="CL65:CL66"/>
    <mergeCell ref="CM65:CM66"/>
    <mergeCell ref="CN65:CN66"/>
    <mergeCell ref="CO65:CO66"/>
    <mergeCell ref="CL81:CL82"/>
    <mergeCell ref="CM81:CM82"/>
    <mergeCell ref="CN81:CN82"/>
    <mergeCell ref="CO81:CO82"/>
    <mergeCell ref="CL97:CL98"/>
    <mergeCell ref="CM97:CM98"/>
    <mergeCell ref="CN97:CN98"/>
    <mergeCell ref="CO97:CO98"/>
    <mergeCell ref="CL113:CL114"/>
    <mergeCell ref="CM113:CM114"/>
    <mergeCell ref="CN113:CN114"/>
    <mergeCell ref="CO113:CO114"/>
    <mergeCell ref="CL129:CL130"/>
    <mergeCell ref="CM129:CM130"/>
    <mergeCell ref="CN129:CN130"/>
    <mergeCell ref="CO129:CO130"/>
    <mergeCell ref="CP35:CV35"/>
    <mergeCell ref="CP34:CV34"/>
    <mergeCell ref="CT8:CT9"/>
    <mergeCell ref="CU8:CU9"/>
    <mergeCell ref="CV8:CV9"/>
    <mergeCell ref="CW8:CW9"/>
    <mergeCell ref="CP29:CV29"/>
    <mergeCell ref="CP30:CV30"/>
    <mergeCell ref="CP31:CV31"/>
    <mergeCell ref="CP32:CV32"/>
    <mergeCell ref="CP37:CW37"/>
    <mergeCell ref="CP39:CV39"/>
    <mergeCell ref="CW39:CW41"/>
    <mergeCell ref="CP40:CP41"/>
    <mergeCell ref="CQ40:CQ41"/>
    <mergeCell ref="CR40:CS40"/>
    <mergeCell ref="CT40:CV40"/>
    <mergeCell ref="CU41:CV41"/>
    <mergeCell ref="CU42:CV42"/>
    <mergeCell ref="CT49:CT50"/>
    <mergeCell ref="CU49:CU50"/>
    <mergeCell ref="CV49:CV50"/>
    <mergeCell ref="CW49:CW50"/>
    <mergeCell ref="CT65:CT66"/>
    <mergeCell ref="CU65:CU66"/>
    <mergeCell ref="CV65:CV66"/>
    <mergeCell ref="CW65:CW66"/>
    <mergeCell ref="CT81:CT82"/>
    <mergeCell ref="CU81:CU82"/>
    <mergeCell ref="CV81:CV82"/>
    <mergeCell ref="CW81:CW82"/>
    <mergeCell ref="CT97:CT98"/>
    <mergeCell ref="CU97:CU98"/>
    <mergeCell ref="CV97:CV98"/>
    <mergeCell ref="CW97:CW98"/>
    <mergeCell ref="CT113:CT114"/>
    <mergeCell ref="CU113:CU114"/>
    <mergeCell ref="CV113:CV114"/>
    <mergeCell ref="CW113:CW114"/>
    <mergeCell ref="CT129:CT130"/>
    <mergeCell ref="CU129:CU130"/>
    <mergeCell ref="CV129:CV130"/>
    <mergeCell ref="CW129:CW130"/>
    <mergeCell ref="CX35:DD35"/>
    <mergeCell ref="CX34:DD34"/>
    <mergeCell ref="DB8:DB9"/>
    <mergeCell ref="DC8:DC9"/>
    <mergeCell ref="DD8:DD9"/>
    <mergeCell ref="DE8:DE9"/>
    <mergeCell ref="CX29:DD29"/>
    <mergeCell ref="CX30:DD30"/>
    <mergeCell ref="CX31:DD31"/>
    <mergeCell ref="CX32:DD32"/>
    <mergeCell ref="CX37:DE37"/>
    <mergeCell ref="CX39:DD39"/>
    <mergeCell ref="DE39:DE41"/>
    <mergeCell ref="CX40:CX41"/>
    <mergeCell ref="CY40:CY41"/>
    <mergeCell ref="CZ40:DA40"/>
    <mergeCell ref="DB40:DD40"/>
    <mergeCell ref="DC41:DD41"/>
    <mergeCell ref="DC42:DD42"/>
    <mergeCell ref="DB49:DB50"/>
    <mergeCell ref="DC49:DC50"/>
    <mergeCell ref="DD49:DD50"/>
    <mergeCell ref="DE49:DE50"/>
    <mergeCell ref="DB65:DB66"/>
    <mergeCell ref="DC65:DC66"/>
    <mergeCell ref="DD65:DD66"/>
    <mergeCell ref="DE65:DE66"/>
    <mergeCell ref="DB81:DB82"/>
    <mergeCell ref="DC81:DC82"/>
    <mergeCell ref="DD81:DD82"/>
    <mergeCell ref="DE81:DE82"/>
    <mergeCell ref="DB97:DB98"/>
    <mergeCell ref="DC97:DC98"/>
    <mergeCell ref="DD97:DD98"/>
    <mergeCell ref="DE97:DE98"/>
    <mergeCell ref="DB113:DB114"/>
    <mergeCell ref="DC113:DC114"/>
    <mergeCell ref="DD113:DD114"/>
    <mergeCell ref="DE113:DE114"/>
    <mergeCell ref="DB129:DB130"/>
    <mergeCell ref="DC129:DC130"/>
    <mergeCell ref="DD129:DD130"/>
    <mergeCell ref="DE129:DE130"/>
    <mergeCell ref="V84:AC84"/>
    <mergeCell ref="AD84:DF84"/>
    <mergeCell ref="DG85:DG87"/>
    <mergeCell ref="Z85:Z86"/>
    <mergeCell ref="AA85:AA86"/>
    <mergeCell ref="AH85:AH86"/>
    <mergeCell ref="AI85:AI86"/>
    <mergeCell ref="AJ85:AJ86"/>
    <mergeCell ref="AK85:AK86"/>
    <mergeCell ref="AB85:AB86"/>
    <mergeCell ref="AC85:AC86"/>
    <mergeCell ref="J84:J87"/>
    <mergeCell ref="Q84:Q87"/>
    <mergeCell ref="K85:K86"/>
    <mergeCell ref="AP85:AP86"/>
    <mergeCell ref="AQ85:AQ86"/>
    <mergeCell ref="AR85:AR86"/>
    <mergeCell ref="AS85:AS86"/>
    <mergeCell ref="AX85:AX86"/>
    <mergeCell ref="AY85:AY86"/>
    <mergeCell ref="AZ85:AZ86"/>
    <mergeCell ref="BA85:BA86"/>
    <mergeCell ref="BF85:BF86"/>
    <mergeCell ref="BG85:BG86"/>
    <mergeCell ref="BH85:BH86"/>
    <mergeCell ref="BI85:BI86"/>
    <mergeCell ref="BN85:BN86"/>
    <mergeCell ref="BO85:BO86"/>
    <mergeCell ref="BP85:BP86"/>
    <mergeCell ref="BQ85:BQ86"/>
    <mergeCell ref="BV85:BV86"/>
    <mergeCell ref="BW85:BW86"/>
    <mergeCell ref="BX85:BX86"/>
    <mergeCell ref="BY85:BY86"/>
    <mergeCell ref="CD85:CD86"/>
    <mergeCell ref="CE85:CE86"/>
    <mergeCell ref="CF85:CF86"/>
    <mergeCell ref="CG85:CG86"/>
    <mergeCell ref="CL85:CL86"/>
    <mergeCell ref="CM85:CM86"/>
    <mergeCell ref="CN85:CN86"/>
    <mergeCell ref="CO85:CO86"/>
    <mergeCell ref="CT85:CT86"/>
    <mergeCell ref="CU85:CU86"/>
    <mergeCell ref="CV85:CV86"/>
    <mergeCell ref="CW85:CW86"/>
    <mergeCell ref="DB85:DB86"/>
    <mergeCell ref="DC85:DC86"/>
    <mergeCell ref="DD85:DD86"/>
    <mergeCell ref="DE85:DE86"/>
    <mergeCell ref="V52:AC52"/>
    <mergeCell ref="AD52:DF52"/>
    <mergeCell ref="DG53:DG55"/>
    <mergeCell ref="Z53:Z54"/>
    <mergeCell ref="AA53:AA54"/>
    <mergeCell ref="AH53:AH54"/>
    <mergeCell ref="AI53:AI54"/>
    <mergeCell ref="AJ53:AJ54"/>
    <mergeCell ref="AK53:AK54"/>
    <mergeCell ref="AB53:AB54"/>
    <mergeCell ref="AC53:AC54"/>
    <mergeCell ref="J52:J55"/>
    <mergeCell ref="Q52:Q55"/>
    <mergeCell ref="K53:K54"/>
    <mergeCell ref="AP53:AP54"/>
    <mergeCell ref="AQ53:AQ54"/>
    <mergeCell ref="AR53:AR54"/>
    <mergeCell ref="AS53:AS54"/>
    <mergeCell ref="AX53:AX54"/>
    <mergeCell ref="AY53:AY54"/>
    <mergeCell ref="AZ53:AZ54"/>
    <mergeCell ref="BA53:BA54"/>
    <mergeCell ref="BF53:BF54"/>
    <mergeCell ref="BG53:BG54"/>
    <mergeCell ref="BH53:BH54"/>
    <mergeCell ref="BI53:BI54"/>
    <mergeCell ref="BN53:BN54"/>
    <mergeCell ref="BO53:BO54"/>
    <mergeCell ref="BP53:BP54"/>
    <mergeCell ref="BQ53:BQ54"/>
    <mergeCell ref="BV53:BV54"/>
    <mergeCell ref="BW53:BW54"/>
    <mergeCell ref="BX53:BX54"/>
    <mergeCell ref="BY53:BY54"/>
    <mergeCell ref="CD53:CD54"/>
    <mergeCell ref="CE53:CE54"/>
    <mergeCell ref="CF53:CF54"/>
    <mergeCell ref="CG53:CG54"/>
    <mergeCell ref="CL53:CL54"/>
    <mergeCell ref="CM53:CM54"/>
    <mergeCell ref="CN53:CN54"/>
    <mergeCell ref="CO53:CO54"/>
    <mergeCell ref="CT53:CT54"/>
    <mergeCell ref="CU53:CU54"/>
    <mergeCell ref="CV53:CV54"/>
    <mergeCell ref="CW53:CW54"/>
    <mergeCell ref="DB53:DB54"/>
    <mergeCell ref="DC53:DC54"/>
    <mergeCell ref="DD53:DD54"/>
    <mergeCell ref="DE53:DE54"/>
    <mergeCell ref="V68:AC68"/>
    <mergeCell ref="AD68:DF68"/>
    <mergeCell ref="DG69:DG71"/>
    <mergeCell ref="Z69:Z70"/>
    <mergeCell ref="AA69:AA70"/>
    <mergeCell ref="AH69:AH70"/>
    <mergeCell ref="AI69:AI70"/>
    <mergeCell ref="AJ69:AJ70"/>
    <mergeCell ref="AK69:AK70"/>
    <mergeCell ref="AB69:AB70"/>
    <mergeCell ref="AC69:AC70"/>
    <mergeCell ref="J68:J71"/>
    <mergeCell ref="Q68:Q71"/>
    <mergeCell ref="K69:K70"/>
    <mergeCell ref="AP69:AP70"/>
    <mergeCell ref="AQ69:AQ70"/>
    <mergeCell ref="AR69:AR70"/>
    <mergeCell ref="AS69:AS70"/>
    <mergeCell ref="AX69:AX70"/>
    <mergeCell ref="AY69:AY70"/>
    <mergeCell ref="AZ69:AZ70"/>
    <mergeCell ref="BA69:BA70"/>
    <mergeCell ref="BF69:BF70"/>
    <mergeCell ref="BG69:BG70"/>
    <mergeCell ref="BH69:BH70"/>
    <mergeCell ref="BI69:BI70"/>
    <mergeCell ref="BN69:BN70"/>
    <mergeCell ref="BO69:BO70"/>
    <mergeCell ref="BP69:BP70"/>
    <mergeCell ref="BQ69:BQ70"/>
    <mergeCell ref="BV69:BV70"/>
    <mergeCell ref="BW69:BW70"/>
    <mergeCell ref="BX69:BX70"/>
    <mergeCell ref="BY69:BY70"/>
    <mergeCell ref="CD69:CD70"/>
    <mergeCell ref="CE69:CE70"/>
    <mergeCell ref="CF69:CF70"/>
    <mergeCell ref="CG69:CG70"/>
    <mergeCell ref="CL69:CL70"/>
    <mergeCell ref="CM69:CM70"/>
    <mergeCell ref="CN69:CN70"/>
    <mergeCell ref="CO69:CO70"/>
    <mergeCell ref="CT69:CT70"/>
    <mergeCell ref="CU69:CU70"/>
    <mergeCell ref="CV69:CV70"/>
    <mergeCell ref="CW69:CW70"/>
    <mergeCell ref="DB69:DB70"/>
    <mergeCell ref="DC69:DC70"/>
    <mergeCell ref="DD69:DD70"/>
    <mergeCell ref="DE69:DE70"/>
    <mergeCell ref="V100:AC100"/>
    <mergeCell ref="AD100:DF100"/>
    <mergeCell ref="DG101:DG103"/>
    <mergeCell ref="Z101:Z102"/>
    <mergeCell ref="AA101:AA102"/>
    <mergeCell ref="AH101:AH102"/>
    <mergeCell ref="AI101:AI102"/>
    <mergeCell ref="AJ101:AJ102"/>
    <mergeCell ref="AK101:AK102"/>
    <mergeCell ref="AB101:AB102"/>
    <mergeCell ref="AC101:AC102"/>
    <mergeCell ref="J100:J103"/>
    <mergeCell ref="Q100:Q103"/>
    <mergeCell ref="K101:K102"/>
    <mergeCell ref="AP101:AP102"/>
    <mergeCell ref="AQ101:AQ102"/>
    <mergeCell ref="AR101:AR102"/>
    <mergeCell ref="AS101:AS102"/>
    <mergeCell ref="AX101:AX102"/>
    <mergeCell ref="AY101:AY102"/>
    <mergeCell ref="AZ101:AZ102"/>
    <mergeCell ref="BA101:BA102"/>
    <mergeCell ref="BF101:BF102"/>
    <mergeCell ref="BG101:BG102"/>
    <mergeCell ref="BH101:BH102"/>
    <mergeCell ref="BI101:BI102"/>
    <mergeCell ref="BN101:BN102"/>
    <mergeCell ref="BO101:BO102"/>
    <mergeCell ref="BP101:BP102"/>
    <mergeCell ref="BQ101:BQ102"/>
    <mergeCell ref="BV101:BV102"/>
    <mergeCell ref="BW101:BW102"/>
    <mergeCell ref="BX101:BX102"/>
    <mergeCell ref="BY101:BY102"/>
    <mergeCell ref="CD101:CD102"/>
    <mergeCell ref="CE101:CE102"/>
    <mergeCell ref="CF101:CF102"/>
    <mergeCell ref="CG101:CG102"/>
    <mergeCell ref="CL101:CL102"/>
    <mergeCell ref="CM101:CM102"/>
    <mergeCell ref="CN101:CN102"/>
    <mergeCell ref="CO101:CO102"/>
    <mergeCell ref="CT101:CT102"/>
    <mergeCell ref="CU101:CU102"/>
    <mergeCell ref="CV101:CV102"/>
    <mergeCell ref="CW101:CW102"/>
    <mergeCell ref="DB101:DB102"/>
    <mergeCell ref="DC101:DC102"/>
    <mergeCell ref="DD101:DD102"/>
    <mergeCell ref="DE101:DE102"/>
    <mergeCell ref="V116:AC116"/>
    <mergeCell ref="AD116:DF116"/>
    <mergeCell ref="DG117:DG119"/>
    <mergeCell ref="Z117:Z118"/>
    <mergeCell ref="AA117:AA118"/>
    <mergeCell ref="AH117:AH118"/>
    <mergeCell ref="AI117:AI118"/>
    <mergeCell ref="AJ117:AJ118"/>
    <mergeCell ref="AK117:AK118"/>
    <mergeCell ref="AB117:AB118"/>
    <mergeCell ref="AC117:AC118"/>
    <mergeCell ref="J116:J119"/>
    <mergeCell ref="Q116:Q119"/>
    <mergeCell ref="K117:K118"/>
    <mergeCell ref="AP117:AP118"/>
    <mergeCell ref="AQ117:AQ118"/>
    <mergeCell ref="AR117:AR118"/>
    <mergeCell ref="AS117:AS118"/>
    <mergeCell ref="AX117:AX118"/>
    <mergeCell ref="AY117:AY118"/>
    <mergeCell ref="AZ117:AZ118"/>
    <mergeCell ref="BA117:BA118"/>
    <mergeCell ref="BF117:BF118"/>
    <mergeCell ref="BG117:BG118"/>
    <mergeCell ref="BH117:BH118"/>
    <mergeCell ref="BI117:BI118"/>
    <mergeCell ref="BN117:BN118"/>
    <mergeCell ref="BO117:BO118"/>
    <mergeCell ref="BP117:BP118"/>
    <mergeCell ref="BQ117:BQ118"/>
    <mergeCell ref="BV117:BV118"/>
    <mergeCell ref="BW117:BW118"/>
    <mergeCell ref="BX117:BX118"/>
    <mergeCell ref="BY117:BY118"/>
    <mergeCell ref="CD117:CD118"/>
    <mergeCell ref="CE117:CE118"/>
    <mergeCell ref="CF117:CF118"/>
    <mergeCell ref="CG117:CG118"/>
    <mergeCell ref="CL117:CL118"/>
    <mergeCell ref="CM117:CM118"/>
    <mergeCell ref="CN117:CN118"/>
    <mergeCell ref="CO117:CO118"/>
    <mergeCell ref="CT117:CT118"/>
    <mergeCell ref="CU117:CU118"/>
    <mergeCell ref="CV117:CV118"/>
    <mergeCell ref="CW117:CW118"/>
    <mergeCell ref="DB117:DB118"/>
    <mergeCell ref="DC117:DC118"/>
    <mergeCell ref="DD117:DD118"/>
    <mergeCell ref="DE117:DE118"/>
    <mergeCell ref="V132:AC132"/>
    <mergeCell ref="AD132:DF132"/>
    <mergeCell ref="DG133:DG135"/>
    <mergeCell ref="Z133:Z134"/>
    <mergeCell ref="AA133:AA134"/>
    <mergeCell ref="AH133:AH134"/>
    <mergeCell ref="AI133:AI134"/>
    <mergeCell ref="AJ133:AJ134"/>
    <mergeCell ref="AK133:AK134"/>
    <mergeCell ref="AB133:AB134"/>
    <mergeCell ref="AC133:AC134"/>
    <mergeCell ref="J132:J135"/>
    <mergeCell ref="Q132:Q135"/>
    <mergeCell ref="K133:K134"/>
    <mergeCell ref="AP133:AP134"/>
    <mergeCell ref="AQ133:AQ134"/>
    <mergeCell ref="AR133:AR134"/>
    <mergeCell ref="AS133:AS134"/>
    <mergeCell ref="AX133:AX134"/>
    <mergeCell ref="AY133:AY134"/>
    <mergeCell ref="AZ133:AZ134"/>
    <mergeCell ref="BA133:BA134"/>
    <mergeCell ref="BF133:BF134"/>
    <mergeCell ref="BG133:BG134"/>
    <mergeCell ref="BH133:BH134"/>
    <mergeCell ref="BI133:BI134"/>
    <mergeCell ref="BN133:BN134"/>
    <mergeCell ref="BO133:BO134"/>
    <mergeCell ref="BP133:BP134"/>
    <mergeCell ref="BQ133:BQ134"/>
    <mergeCell ref="BV133:BV134"/>
    <mergeCell ref="BW133:BW134"/>
    <mergeCell ref="BX133:BX134"/>
    <mergeCell ref="BY133:BY134"/>
    <mergeCell ref="CD133:CD134"/>
    <mergeCell ref="CE133:CE134"/>
    <mergeCell ref="CF133:CF134"/>
    <mergeCell ref="CG133:CG134"/>
    <mergeCell ref="CL133:CL134"/>
    <mergeCell ref="CM133:CM134"/>
    <mergeCell ref="CN133:CN134"/>
    <mergeCell ref="CO133:CO134"/>
    <mergeCell ref="CT133:CT134"/>
    <mergeCell ref="CU133:CU134"/>
    <mergeCell ref="CV133:CV134"/>
    <mergeCell ref="CW133:CW134"/>
    <mergeCell ref="DB133:DB134"/>
    <mergeCell ref="DC133:DC134"/>
    <mergeCell ref="DD133:DD134"/>
    <mergeCell ref="DE133:DE134"/>
  </mergeCells>
  <dataValidations count="8">
    <dataValidation allowBlank="1" promptTitle="checkPeriodRange" sqref="Y65670 Y131206 Y196742 Y262278 Y327814 Y393350 Y458886 Y524422 Y589958 Y655494 Y721030 Y786566 Y852102 Y917638 Y983174 Y9 AG65670 AG131206 AG196742 AG262278 AG327814 AG393350 AG458886 AG524422 AG589958 AG655494 AG721030 AG786566 AG852102 AG917638 AG983174 AG9 AG50 AG18 Y50 Y66 AG66 Y82 AG82 Y98 AG98 Y114 AG114 Y130 AG130 AO9 AO50 AO66 AO82 AO98 AO114 AO130 AW9 AW50 AW66 AW82 AW98 AW114 AW130 BE9 BE50 BE66 BE82 BE98 BE114 BE130 BM9 BM50 BM66 BM82 BM98 BM114 BM130 BU9 BU50 BU66 BU82 BU98 BU114 BU130 CC9 CC50 CC66 CC82 CC98 CC114 CC130 CK9 CK50 CK66 CK82 CK98 CK114 CK130 CS9 CS50 CS66 CS82 CS98 CS114 CS130 DA9 DA50 DA66 DA82 DA98 DA114 DA130 Y86 AG86 AO86 AW86 BE86 BM86 BU86 CC86 CK86 CS86 DA86 Y54 AG54 AO54 AW54 BE54 BM54 BU54 CC54 CK54 CS54 DA54 Y70 AG70 AO70 AW70 BE70 BM70 BU70 CC70 CK70 CS70 DA70 Y102 AG102 AO102 AW102 BE102 BM102 BU102 CC102 CK102 CS102 DA102 Y118 AG118 AO118 AW118 BE118 BM118 BU118 CC118 CK118 CS118 DA118 Y134 AG134 AO134 AW134 BE134 BM134 BU134 CC134 CK134 CS134 DA134"/>
    <dataValidation allowBlank="1" showInputMessage="1" showErrorMessage="1" prompt="Для выбора выполните двойной щелчок левой клавиши мыши по соответствующей ячейке." sqref="AA65669 AA131205 AA196741 AA262277 AA327813 AA393349 AA458885 AA524421 AA589957 AA655493 AA721029 AA786565 AA852101 AA917637 AA983173 AC131205 AC458885 AC196741 AC262277 AC327813 AC393349 AC524421 AC589957 AC655493 AC721029 AC786565 AC852101 AC917637 AC983173 AC65669 AI65669 AI131205 AI196741 AI262277 AI327813 AI393349 AI458885 AI524421 AI589957 AI655493 AI721029 AI786565 AI852101 AI917637 AI983173 AK393349:DE393349 AK49 AQ49 AS49 AY49 BA49 BG49 BI49 BO49 BQ49 BW49 BY49 CE49 CG49 CM49 CO49 CU49 CW49 DC49 DE49 AK524421:DE524421 AK8 AQ8 AS8 AY8 BA8 BG8 BI8 BO8 BQ8 BW8 BY8 CE8 CG8 CM8 CO8 CU8 CW8 DC8 DE8 AK589957:DE589957 AK655493:DE655493 AK17 AK721029:DE721029 AK786565:DE786565 AK852101:DE852101 AK917637:DE917637 AK983173:DE983173 AK65669:DE65669 AK131205:DE131205 AK458885:DE458885 AI49 AK196741:DE196741 AI8 AC8 AA8 AI17 AK262277:DE262277 AA49 AC49 AK327813:DE327813 AA65 AC65 AI65 AK65 AQ65 AS65 AY65 BA65 BG65 BI65 BO65 BQ65 BW65 BY65 CE65 CG65 CM65 CO65 CU65 CW65 DC65 DE65 AA81 AC81 AI81 AK81 AQ81 AS81 AY81 BA81 BG81 BI81 BO81 BQ81 BW81 BY81 CE81 CG81 CM81 CO81 CU81 CW81 DC81 DE81 AA97 AC97 AI97 AK97 AQ97 AS97 AY97 BA97 BG97 BI97 BO97 BQ97 BW97 BY97 CE97 CG97 CM97 CO97 CU97 CW97 DC97 DE97 AA113 AC113 AI113 AK113 AQ113 AS113 AY113 BA113 BG113 BI113 BO113 BQ113 BW113 BY113 CE113 CG113 CM113 CO113 CU113 CW113 DC113 DE113 AA129 AC129 AI129 AK129 AQ129 AS129 AY129 BA129 BG129 BI129 BO129 BQ129 BW129 BY129 CE129 CG129 CM129 CO129 CU129 CW129 DC129 DE129 AA85 AC85 AI85 AK85 AQ85 AS85 AY85 BA85 BG85 BI85 BO85 BQ85 BW85 BY85 CE85 CG85 CM85 CO85 CU85 CW85 DC85 DE85 AA53 AC53 AI53 AK53 AQ53 AS53 AY53 BA53 BG53 BI53 BO53 BQ53 BW53 BY53 CE53 CG53 CM53 CO53 CU53 CW53 DC53 DE53 AA69 AC69 AI69 AK69 AQ69 AS69 AY69 BA69 BG69 BI69 BO69 BQ69 BW69 BY69 CE69 CG69 CM69 CO69 CU69 CW69 DC69 DE69 AA101 AC101 AI101 AK101 AQ101 AS101 AY101 BA101 BG101 BI101 BO101 BQ101 BW101 BY101 CE101 CG101 CM101 CO101 CU101 CW101 DC101 DE101 AA117 AC117 AI117 AK117 AQ117 AS117 AY117 BA117 BG117 BI117 BO117 BQ117 BW117 BY117 CE117 CG117 CM117 CO117 CU117 CW117 DC117 DE117 AA133 AC133 AI133 AK133 AQ133 AS133 AY133 BA133 BG133 BI133 BO133 BQ133 BW133 BY133 CE133 CG133 CM133 CO133 CU133 CW133 DC133 DE13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69 Z131205 Z196741 Z262277 Z327813 Z393349 Z458885 Z524421 Z589957 Z655493 Z721029 Z786565 Z852101 Z917637 Z983173 AB65669 AB131205 AB196741 AB262277 AB327813 AB393349 AB458885 AB524421 AB589957 AB655493 AB721029 AB786565 AB852101 AB917637 AB983173 Z8 AH65669 AH131205 AH196741 AH262277 AH327813 AH393349 AH458885 AH524421 AH589957 AH655493 AH721029 AH786565 AH852101 AH917637 AH983173 AJ65669 AJ131205 AJ196741 AJ262277 AJ327813 AJ393349 AJ458885 AJ524421 AJ589957 AJ655493 AJ721029 AJ786565 AJ852101 AJ917637 AJ983173 AJ49 AH49 AH8 AJ8 AB8 AH17 AJ17 Z49 AB49 Z65 AB65 AH65 AJ65 Z81 AB81 AH81 AJ81 Z97 AB97 AH97 AJ97 Z113 AB113 AH113 AJ113 Z129 AB129 AH129 AJ129 AP8 AR8 AP49 AR49 AP65 AR65 AP81 AR81 AP97 AR97 AP113 AR113 AP129 AR129 AX8 AZ8 AX49 AZ49 AX65 AZ65 AX81 AZ81 AX97 AZ97 AX113 AZ113 AX129 AZ129 BF8 BH8 BF49 BH49 BF65 BH65 BF81 BH81 BF97 BH97 BF113 BH113 BF129 BH129 BN8 BP8 BN49 BP49 BN65 BP65 BN81 BP81 BN97 BP97 BN113 BP113 BN129 BP129 BV8 BX8 BV49 BX49 BV65 BX65 BV81 BX81 BV97 BX97 BV113 BX113 BV129 BX129 CD8 CF8 CD49 CF49 CD65 CF65 CD81 CF81 CD97 CF97 CD113 CF113 CD129 CF129 CL8 CN8 CL49 CN49 CL65 CN65 CL81 CN81 CL97 CN97 CL113 CN113 CL129 CN129 CT8 CV8 CT49 CV49 CT65 CV65 CT81 CV81 CT97 CV97 CT113 CV113 CT129 CV129 DB8 DD8 DB49 DD49 DB65 DD65 DB81 DD81 DB97 DD97 DB113 DD113 DB129 DD129 Z85 AB85 AH85 AJ85 AP85 AR85 AX85 AZ85 BF85 BH85 BN85 BP85 BV85 BX85 CD85 CF85 CL85 CN85 CT85 CV85 DB85 DD85 Z53 AB53 AH53 AJ53 AP53 AR53 AX53 AZ53 BF53 BH53 BN53 BP53 BV53 BX53 CD53 CF53 CL53 CN53 CT53 CV53 DB53 DD53 Z69 AB69 AH69 AJ69 AP69 AR69 AX69 AZ69 BF69 BH69 BN69 BP69 BV69 BX69 CD69 CF69 CL69 CN69 CT69 CV69 DB69 DD69 Z101 AB101 AH101 AJ101 AP101 AR101 AX101 AZ101 BF101 BH101 BN101 BP101 BV101 BX101 CD101 CF101 CL101 CN101 CT101 CV101 DB101 DD101 Z117 AB117 AH117 AJ117 AP117 AR117 AX117 AZ117 BF117 BH117 BN117 BP117 BV117 BX117 CD117 CF117 CL117 CN117 CT117 CV117 DB117 DD117 Z133 AB133 AH133 AJ133 AP133 AR133 AX133 AZ133 BF133 BH133 BN133 BP133 BV133 BX133 CD133 CF133 CL133 CN133 CT133 CV133 DB133 DD133"/>
    <dataValidation type="list" allowBlank="1" showInputMessage="1" showErrorMessage="1" errorTitle="Ошибка" error="Выберите значение из списка" sqref="T65669 T131205 T196741 T262277 T327813 T393349 T458885 T524421 T589957 T655493 T721029 T786565 T852101 T917637 T983173">
      <formula1>kind_of_heat_transfer</formula1>
    </dataValidation>
    <dataValidation type="textLength" operator="lessThanOrEqual" allowBlank="1" showInputMessage="1" showErrorMessage="1" errorTitle="Ошибка" error="Допускается ввод не более 900 символов!" sqref="DG65663:DG65670 DG131199:DG131206 DG196735:DG196742 DG262271:DG262278 DG327807:DG327814 DG393343:DG393350 DG458879:DG458886 DG524415:DG524422 DG589951:DG589958 DG655487:DG655494 DG721023:DG721030 DG786559:DG786566 DG852095:DG852102 DG917631:DG917638 DG983167:DG983174">
      <formula1>900</formula1>
    </dataValidation>
    <dataValidation type="list" allowBlank="1" showInputMessage="1" showErrorMessage="1" errorTitle="Ошибка" error="Выберите значение из списка" sqref="V983171:W983171 V65667:W65667 V131203:W131203 V196739:W196739 V262275:W262275 V327811:W327811 V393347:W393347 V458883:W458883 V524419:W524419 V589955:W589955 V655491:W655491 V721027:W721027 V786563:W786563 V852099:W852099 V917635:W917635 AD983171:AE983171 AD65667:AE65667 AD131203:AE131203 AD196739:AE196739 AD262275:AE262275 AD327811:AE327811 AD393347:AE393347 AD458883:AE458883 AD524419:AE524419 AD589955:AE589955 AD655491:AE655491 AD721027:AE721027 AD786563:AE786563 AD852099:AE852099 AD917635:AE917635">
      <formula1>kind_of_scheme_in</formula1>
    </dataValidation>
    <dataValidation type="list" allowBlank="1" showInputMessage="1" errorTitle="Ошибка" error="Выберите значение из списка" prompt="Выберите значение из списка" sqref="V983172:DF983172 V65668:DF65668 V131204:DF131204 V196740:DF196740 V262276:DF262276 V327812:DF327812 V393348:DF393348 V458884:DF458884 V524420:DF524420 V589956:DF589956 V655492:DF655492 V721028:DF721028 V786564:DF786564 V852100:DF852100 V917636:DF917636">
      <formula1>kind_of_cons</formula1>
    </dataValidation>
    <dataValidation allowBlank="1" sqref="S131207:DG131213 S196743:DG196749 S262279:DG262285 S327815:DG327821 S393351:DG393357 S458887:DG458893 S524423:DG524429 S589959:DG589965 S655495:DG655501 S721031:DG721037 S786567:DG786573 S852103:DG852109 S917639:DG917645 S983175:DG983181 S65671:DG6567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644847-D52C-CFD2-B005-61C82B22E1BF}"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30620" width="10.57421875" hidden="1"/>
    <col min="2" max="2" style="30620" width="11.00390625" hidden="1" customWidth="1"/>
    <col min="3" max="3" style="30620" width="10.57421875" hidden="1"/>
    <col min="4" max="4" style="30620" width="11.8515625" hidden="1" customWidth="1"/>
    <col min="5" max="5" style="30620" width="10.00390625" hidden="1" customWidth="1"/>
    <col min="6" max="6" style="30620" width="8.7109375" hidden="1" customWidth="1"/>
    <col min="7" max="7" style="30620" width="7.57421875" hidden="1" customWidth="1"/>
    <col min="8" max="8" style="30620" width="11.421875" hidden="1" customWidth="1"/>
    <col min="9" max="9" style="30620" width="12.00390625" hidden="1" customWidth="1"/>
    <col min="10" max="10" style="30620" width="9.8515625" hidden="1" customWidth="1"/>
    <col min="11" max="11" style="30620" width="11.421875" hidden="1" customWidth="1"/>
    <col min="12" max="12" style="31502" width="19.140625" hidden="1" customWidth="1"/>
    <col min="13" max="14" style="31503" width="12.28125" hidden="1" customWidth="1"/>
    <col min="15" max="15" style="31503" width="23.421875" hidden="1" customWidth="1"/>
    <col min="16" max="16" style="31504" width="3.7109375" hidden="1" customWidth="1"/>
    <col min="17" max="18" style="31505" width="3.00390625" customWidth="1"/>
    <col min="19" max="19" style="31506" width="12.00390625" customWidth="1"/>
    <col min="20" max="20" style="30541" width="31.00390625" customWidth="1"/>
    <col min="21" max="21" style="30541" width="0.140625" customWidth="1"/>
    <col min="22" max="22" style="30541" width="24.7109375" hidden="1" customWidth="1"/>
    <col min="23" max="23" style="30541" width="0.140625" hidden="1" customWidth="1"/>
    <col min="24" max="25" style="30541" width="24.7109375" hidden="1" customWidth="1"/>
    <col min="26" max="26" style="30541" width="11.7109375" hidden="1" customWidth="1"/>
    <col min="27" max="27" style="30541" width="3.7109375" hidden="1" customWidth="1"/>
    <col min="28" max="28" style="30541" width="11.7109375" hidden="1" customWidth="1"/>
    <col min="29" max="29" style="30541" width="8.57421875" hidden="1" customWidth="1"/>
    <col min="30" max="30" style="30541" width="24.7109375" customWidth="1"/>
    <col min="31" max="31" style="30541" width="0.140625" customWidth="1"/>
    <col min="32" max="33" style="30541" width="24.00390625" customWidth="1"/>
    <col min="34" max="34" style="30541" width="11.00390625" customWidth="1"/>
    <col min="35" max="35" style="30541" width="3.7109375" customWidth="1"/>
    <col min="36" max="36" style="30541" width="11.00390625" customWidth="1"/>
    <col min="37" max="37" style="30541" width="8.57421875" hidden="1" customWidth="1"/>
    <col min="38" max="38" style="30541" width="4.00390625" customWidth="1"/>
    <col min="39" max="39" style="30541" width="115.00390625" customWidth="1"/>
    <col min="40" max="44" style="30621" width="10.00390625" customWidth="1"/>
    <col min="45" max="45" style="30541" width="10.57421875" hidden="1"/>
  </cols>
  <sheetData>
    <row customHeight="1" ht="22.5" hidden="1">
      <c r="A1" s="2155"/>
      <c r="Y1" s="611"/>
      <c r="Z1" s="611"/>
      <c r="AG1" s="611"/>
      <c r="AH1" s="611"/>
      <c r="AS1" s="1439" t="s">
        <v>14</v>
      </c>
    </row>
    <row customHeight="1" ht="21" hidden="1">
      <c r="A2" s="1647"/>
      <c r="B2" s="1647"/>
      <c r="C2" s="1647"/>
      <c r="D2" s="1647"/>
      <c r="E2" s="2542">
        <v>1</v>
      </c>
      <c r="F2" s="1647"/>
      <c r="G2" s="1647"/>
      <c r="H2" s="1647"/>
      <c r="I2" s="1647"/>
      <c r="J2" s="1647"/>
      <c r="K2" s="1647"/>
      <c r="L2" s="1648"/>
      <c r="M2" s="1649"/>
      <c r="N2" s="1649"/>
      <c r="O2" s="1649"/>
      <c r="P2" s="645"/>
      <c r="Q2" s="644"/>
      <c r="R2" s="639"/>
      <c r="S2" s="1620">
        <f>INDEX(PT_DIFFERENTIATION_NUM_NTAR,MATCH(A2,PT_DIFFERENTIATION_NTAR_ID,0))</f>
      </c>
      <c r="T2" s="582" t="s">
        <v>153</v>
      </c>
      <c r="U2" s="584"/>
      <c r="V2" s="2526"/>
      <c r="W2" s="2527"/>
      <c r="X2" s="2527"/>
      <c r="Y2" s="2527"/>
      <c r="Z2" s="2527"/>
      <c r="AA2" s="2527"/>
      <c r="AB2" s="2527"/>
      <c r="AC2" s="2528"/>
      <c r="AD2" s="2526">
        <f>INDEX(PT_DIFFERENTIATION_NTAR,MATCH(A2,PT_DIFFERENTIATION_NTAR_ID,0))</f>
      </c>
      <c r="AE2" s="2527"/>
      <c r="AF2" s="2527"/>
      <c r="AG2" s="2527"/>
      <c r="AH2" s="2527"/>
      <c r="AI2" s="2527"/>
      <c r="AJ2" s="2527"/>
      <c r="AK2" s="2527"/>
      <c r="AL2" s="2528"/>
      <c r="AM2" s="1542" t="s">
        <v>456</v>
      </c>
      <c r="AO2" s="784"/>
      <c r="AP2" s="784" t="str">
        <f>IF(T2="","",T2)</f>
        <v>Наименование тарифа</v>
      </c>
      <c r="AQ2" s="784"/>
      <c r="AR2" s="784"/>
      <c r="AS2" s="1439">
        <v>0</v>
      </c>
    </row>
    <row customHeight="1" ht="21" hidden="1">
      <c r="A3" s="1647"/>
      <c r="B3" s="1647"/>
      <c r="C3" s="1647"/>
      <c r="D3" s="1647"/>
      <c r="E3" s="2543"/>
      <c r="F3" s="2542">
        <v>1</v>
      </c>
      <c r="G3" s="1647"/>
      <c r="H3" s="1647"/>
      <c r="I3" s="1647"/>
      <c r="J3" s="1647"/>
      <c r="K3" s="1647"/>
      <c r="L3" s="1648"/>
      <c r="M3" s="1649"/>
      <c r="N3" s="1649"/>
      <c r="O3" s="1649"/>
      <c r="P3" s="1616"/>
      <c r="Q3" s="636"/>
      <c r="R3" s="637"/>
      <c r="S3" s="1620">
        <f>INDEX(PT_DIFFERENTIATION_NUM_TER,MATCH(B3,PT_DIFFERENTIATION_TER_ID,0))</f>
      </c>
      <c r="T3" s="592" t="s">
        <v>457</v>
      </c>
      <c r="U3" s="584"/>
      <c r="V3" s="2526"/>
      <c r="W3" s="2527"/>
      <c r="X3" s="2527"/>
      <c r="Y3" s="2527"/>
      <c r="Z3" s="2527"/>
      <c r="AA3" s="2527"/>
      <c r="AB3" s="2527"/>
      <c r="AC3" s="2528"/>
      <c r="AD3" s="2526">
        <f>INDEX(PT_DIFFERENTIATION_TER,MATCH(B3,PT_DIFFERENTIATION_TER_ID,0))</f>
      </c>
      <c r="AE3" s="2527"/>
      <c r="AF3" s="2527"/>
      <c r="AG3" s="2527"/>
      <c r="AH3" s="2527"/>
      <c r="AI3" s="2527"/>
      <c r="AJ3" s="2527"/>
      <c r="AK3" s="2527"/>
      <c r="AL3" s="2528"/>
      <c r="AM3" s="1542" t="s">
        <v>458</v>
      </c>
      <c r="AO3" s="784"/>
      <c r="AP3" s="784" t="str">
        <f>IF(T3="","",T3)</f>
        <v>Территория действия тарифа</v>
      </c>
      <c r="AQ3" s="784"/>
      <c r="AR3" s="784"/>
      <c r="AS3" s="1439">
        <v>0</v>
      </c>
    </row>
    <row customHeight="1" ht="23.25" hidden="1">
      <c r="A4" s="1647"/>
      <c r="B4" s="1647"/>
      <c r="C4" s="1647"/>
      <c r="D4" s="1647"/>
      <c r="E4" s="2543"/>
      <c r="F4" s="2543"/>
      <c r="G4" s="2542">
        <v>1</v>
      </c>
      <c r="H4" s="1647"/>
      <c r="I4" s="1647"/>
      <c r="J4" s="1647"/>
      <c r="K4" s="1647"/>
      <c r="L4" s="1648"/>
      <c r="M4" s="1649"/>
      <c r="N4" s="1649"/>
      <c r="O4" s="1649"/>
      <c r="P4" s="638"/>
      <c r="Q4" s="636"/>
      <c r="R4" s="637"/>
      <c r="S4" s="2292">
        <f>INDEX(PT_DIFFERENTIATION_NUM_CS,MATCH(C4,PT_DIFFERENTIATION_CS_ID,0))</f>
      </c>
      <c r="T4" s="2296" t="s">
        <v>459</v>
      </c>
      <c r="U4" s="2297"/>
      <c r="V4" s="2584"/>
      <c r="W4" s="2585"/>
      <c r="X4" s="2585"/>
      <c r="Y4" s="2585"/>
      <c r="Z4" s="2585"/>
      <c r="AA4" s="2585"/>
      <c r="AB4" s="2585"/>
      <c r="AC4" s="2586"/>
      <c r="AD4" s="2584">
        <f>INDEX(PT_DIFFERENTIATION_CS,MATCH(C4,PT_DIFFERENTIATION_CS_ID,0))</f>
      </c>
      <c r="AE4" s="2585"/>
      <c r="AF4" s="2585"/>
      <c r="AG4" s="2585"/>
      <c r="AH4" s="2585"/>
      <c r="AI4" s="2585"/>
      <c r="AJ4" s="2585"/>
      <c r="AK4" s="2585"/>
      <c r="AL4" s="2586"/>
      <c r="AM4" s="1542" t="s">
        <v>460</v>
      </c>
      <c r="AO4" s="784"/>
      <c r="AP4" s="784" t="str">
        <f>IF(T4="","",T4)</f>
        <v>Наименование системы теплоснабжения </v>
      </c>
      <c r="AQ4" s="784"/>
      <c r="AR4" s="784"/>
      <c r="AS4" s="1439">
        <v>0</v>
      </c>
    </row>
    <row customHeight="1" ht="21" hidden="1">
      <c r="A5" s="1647"/>
      <c r="B5" s="1647"/>
      <c r="C5" s="1647"/>
      <c r="D5" s="1647"/>
      <c r="E5" s="2543"/>
      <c r="F5" s="2543"/>
      <c r="G5" s="2543"/>
      <c r="H5" s="2542">
        <v>1</v>
      </c>
      <c r="I5" s="1647"/>
      <c r="J5" s="1647"/>
      <c r="K5" s="1647"/>
      <c r="L5" s="1648"/>
      <c r="M5" s="1649"/>
      <c r="N5" s="1649"/>
      <c r="O5" s="1649"/>
      <c r="P5" s="638"/>
      <c r="Q5" s="636"/>
      <c r="R5" s="1919"/>
      <c r="S5" s="2291">
        <f>INDEX(PT_DIFFERENTIATION_NUM_IST_TE,MATCH(D5,PT_DIFFERENTIATION_IST_TE_ID,0))</f>
      </c>
      <c r="T5" s="594" t="s">
        <v>461</v>
      </c>
      <c r="U5" s="584"/>
      <c r="V5" s="2587"/>
      <c r="W5" s="2587"/>
      <c r="X5" s="2587"/>
      <c r="Y5" s="2587"/>
      <c r="Z5" s="2587"/>
      <c r="AA5" s="2587"/>
      <c r="AB5" s="2587"/>
      <c r="AC5" s="2587"/>
      <c r="AD5" s="2587">
        <f>INDEX(PT_DIFFERENTIATION_IST_TE,MATCH(D5,PT_DIFFERENTIATION_IST_TE_ID,0))</f>
      </c>
      <c r="AE5" s="2587"/>
      <c r="AF5" s="2587"/>
      <c r="AG5" s="2587"/>
      <c r="AH5" s="2587"/>
      <c r="AI5" s="2587"/>
      <c r="AJ5" s="2587"/>
      <c r="AK5" s="2587"/>
      <c r="AL5" s="2587"/>
      <c r="AM5" s="2294" t="s">
        <v>462</v>
      </c>
      <c r="AO5" s="784"/>
      <c r="AP5" s="784" t="str">
        <f>IF(T5="","",T5)</f>
        <v>Источник тепловой энергии  </v>
      </c>
      <c r="AQ5" s="784"/>
      <c r="AR5" s="784"/>
      <c r="AS5" s="1439">
        <v>0</v>
      </c>
    </row>
    <row customHeight="1" ht="0.75" hidden="1">
      <c r="A6" s="1647"/>
      <c r="B6" s="1647"/>
      <c r="C6" s="1647"/>
      <c r="D6" s="1647"/>
      <c r="E6" s="2543"/>
      <c r="F6" s="2543"/>
      <c r="G6" s="2543"/>
      <c r="H6" s="2543"/>
      <c r="I6" s="2540">
        <f>S5&amp;".1"</f>
      </c>
      <c r="J6" s="1647"/>
      <c r="K6" s="1647"/>
      <c r="L6" s="1648" t="s">
        <v>463</v>
      </c>
      <c r="M6" s="821"/>
      <c r="P6" s="2541">
        <v>1</v>
      </c>
      <c r="Q6" s="1615"/>
      <c r="R6" s="2290"/>
      <c r="S6" s="1326"/>
      <c r="T6" s="1667"/>
      <c r="U6" s="1668"/>
      <c r="V6" s="2588"/>
      <c r="W6" s="2588"/>
      <c r="X6" s="2588"/>
      <c r="Y6" s="2588"/>
      <c r="Z6" s="2588"/>
      <c r="AA6" s="2588"/>
      <c r="AB6" s="2588"/>
      <c r="AC6" s="2588"/>
      <c r="AD6" s="2588"/>
      <c r="AE6" s="2588"/>
      <c r="AF6" s="2588"/>
      <c r="AG6" s="2588"/>
      <c r="AH6" s="2588"/>
      <c r="AI6" s="2588"/>
      <c r="AJ6" s="2588"/>
      <c r="AK6" s="2588"/>
      <c r="AL6" s="2588"/>
      <c r="AM6" s="2295"/>
      <c r="AO6" s="784"/>
      <c r="AP6" s="784" t="str">
        <f>IF(T6="","",T6)</f>
        <v/>
      </c>
      <c r="AQ6" s="784"/>
      <c r="AR6" s="784"/>
      <c r="AS6" s="1439">
        <v>0</v>
      </c>
    </row>
    <row customHeight="1" ht="84" hidden="1">
      <c r="A7" s="1647"/>
      <c r="B7" s="1647"/>
      <c r="C7" s="1647"/>
      <c r="D7" s="1647"/>
      <c r="E7" s="2543"/>
      <c r="F7" s="2543"/>
      <c r="G7" s="2543"/>
      <c r="H7" s="2543"/>
      <c r="I7" s="2570"/>
      <c r="J7" s="2540">
        <f>I6&amp;".1"</f>
      </c>
      <c r="K7" s="1647"/>
      <c r="L7" s="1648" t="s">
        <v>466</v>
      </c>
      <c r="M7" s="821"/>
      <c r="N7" s="1650"/>
      <c r="P7" s="2541"/>
      <c r="Q7" s="2541">
        <v>1</v>
      </c>
      <c r="R7" s="1926"/>
      <c r="S7" s="2291">
        <f>$J7</f>
      </c>
      <c r="T7" s="570" t="s">
        <v>467</v>
      </c>
      <c r="U7" s="584"/>
      <c r="V7" s="2589"/>
      <c r="W7" s="2589"/>
      <c r="X7" s="2589"/>
      <c r="Y7" s="2589"/>
      <c r="Z7" s="2589"/>
      <c r="AA7" s="2589"/>
      <c r="AB7" s="2589"/>
      <c r="AC7" s="2589"/>
      <c r="AD7" s="2589"/>
      <c r="AE7" s="2589"/>
      <c r="AF7" s="2589"/>
      <c r="AG7" s="2589"/>
      <c r="AH7" s="2589"/>
      <c r="AI7" s="2589"/>
      <c r="AJ7" s="2589"/>
      <c r="AK7" s="2589"/>
      <c r="AL7" s="2589"/>
      <c r="AM7" s="2294" t="s">
        <v>468</v>
      </c>
      <c r="AO7" s="784"/>
      <c r="AP7" s="784" t="str">
        <f>IF(T7="","",T7)</f>
        <v>Группа потребителей</v>
      </c>
      <c r="AQ7" s="784"/>
      <c r="AR7" s="784"/>
      <c r="AS7" s="1439">
        <v>0</v>
      </c>
    </row>
    <row customHeight="1" ht="11.25" hidden="1">
      <c r="A8" s="1647"/>
      <c r="B8" s="1647"/>
      <c r="C8" s="1647"/>
      <c r="D8" s="1647"/>
      <c r="E8" s="2543"/>
      <c r="F8" s="2543"/>
      <c r="G8" s="2543"/>
      <c r="H8" s="2543"/>
      <c r="I8" s="2570"/>
      <c r="J8" s="2570"/>
      <c r="K8" s="2540">
        <f>J7&amp;".1"</f>
      </c>
      <c r="L8" s="1648" t="s">
        <v>469</v>
      </c>
      <c r="M8" s="821"/>
      <c r="N8" s="1650"/>
      <c r="O8" s="1650"/>
      <c r="P8" s="2541"/>
      <c r="Q8" s="2541"/>
      <c r="R8" s="641">
        <v>1</v>
      </c>
      <c r="S8" s="2293">
        <f>$K8</f>
      </c>
      <c r="T8" s="2298"/>
      <c r="U8" s="2299"/>
      <c r="V8" s="2300"/>
      <c r="W8" s="1633"/>
      <c r="X8" s="2300"/>
      <c r="Y8" s="2301"/>
      <c r="Z8" s="2590"/>
      <c r="AA8" s="2396" t="s">
        <v>64</v>
      </c>
      <c r="AB8" s="2590"/>
      <c r="AC8" s="2396" t="s">
        <v>64</v>
      </c>
      <c r="AD8" s="2300"/>
      <c r="AE8" s="1633"/>
      <c r="AF8" s="2300"/>
      <c r="AG8" s="2301"/>
      <c r="AH8" s="2590"/>
      <c r="AI8" s="2396" t="s">
        <v>64</v>
      </c>
      <c r="AJ8" s="2590"/>
      <c r="AK8" s="2396" t="s">
        <v>64</v>
      </c>
      <c r="AL8" s="1633"/>
      <c r="AM8" s="2537" t="s">
        <v>470</v>
      </c>
      <c r="AN8" s="795">
        <f>STRCHECKDATE(V9:AL9)</f>
      </c>
      <c r="AO8" s="784"/>
      <c r="AP8" s="784" t="str">
        <f>IF(T8="","",T8)</f>
        <v/>
      </c>
      <c r="AQ8" s="784"/>
      <c r="AR8" s="784"/>
      <c r="AS8" s="1439">
        <v>0</v>
      </c>
    </row>
    <row customHeight="1" ht="0.75" hidden="1">
      <c r="A9" s="1647"/>
      <c r="B9" s="1647"/>
      <c r="C9" s="1647"/>
      <c r="D9" s="1647"/>
      <c r="E9" s="2543"/>
      <c r="F9" s="2543"/>
      <c r="G9" s="2543"/>
      <c r="H9" s="2543"/>
      <c r="I9" s="2570"/>
      <c r="J9" s="2570"/>
      <c r="K9" s="2540"/>
      <c r="L9" s="1648"/>
      <c r="M9" s="821"/>
      <c r="N9" s="1650"/>
      <c r="O9" s="1650"/>
      <c r="P9" s="2541"/>
      <c r="Q9" s="2541"/>
      <c r="R9" s="641"/>
      <c r="S9" s="1626"/>
      <c r="T9" s="584"/>
      <c r="U9" s="584"/>
      <c r="V9" s="609"/>
      <c r="W9" s="609"/>
      <c r="X9" s="609"/>
      <c r="Y9" s="612" t="str">
        <f>Z8&amp;"-"&amp;AB8</f>
        <v>-</v>
      </c>
      <c r="Z9" s="2550"/>
      <c r="AA9" s="2391"/>
      <c r="AB9" s="2550"/>
      <c r="AC9" s="2391"/>
      <c r="AD9" s="609"/>
      <c r="AE9" s="609"/>
      <c r="AF9" s="609"/>
      <c r="AG9" s="612" t="str">
        <f>AH8&amp;"-"&amp;AJ8</f>
        <v>-</v>
      </c>
      <c r="AH9" s="2550"/>
      <c r="AI9" s="2391"/>
      <c r="AJ9" s="2550"/>
      <c r="AK9" s="2391"/>
      <c r="AL9" s="609"/>
      <c r="AM9" s="2538"/>
      <c r="AO9" s="784"/>
      <c r="AP9" s="784" t="str">
        <f>IF(T9="","",T9)</f>
        <v/>
      </c>
      <c r="AQ9" s="784"/>
      <c r="AR9" s="784"/>
      <c r="AS9" s="1439">
        <v>0</v>
      </c>
    </row>
    <row customHeight="1" ht="11.25" hidden="1">
      <c r="A10" s="1647"/>
      <c r="B10" s="1647"/>
      <c r="C10" s="1647"/>
      <c r="D10" s="1647"/>
      <c r="E10" s="2543"/>
      <c r="F10" s="2543"/>
      <c r="G10" s="2543"/>
      <c r="H10" s="2543"/>
      <c r="I10" s="2570"/>
      <c r="J10" s="2540"/>
      <c r="K10" s="1647"/>
      <c r="L10" s="1648"/>
      <c r="M10" s="821"/>
      <c r="N10" s="1650"/>
      <c r="P10" s="2541"/>
      <c r="Q10" s="2541"/>
      <c r="R10" s="640"/>
      <c r="S10" s="1562"/>
      <c r="T10" s="571" t="s">
        <v>471</v>
      </c>
      <c r="U10" s="651"/>
      <c r="V10" s="651"/>
      <c r="W10" s="651"/>
      <c r="X10" s="651"/>
      <c r="Y10" s="651"/>
      <c r="Z10" s="651"/>
      <c r="AA10" s="651"/>
      <c r="AB10" s="651"/>
      <c r="AC10" s="651"/>
      <c r="AD10" s="651"/>
      <c r="AE10" s="651"/>
      <c r="AF10" s="651"/>
      <c r="AG10" s="651"/>
      <c r="AH10" s="651"/>
      <c r="AI10" s="651"/>
      <c r="AJ10" s="651"/>
      <c r="AK10" s="651"/>
      <c r="AL10" s="608"/>
      <c r="AM10" s="2539"/>
      <c r="AO10" s="784"/>
      <c r="AP10" s="784" t="str">
        <f>IF(T10="","",T10)</f>
        <v>Добавить вид теплоносителя (параметры теплоносителя)</v>
      </c>
      <c r="AQ10" s="784"/>
      <c r="AR10" s="784"/>
      <c r="AS10" s="1439">
        <v>0</v>
      </c>
    </row>
    <row customHeight="1" ht="11.25" hidden="1">
      <c r="A11" s="1647"/>
      <c r="B11" s="1647"/>
      <c r="C11" s="1647"/>
      <c r="D11" s="1647"/>
      <c r="E11" s="2543"/>
      <c r="F11" s="2543"/>
      <c r="G11" s="2543"/>
      <c r="H11" s="2543"/>
      <c r="I11" s="2540"/>
      <c r="J11" s="1647"/>
      <c r="K11" s="1647"/>
      <c r="L11" s="1648"/>
      <c r="M11" s="821"/>
      <c r="P11" s="2541"/>
      <c r="Q11" s="1615"/>
      <c r="R11" s="640"/>
      <c r="S11" s="1562"/>
      <c r="T11" s="649" t="s">
        <v>472</v>
      </c>
      <c r="U11" s="651"/>
      <c r="V11" s="651"/>
      <c r="W11" s="651"/>
      <c r="X11" s="651"/>
      <c r="Y11" s="651"/>
      <c r="Z11" s="651"/>
      <c r="AA11" s="651"/>
      <c r="AB11" s="651"/>
      <c r="AC11" s="650"/>
      <c r="AD11" s="651"/>
      <c r="AE11" s="651"/>
      <c r="AF11" s="651"/>
      <c r="AG11" s="651"/>
      <c r="AH11" s="651"/>
      <c r="AI11" s="651"/>
      <c r="AJ11" s="651"/>
      <c r="AK11" s="650"/>
      <c r="AL11" s="651"/>
      <c r="AM11" s="587"/>
      <c r="AO11" s="784"/>
      <c r="AP11" s="784" t="str">
        <f>IF(T11="","",T11)</f>
        <v>Добавить группу потребителей</v>
      </c>
      <c r="AQ11" s="784"/>
      <c r="AR11" s="784"/>
      <c r="AS11" s="1439">
        <v>0</v>
      </c>
    </row>
    <row customHeight="1" ht="0.75" hidden="1">
      <c r="A12" s="1647"/>
      <c r="B12" s="1647"/>
      <c r="C12" s="1647"/>
      <c r="D12" s="1647"/>
      <c r="E12" s="2543"/>
      <c r="F12" s="2543"/>
      <c r="G12" s="2543"/>
      <c r="H12" s="2542"/>
      <c r="I12" s="1647"/>
      <c r="J12" s="1647"/>
      <c r="K12" s="1647"/>
      <c r="L12" s="1648"/>
      <c r="M12" s="1649"/>
      <c r="N12" s="1649"/>
      <c r="O12" s="821"/>
      <c r="P12" s="644"/>
      <c r="Q12" s="659"/>
      <c r="R12" s="639"/>
      <c r="S12" s="1670"/>
      <c r="T12" s="1671"/>
      <c r="U12" s="1672"/>
      <c r="V12" s="1672"/>
      <c r="W12" s="1672"/>
      <c r="X12" s="1672"/>
      <c r="Y12" s="1672"/>
      <c r="Z12" s="1672"/>
      <c r="AA12" s="1672"/>
      <c r="AB12" s="1672"/>
      <c r="AC12" s="1672"/>
      <c r="AD12" s="1672"/>
      <c r="AE12" s="1672"/>
      <c r="AF12" s="1672"/>
      <c r="AG12" s="1672"/>
      <c r="AH12" s="1672"/>
      <c r="AI12" s="1672"/>
      <c r="AJ12" s="1672"/>
      <c r="AK12" s="1672"/>
      <c r="AL12" s="1672"/>
      <c r="AM12" s="1673"/>
      <c r="AO12" s="784"/>
      <c r="AP12" s="784" t="str">
        <f>IF(T12="","",T12)</f>
        <v/>
      </c>
      <c r="AQ12" s="784"/>
      <c r="AR12" s="784"/>
      <c r="AS12" s="1439">
        <v>0</v>
      </c>
    </row>
    <row s="30621" customFormat="1" customHeight="1" ht="0.75" hidden="1">
      <c r="A13" s="1598"/>
      <c r="B13" s="1598"/>
      <c r="C13" s="1598"/>
      <c r="D13" s="1598"/>
      <c r="E13" s="2543"/>
      <c r="F13" s="2543"/>
      <c r="G13" s="2542"/>
      <c r="H13" s="1598"/>
      <c r="I13" s="1598"/>
      <c r="J13" s="1598"/>
      <c r="K13" s="1598"/>
      <c r="L13" s="1623"/>
      <c r="M13" s="1599"/>
      <c r="N13" s="1599"/>
      <c r="P13" s="1600"/>
      <c r="Q13" s="1601"/>
      <c r="R13" s="1600"/>
      <c r="S13" s="1602"/>
      <c r="T13" s="1603" t="s">
        <v>213</v>
      </c>
      <c r="U13" s="1604"/>
      <c r="V13" s="1604"/>
      <c r="W13" s="1604"/>
      <c r="X13" s="1604"/>
      <c r="Y13" s="1604"/>
      <c r="Z13" s="1604"/>
      <c r="AA13" s="1604"/>
      <c r="AB13" s="1604"/>
      <c r="AC13" s="1604"/>
      <c r="AD13" s="1604"/>
      <c r="AE13" s="1604"/>
      <c r="AF13" s="1604"/>
      <c r="AG13" s="1604"/>
      <c r="AH13" s="1604"/>
      <c r="AI13" s="1604"/>
      <c r="AJ13" s="1604"/>
      <c r="AK13" s="1604"/>
      <c r="AL13" s="1604"/>
      <c r="AM13" s="1604"/>
      <c r="AO13" s="1073"/>
      <c r="AP13" s="1073" t="str">
        <f>IF(T13="","",T13)</f>
        <v>Добавить источник для дифференциации</v>
      </c>
      <c r="AQ13" s="1073"/>
      <c r="AR13" s="1073"/>
      <c r="AS13" s="802">
        <v>0</v>
      </c>
    </row>
    <row s="30621" customFormat="1" customHeight="1" ht="0.75" hidden="1">
      <c r="A14" s="1598"/>
      <c r="B14" s="1598"/>
      <c r="C14" s="1598"/>
      <c r="D14" s="1598"/>
      <c r="E14" s="2543"/>
      <c r="F14" s="2542"/>
      <c r="G14" s="1598"/>
      <c r="H14" s="1598"/>
      <c r="I14" s="1598"/>
      <c r="J14" s="1598"/>
      <c r="K14" s="1598"/>
      <c r="L14" s="1623"/>
      <c r="M14" s="1605"/>
      <c r="N14" s="1605"/>
      <c r="P14" s="1600"/>
      <c r="Q14" s="1601"/>
      <c r="R14" s="1600"/>
      <c r="S14" s="1606"/>
      <c r="T14" s="1607" t="s">
        <v>214</v>
      </c>
      <c r="U14" s="1608"/>
      <c r="V14" s="1608"/>
      <c r="W14" s="1608"/>
      <c r="X14" s="1608"/>
      <c r="Y14" s="1608"/>
      <c r="Z14" s="1608"/>
      <c r="AA14" s="1608"/>
      <c r="AB14" s="1608"/>
      <c r="AC14" s="1608"/>
      <c r="AD14" s="1608"/>
      <c r="AE14" s="1608"/>
      <c r="AF14" s="1608"/>
      <c r="AG14" s="1608"/>
      <c r="AH14" s="1608"/>
      <c r="AI14" s="1608"/>
      <c r="AJ14" s="1608"/>
      <c r="AK14" s="1608"/>
      <c r="AL14" s="1608"/>
      <c r="AM14" s="1608"/>
      <c r="AO14" s="1073"/>
      <c r="AP14" s="1073" t="str">
        <f>IF(T14="","",T14)</f>
        <v>Добавить централизованную систему для дифференциации</v>
      </c>
      <c r="AQ14" s="1073"/>
      <c r="AR14" s="1073"/>
      <c r="AS14" s="802">
        <v>0</v>
      </c>
    </row>
    <row s="30621" customFormat="1" customHeight="1" ht="0.75" hidden="1">
      <c r="A15" s="1598"/>
      <c r="B15" s="1598"/>
      <c r="C15" s="1598"/>
      <c r="D15" s="1598"/>
      <c r="E15" s="2542"/>
      <c r="F15" s="1598"/>
      <c r="G15" s="1598"/>
      <c r="H15" s="1598"/>
      <c r="I15" s="1598"/>
      <c r="J15" s="1598"/>
      <c r="K15" s="1598"/>
      <c r="L15" s="1623"/>
      <c r="M15" s="1605"/>
      <c r="N15" s="1605"/>
      <c r="P15" s="1600"/>
      <c r="Q15" s="1601"/>
      <c r="R15" s="1600"/>
      <c r="S15" s="1606"/>
      <c r="T15" s="1609" t="s">
        <v>230</v>
      </c>
      <c r="U15" s="1608"/>
      <c r="V15" s="1608"/>
      <c r="W15" s="1608"/>
      <c r="X15" s="1608"/>
      <c r="Y15" s="1608"/>
      <c r="Z15" s="1608"/>
      <c r="AA15" s="1608"/>
      <c r="AB15" s="1608"/>
      <c r="AC15" s="1608"/>
      <c r="AD15" s="1608"/>
      <c r="AE15" s="1608"/>
      <c r="AF15" s="1608"/>
      <c r="AG15" s="1608"/>
      <c r="AH15" s="1608"/>
      <c r="AI15" s="1608"/>
      <c r="AJ15" s="1608"/>
      <c r="AK15" s="1608"/>
      <c r="AL15" s="1608"/>
      <c r="AM15" s="1608"/>
      <c r="AO15" s="1073"/>
      <c r="AP15" s="1073" t="str">
        <f>IF(T15="","",T15)</f>
        <v>Добавить территорию для дифференциации</v>
      </c>
      <c r="AQ15" s="1073"/>
      <c r="AR15" s="1073"/>
      <c r="AS15" s="802">
        <v>0</v>
      </c>
    </row>
    <row customHeight="1" ht="14.25" hidden="1">
      <c r="AC16" s="611"/>
      <c r="AK16" s="611"/>
      <c r="AS16" s="1439">
        <v>0</v>
      </c>
    </row>
    <row customHeight="1" ht="14.25" hidden="1">
      <c r="AD17" s="1644"/>
      <c r="AE17" s="1644"/>
      <c r="AF17" s="1644"/>
      <c r="AG17" s="1645"/>
      <c r="AH17" s="2551"/>
      <c r="AI17" s="2552" t="s">
        <v>64</v>
      </c>
      <c r="AJ17" s="2551"/>
      <c r="AK17" s="2552" t="s">
        <v>64</v>
      </c>
      <c r="AS17" s="1439">
        <v>0</v>
      </c>
    </row>
    <row customHeight="1" ht="14.25" hidden="1">
      <c r="AD18" s="1644"/>
      <c r="AE18" s="1644"/>
      <c r="AF18" s="1644"/>
      <c r="AG18" s="612" t="str">
        <f>AH17&amp;"-"&amp;AJ17</f>
        <v>-</v>
      </c>
      <c r="AH18" s="2552"/>
      <c r="AI18" s="2552"/>
      <c r="AJ18" s="2552"/>
      <c r="AK18" s="2552"/>
      <c r="AS18" s="1439">
        <v>0</v>
      </c>
    </row>
    <row customHeight="1" ht="14.25" hidden="1">
      <c r="AK19" s="611"/>
      <c r="AS19" s="1439">
        <v>0</v>
      </c>
    </row>
    <row s="30620" customFormat="1" customHeight="1" ht="22.5" hidden="1">
      <c r="L20" s="1613"/>
      <c r="M20" s="1646"/>
      <c r="N20" s="1646"/>
      <c r="O20" s="1651" t="s">
        <v>474</v>
      </c>
      <c r="P20" s="1646"/>
      <c r="Q20" s="1655"/>
      <c r="R20" s="1655"/>
      <c r="S20" s="1013"/>
      <c r="Z20" s="1651"/>
      <c r="AB20" s="1651"/>
      <c r="AC20" s="1650"/>
      <c r="AH20" s="1651"/>
      <c r="AJ20" s="1651"/>
      <c r="AK20" s="1650"/>
      <c r="AN20" s="795"/>
      <c r="AO20" s="795"/>
      <c r="AP20" s="795"/>
      <c r="AQ20" s="795"/>
      <c r="AR20" s="795"/>
      <c r="AS20" s="1444">
        <v>0</v>
      </c>
    </row>
    <row s="30620" customFormat="1" customHeight="1" ht="14.25" hidden="1">
      <c r="L21" s="1613"/>
      <c r="M21" s="1646"/>
      <c r="N21" s="1646"/>
      <c r="O21" s="1646"/>
      <c r="P21" s="1646"/>
      <c r="Q21" s="1655"/>
      <c r="R21" s="1655"/>
      <c r="S21" s="1013"/>
      <c r="AC21" s="1650"/>
      <c r="AK21" s="1650"/>
      <c r="AN21" s="795"/>
      <c r="AO21" s="795"/>
      <c r="AP21" s="795"/>
      <c r="AQ21" s="795"/>
      <c r="AR21" s="795"/>
      <c r="AS21" s="1444">
        <v>0</v>
      </c>
    </row>
    <row s="30620" customFormat="1" customHeight="1" ht="14.25" hidden="1">
      <c r="L22" s="1613"/>
      <c r="M22" s="1646"/>
      <c r="N22" s="1646"/>
      <c r="O22" s="1648" t="s">
        <v>475</v>
      </c>
      <c r="P22" s="1646"/>
      <c r="Q22" s="1655"/>
      <c r="R22" s="1655"/>
      <c r="S22" s="1013"/>
      <c r="T22" s="1444" t="s">
        <v>476</v>
      </c>
      <c r="AA22" s="470" t="s">
        <v>477</v>
      </c>
      <c r="AC22" s="470" t="s">
        <v>478</v>
      </c>
      <c r="AD22" s="1444" t="s">
        <v>476</v>
      </c>
      <c r="AI22" s="470" t="s">
        <v>479</v>
      </c>
      <c r="AK22" s="470" t="s">
        <v>478</v>
      </c>
      <c r="AN22" s="795"/>
      <c r="AO22" s="795"/>
      <c r="AP22" s="795"/>
      <c r="AQ22" s="795"/>
      <c r="AR22" s="795"/>
      <c r="AS22" s="1444">
        <v>0</v>
      </c>
    </row>
    <row customHeight="1" ht="14.25" hidden="1">
      <c r="O23" s="1648"/>
      <c r="AS23" s="1439">
        <v>0</v>
      </c>
    </row>
    <row customHeight="1" ht="14.25" hidden="1">
      <c r="O24" s="1648"/>
      <c r="AS24" s="1439">
        <v>0</v>
      </c>
    </row>
    <row customHeight="1" ht="14.699999999999998">
      <c r="Q25" s="660"/>
      <c r="R25" s="660"/>
      <c r="S25" s="1559"/>
      <c r="T25" s="647"/>
      <c r="U25" s="647"/>
      <c r="V25" s="793"/>
      <c r="W25" s="793"/>
      <c r="X25" s="793"/>
      <c r="Y25" s="793"/>
      <c r="Z25" s="793"/>
      <c r="AA25" s="793"/>
      <c r="AB25" s="793"/>
      <c r="AC25" s="793"/>
      <c r="AD25" s="793"/>
      <c r="AE25" s="793"/>
      <c r="AF25" s="793"/>
      <c r="AG25" s="793"/>
      <c r="AH25" s="793"/>
      <c r="AI25" s="793"/>
      <c r="AJ25" s="793"/>
      <c r="AK25" s="793"/>
      <c r="AS25" s="1439">
        <v>14</v>
      </c>
    </row>
    <row customHeight="1" ht="54.75">
      <c r="Q26" s="660"/>
      <c r="R26" s="660"/>
      <c r="S26" s="259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91"/>
      <c r="U26" s="2591"/>
      <c r="V26" s="2591"/>
      <c r="W26" s="2591"/>
      <c r="X26" s="2591"/>
      <c r="Y26" s="2591"/>
      <c r="Z26" s="2591"/>
      <c r="AA26" s="2591"/>
      <c r="AB26" s="2591"/>
      <c r="AC26" s="2591"/>
      <c r="AD26" s="2591"/>
      <c r="AE26" s="2591"/>
      <c r="AF26" s="2591"/>
      <c r="AG26" s="2591"/>
      <c r="AH26" s="2591"/>
      <c r="AI26" s="2591"/>
      <c r="AJ26" s="2591"/>
      <c r="AK26" s="1527"/>
      <c r="AS26" s="1439">
        <v>52</v>
      </c>
    </row>
    <row customHeight="1" ht="14.699999999999998">
      <c r="Q27" s="660"/>
      <c r="R27" s="660"/>
      <c r="S27" s="2533" t="str">
        <f>IF(org=0,"Не определено",org)</f>
        <v>АО "ДГК"</v>
      </c>
      <c r="T27" s="2533"/>
      <c r="U27" s="2533"/>
      <c r="V27" s="2533"/>
      <c r="W27" s="2533"/>
      <c r="X27" s="2533"/>
      <c r="Y27" s="2533"/>
      <c r="Z27" s="2533"/>
      <c r="AA27" s="2533"/>
      <c r="AB27" s="2533"/>
      <c r="AC27" s="2533"/>
      <c r="AD27" s="2533"/>
      <c r="AE27" s="2533"/>
      <c r="AF27" s="2533"/>
      <c r="AG27" s="2533"/>
      <c r="AH27" s="2533"/>
      <c r="AI27" s="2533"/>
      <c r="AJ27" s="2533"/>
      <c r="AK27" s="1527"/>
      <c r="AS27" s="1439">
        <v>14</v>
      </c>
    </row>
    <row customHeight="1" ht="14.25">
      <c r="Q28" s="660"/>
      <c r="R28" s="660"/>
      <c r="S28" s="1559"/>
      <c r="T28" s="647"/>
      <c r="U28" s="647"/>
      <c r="V28" s="606"/>
      <c r="W28" s="606"/>
      <c r="X28" s="606"/>
      <c r="Y28" s="606"/>
      <c r="Z28" s="606"/>
      <c r="AA28" s="606"/>
      <c r="AB28" s="606"/>
      <c r="AC28" s="606"/>
      <c r="AD28" s="606"/>
      <c r="AE28" s="606"/>
      <c r="AF28" s="606"/>
      <c r="AG28" s="606"/>
      <c r="AH28" s="606"/>
      <c r="AI28" s="606"/>
      <c r="AJ28" s="606"/>
      <c r="AK28" s="606"/>
      <c r="AL28" s="793"/>
      <c r="AS28" s="1439">
        <v>0</v>
      </c>
    </row>
    <row s="30764" customFormat="1" customHeight="1" ht="25.5">
      <c r="A29" s="1652"/>
      <c r="B29" s="1652"/>
      <c r="C29" s="1652"/>
      <c r="D29" s="1652"/>
      <c r="E29" s="1652"/>
      <c r="F29" s="1652"/>
      <c r="G29" s="1652"/>
      <c r="H29" s="1652"/>
      <c r="I29" s="1652"/>
      <c r="J29" s="1652"/>
      <c r="K29" s="1652"/>
      <c r="L29" s="1653"/>
      <c r="M29" s="1652"/>
      <c r="N29" s="1652"/>
      <c r="O29" s="1652"/>
      <c r="S29" s="2534" t="s">
        <v>42</v>
      </c>
      <c r="T29" s="2534"/>
      <c r="U29" s="1656"/>
      <c r="V29" s="2535" t="str">
        <f>IF(TITLE_NAME_OR_PR_CHANGE="",IF(TITLE_NAME_OR_PR="","",TITLE_NAME_OR_PR),TITLE_NAME_OR_PR_CHANGE)</f>
        <v>Комитет по ценам и тарифам Правительства Хабаровского края</v>
      </c>
      <c r="W29" s="2535"/>
      <c r="X29" s="2535"/>
      <c r="Y29" s="2535"/>
      <c r="Z29" s="2535"/>
      <c r="AA29" s="2535"/>
      <c r="AB29" s="2535"/>
      <c r="AC29" s="610"/>
      <c r="AD29" s="2535" t="str">
        <f>IF(TITLE_NAME_OR_PR_CHANGE="",IF(TITLE_NAME_OR_PR="","",TITLE_NAME_OR_PR),TITLE_NAME_OR_PR_CHANGE)</f>
        <v>Комитет по ценам и тарифам Правительства Хабаровского края</v>
      </c>
      <c r="AE29" s="2535"/>
      <c r="AF29" s="2535"/>
      <c r="AG29" s="2535"/>
      <c r="AH29" s="2535"/>
      <c r="AI29" s="2535"/>
      <c r="AJ29" s="2535"/>
      <c r="AK29" s="610"/>
      <c r="AL29" s="610"/>
      <c r="AM29" s="564"/>
      <c r="AN29" s="652"/>
      <c r="AO29" s="652"/>
      <c r="AP29" s="652"/>
      <c r="AQ29" s="652"/>
      <c r="AR29" s="652"/>
      <c r="AS29" s="702">
        <v>0</v>
      </c>
    </row>
    <row s="30764" customFormat="1" customHeight="1" ht="18.75">
      <c r="A30" s="1652"/>
      <c r="B30" s="1652"/>
      <c r="C30" s="1652"/>
      <c r="D30" s="1652"/>
      <c r="E30" s="1652"/>
      <c r="F30" s="1652"/>
      <c r="G30" s="1652"/>
      <c r="H30" s="1652"/>
      <c r="I30" s="1652"/>
      <c r="J30" s="1652"/>
      <c r="K30" s="1652"/>
      <c r="L30" s="1653"/>
      <c r="M30" s="1652"/>
      <c r="N30" s="1652"/>
      <c r="O30" s="1652"/>
      <c r="S30" s="2534" t="s">
        <v>480</v>
      </c>
      <c r="T30" s="2534"/>
      <c r="U30" s="1656"/>
      <c r="V30" s="2548" t="str">
        <f>IF(TITLE_DATE_PR_CHANGE="",IF(TITLE_DATE_PR="","",TITLE_DATE_PR),TITLE_DATE_PR_CHANGE)</f>
        <v>45645</v>
      </c>
      <c r="W30" s="2548"/>
      <c r="X30" s="2548"/>
      <c r="Y30" s="2548"/>
      <c r="Z30" s="2548"/>
      <c r="AA30" s="2548"/>
      <c r="AB30" s="2548"/>
      <c r="AC30" s="610"/>
      <c r="AD30" s="2548" t="str">
        <f>IF(TITLE_DATE_PR_CHANGE="",IF(TITLE_DATE_PR="","",TITLE_DATE_PR),TITLE_DATE_PR_CHANGE)</f>
        <v>45645</v>
      </c>
      <c r="AE30" s="2548"/>
      <c r="AF30" s="2548"/>
      <c r="AG30" s="2548"/>
      <c r="AH30" s="2548"/>
      <c r="AI30" s="2548"/>
      <c r="AJ30" s="2548"/>
      <c r="AK30" s="610"/>
      <c r="AL30" s="610"/>
      <c r="AM30" s="564"/>
      <c r="AN30" s="652"/>
      <c r="AO30" s="652"/>
      <c r="AP30" s="652"/>
      <c r="AQ30" s="652"/>
      <c r="AR30" s="652"/>
      <c r="AS30" s="702">
        <v>0</v>
      </c>
    </row>
    <row s="30764" customFormat="1" customHeight="1" ht="18.75">
      <c r="A31" s="1652"/>
      <c r="B31" s="1652"/>
      <c r="C31" s="1652"/>
      <c r="D31" s="1652"/>
      <c r="E31" s="1652"/>
      <c r="F31" s="1652"/>
      <c r="G31" s="1652"/>
      <c r="H31" s="1652"/>
      <c r="I31" s="1652"/>
      <c r="J31" s="1652"/>
      <c r="K31" s="1652"/>
      <c r="L31" s="1653"/>
      <c r="M31" s="1652"/>
      <c r="N31" s="1652"/>
      <c r="O31" s="1652"/>
      <c r="S31" s="2534" t="s">
        <v>481</v>
      </c>
      <c r="T31" s="2534"/>
      <c r="U31" s="1656"/>
      <c r="V31" s="2535" t="str">
        <f>IF(TITLE_NUMBER_PR_CHANGE="",IF(TITLE_NUMBER_PR="","",TITLE_NUMBER_PR),TITLE_NUMBER_PR_CHANGE)</f>
        <v>№ 40/8</v>
      </c>
      <c r="W31" s="2535"/>
      <c r="X31" s="2535"/>
      <c r="Y31" s="2535"/>
      <c r="Z31" s="2535"/>
      <c r="AA31" s="2535"/>
      <c r="AB31" s="2535"/>
      <c r="AC31" s="610"/>
      <c r="AD31" s="2535" t="str">
        <f>IF(TITLE_NUMBER_PR_CHANGE="",IF(TITLE_NUMBER_PR="","",TITLE_NUMBER_PR),TITLE_NUMBER_PR_CHANGE)</f>
        <v>№ 40/8</v>
      </c>
      <c r="AE31" s="2535"/>
      <c r="AF31" s="2535"/>
      <c r="AG31" s="2535"/>
      <c r="AH31" s="2535"/>
      <c r="AI31" s="2535"/>
      <c r="AJ31" s="2535"/>
      <c r="AK31" s="610"/>
      <c r="AL31" s="610"/>
      <c r="AM31" s="564"/>
      <c r="AN31" s="652"/>
      <c r="AO31" s="652"/>
      <c r="AP31" s="652"/>
      <c r="AQ31" s="652"/>
      <c r="AR31" s="652"/>
      <c r="AS31" s="702">
        <v>0</v>
      </c>
    </row>
    <row s="30764" customFormat="1" customHeight="1" ht="18.75">
      <c r="A32" s="1652"/>
      <c r="B32" s="1652"/>
      <c r="C32" s="1652"/>
      <c r="D32" s="1652"/>
      <c r="E32" s="1652"/>
      <c r="F32" s="1652"/>
      <c r="G32" s="1652"/>
      <c r="H32" s="1652"/>
      <c r="I32" s="1652"/>
      <c r="J32" s="1652"/>
      <c r="K32" s="1652"/>
      <c r="L32" s="1653"/>
      <c r="M32" s="1652"/>
      <c r="N32" s="1652"/>
      <c r="O32" s="1652"/>
      <c r="S32" s="2534" t="s">
        <v>44</v>
      </c>
      <c r="T32" s="2534"/>
      <c r="U32" s="1656"/>
      <c r="V32" s="2535" t="str">
        <f>IF(TITLE_IST_PUB_CHANGE="",IF(TITLE_IST_PUB="","",TITLE_IST_PUB),TITLE_IST_PUB_CHANGE)</f>
        <v>Официальный интернет - портал нормативных правовых актов Хабаровского края https://laws.khv.gov.ru/</v>
      </c>
      <c r="W32" s="2535"/>
      <c r="X32" s="2535"/>
      <c r="Y32" s="2535"/>
      <c r="Z32" s="2535"/>
      <c r="AA32" s="2535"/>
      <c r="AB32" s="2535"/>
      <c r="AC32" s="610"/>
      <c r="AD32" s="2535" t="str">
        <f>IF(TITLE_IST_PUB_CHANGE="",IF(TITLE_IST_PUB="","",TITLE_IST_PUB),TITLE_IST_PUB_CHANGE)</f>
        <v>Официальный интернет - портал нормативных правовых актов Хабаровского края https://laws.khv.gov.ru/</v>
      </c>
      <c r="AE32" s="2535"/>
      <c r="AF32" s="2535"/>
      <c r="AG32" s="2535"/>
      <c r="AH32" s="2535"/>
      <c r="AI32" s="2535"/>
      <c r="AJ32" s="2535"/>
      <c r="AK32" s="610"/>
      <c r="AL32" s="610"/>
      <c r="AM32" s="564"/>
      <c r="AN32" s="652"/>
      <c r="AO32" s="652"/>
      <c r="AP32" s="652"/>
      <c r="AQ32" s="652"/>
      <c r="AR32" s="652"/>
      <c r="AS32" s="702">
        <v>0</v>
      </c>
    </row>
    <row customHeight="1" ht="14.25" hidden="1">
      <c r="Q33" s="660"/>
      <c r="R33" s="660"/>
      <c r="S33" s="1559"/>
      <c r="T33" s="647"/>
      <c r="U33" s="647"/>
      <c r="V33" s="606"/>
      <c r="W33" s="606"/>
      <c r="X33" s="606"/>
      <c r="Y33" s="606"/>
      <c r="Z33" s="606"/>
      <c r="AA33" s="606"/>
      <c r="AB33" s="606"/>
      <c r="AC33" s="606"/>
      <c r="AD33" s="606"/>
      <c r="AE33" s="606"/>
      <c r="AF33" s="606"/>
      <c r="AG33" s="606"/>
      <c r="AH33" s="606"/>
      <c r="AI33" s="606"/>
      <c r="AJ33" s="606"/>
      <c r="AK33" s="606"/>
      <c r="AL33" s="793"/>
      <c r="AS33" s="1439">
        <v>0</v>
      </c>
    </row>
    <row s="30764" customFormat="1" customHeight="1" ht="18.75" hidden="1">
      <c r="A34" s="1652"/>
      <c r="B34" s="1652"/>
      <c r="C34" s="1652"/>
      <c r="D34" s="1652"/>
      <c r="E34" s="1652"/>
      <c r="F34" s="1652"/>
      <c r="G34" s="1652"/>
      <c r="H34" s="1652"/>
      <c r="I34" s="1652"/>
      <c r="J34" s="1652"/>
      <c r="K34" s="1652"/>
      <c r="L34" s="1653"/>
      <c r="M34" s="1652"/>
      <c r="N34" s="1652"/>
      <c r="O34" s="1652"/>
      <c r="S34" s="2534" t="s">
        <v>482</v>
      </c>
      <c r="T34" s="2534"/>
      <c r="U34" s="1656"/>
      <c r="V34" s="2548" t="str">
        <f>IF(TITLE_DATE_PR_CHANGE="",IF(TITLE_DATE_PR="","",TITLE_DATE_PR),TITLE_DATE_PR_CHANGE)</f>
        <v>45645</v>
      </c>
      <c r="W34" s="2548"/>
      <c r="X34" s="2548"/>
      <c r="Y34" s="2548"/>
      <c r="Z34" s="2548"/>
      <c r="AA34" s="2548"/>
      <c r="AB34" s="2548"/>
      <c r="AC34" s="610"/>
      <c r="AD34" s="2548" t="str">
        <f>IF(TITLE_DATE_PR_CHANGE="",IF(TITLE_DATE_PR="","",TITLE_DATE_PR),TITLE_DATE_PR_CHANGE)</f>
        <v>45645</v>
      </c>
      <c r="AE34" s="2548"/>
      <c r="AF34" s="2548"/>
      <c r="AG34" s="2548"/>
      <c r="AH34" s="2548"/>
      <c r="AI34" s="2548"/>
      <c r="AJ34" s="2548"/>
      <c r="AK34" s="610"/>
      <c r="AL34" s="610"/>
      <c r="AM34" s="564"/>
      <c r="AN34" s="652"/>
      <c r="AO34" s="652"/>
      <c r="AP34" s="652"/>
      <c r="AQ34" s="652"/>
      <c r="AR34" s="652"/>
      <c r="AS34" s="702">
        <v>0</v>
      </c>
    </row>
    <row s="30764" customFormat="1" customHeight="1" ht="18.75" hidden="1">
      <c r="A35" s="1652"/>
      <c r="B35" s="1652"/>
      <c r="C35" s="1652"/>
      <c r="D35" s="1652"/>
      <c r="E35" s="1652"/>
      <c r="F35" s="1652"/>
      <c r="G35" s="1652"/>
      <c r="H35" s="1652"/>
      <c r="I35" s="1652"/>
      <c r="J35" s="1652"/>
      <c r="K35" s="1652"/>
      <c r="L35" s="1653"/>
      <c r="M35" s="1652"/>
      <c r="N35" s="1652"/>
      <c r="O35" s="1652"/>
      <c r="S35" s="2534" t="s">
        <v>483</v>
      </c>
      <c r="T35" s="2534"/>
      <c r="U35" s="1656"/>
      <c r="V35" s="2535" t="str">
        <f>IF(TITLE_NUMBER_PR_CHANGE="",IF(TITLE_NUMBER_PR="","",TITLE_NUMBER_PR),TITLE_NUMBER_PR_CHANGE)</f>
        <v>№ 40/8</v>
      </c>
      <c r="W35" s="2535"/>
      <c r="X35" s="2535"/>
      <c r="Y35" s="2535"/>
      <c r="Z35" s="2535"/>
      <c r="AA35" s="2535"/>
      <c r="AB35" s="2535"/>
      <c r="AC35" s="610"/>
      <c r="AD35" s="2535" t="str">
        <f>IF(TITLE_NUMBER_PR_CHANGE="",IF(TITLE_NUMBER_PR="","",TITLE_NUMBER_PR),TITLE_NUMBER_PR_CHANGE)</f>
        <v>№ 40/8</v>
      </c>
      <c r="AE35" s="2535"/>
      <c r="AF35" s="2535"/>
      <c r="AG35" s="2535"/>
      <c r="AH35" s="2535"/>
      <c r="AI35" s="2535"/>
      <c r="AJ35" s="2535"/>
      <c r="AK35" s="610"/>
      <c r="AL35" s="610"/>
      <c r="AM35" s="564"/>
      <c r="AN35" s="652"/>
      <c r="AO35" s="652"/>
      <c r="AP35" s="652"/>
      <c r="AQ35" s="652"/>
      <c r="AR35" s="652"/>
      <c r="AS35" s="702">
        <v>0</v>
      </c>
    </row>
    <row s="30764" customFormat="1" customHeight="1" ht="0">
      <c r="A36" s="1652"/>
      <c r="B36" s="1652"/>
      <c r="C36" s="1652"/>
      <c r="D36" s="1652"/>
      <c r="E36" s="1652"/>
      <c r="F36" s="1652"/>
      <c r="G36" s="1652"/>
      <c r="H36" s="1652"/>
      <c r="I36" s="1652"/>
      <c r="J36" s="1652"/>
      <c r="K36" s="1652"/>
      <c r="L36" s="1653"/>
      <c r="M36" s="1652"/>
      <c r="N36" s="1652"/>
      <c r="O36" s="1652"/>
      <c r="S36" s="607"/>
      <c r="T36" s="607"/>
      <c r="U36" s="1624"/>
      <c r="V36" s="610"/>
      <c r="W36" s="610"/>
      <c r="X36" s="610"/>
      <c r="Y36" s="610"/>
      <c r="Z36" s="610"/>
      <c r="AA36" s="610"/>
      <c r="AB36" s="610"/>
      <c r="AC36" s="562" t="s">
        <v>484</v>
      </c>
      <c r="AD36" s="610"/>
      <c r="AE36" s="610"/>
      <c r="AF36" s="610"/>
      <c r="AG36" s="610"/>
      <c r="AH36" s="610"/>
      <c r="AI36" s="610"/>
      <c r="AJ36" s="610"/>
      <c r="AK36" s="562" t="s">
        <v>484</v>
      </c>
      <c r="AN36" s="652"/>
      <c r="AO36" s="652"/>
      <c r="AP36" s="652"/>
      <c r="AQ36" s="652"/>
      <c r="AR36" s="652"/>
      <c r="AS36" s="702">
        <v>0</v>
      </c>
    </row>
    <row customHeight="1" ht="14.699999999999998">
      <c r="Q37" s="660"/>
      <c r="R37" s="660"/>
      <c r="S37" s="1559"/>
      <c r="T37" s="647"/>
      <c r="U37" s="1528"/>
      <c r="V37" s="2536"/>
      <c r="W37" s="2536"/>
      <c r="X37" s="2536"/>
      <c r="Y37" s="2536"/>
      <c r="Z37" s="2536"/>
      <c r="AA37" s="2536"/>
      <c r="AB37" s="2536"/>
      <c r="AC37" s="2536"/>
      <c r="AD37" s="2536"/>
      <c r="AE37" s="2536"/>
      <c r="AF37" s="2536"/>
      <c r="AG37" s="2536"/>
      <c r="AH37" s="2536"/>
      <c r="AI37" s="2536"/>
      <c r="AJ37" s="2536"/>
      <c r="AK37" s="2536"/>
      <c r="AS37" s="1439">
        <v>14</v>
      </c>
    </row>
    <row customHeight="1" ht="14.699999999999998">
      <c r="Q38" s="660"/>
      <c r="R38" s="660"/>
      <c r="S38" s="2411" t="s">
        <v>360</v>
      </c>
      <c r="T38" s="2411"/>
      <c r="U38" s="2411"/>
      <c r="V38" s="2411"/>
      <c r="W38" s="2411"/>
      <c r="X38" s="2411"/>
      <c r="Y38" s="2411"/>
      <c r="Z38" s="2411"/>
      <c r="AA38" s="2411"/>
      <c r="AB38" s="2411"/>
      <c r="AC38" s="2411"/>
      <c r="AD38" s="2411"/>
      <c r="AE38" s="2411"/>
      <c r="AF38" s="2411"/>
      <c r="AG38" s="2411"/>
      <c r="AH38" s="2411"/>
      <c r="AI38" s="2411"/>
      <c r="AJ38" s="2411"/>
      <c r="AK38" s="2411"/>
      <c r="AL38" s="2411"/>
      <c r="AM38" s="2411" t="s">
        <v>361</v>
      </c>
      <c r="AS38" s="1439">
        <v>14</v>
      </c>
    </row>
    <row customHeight="1" ht="14.699999999999998">
      <c r="Q39" s="660"/>
      <c r="R39" s="660"/>
      <c r="S39" s="2557" t="s">
        <v>91</v>
      </c>
      <c r="T39" s="2493" t="s">
        <v>485</v>
      </c>
      <c r="U39" s="585"/>
      <c r="V39" s="2558" t="s">
        <v>486</v>
      </c>
      <c r="W39" s="2559"/>
      <c r="X39" s="2559"/>
      <c r="Y39" s="2559"/>
      <c r="Z39" s="2559"/>
      <c r="AA39" s="2559"/>
      <c r="AB39" s="2560"/>
      <c r="AC39" s="2561" t="s">
        <v>487</v>
      </c>
      <c r="AD39" s="2558" t="s">
        <v>486</v>
      </c>
      <c r="AE39" s="2559"/>
      <c r="AF39" s="2559"/>
      <c r="AG39" s="2559"/>
      <c r="AH39" s="2559"/>
      <c r="AI39" s="2559"/>
      <c r="AJ39" s="2560"/>
      <c r="AK39" s="2561" t="s">
        <v>488</v>
      </c>
      <c r="AL39" s="2564" t="s">
        <v>489</v>
      </c>
      <c r="AM39" s="2411"/>
      <c r="AS39" s="1439">
        <v>14</v>
      </c>
    </row>
    <row customHeight="1" ht="35.699999999999996">
      <c r="Q40" s="660"/>
      <c r="R40" s="660"/>
      <c r="S40" s="2557"/>
      <c r="T40" s="2493"/>
      <c r="U40" s="1315"/>
      <c r="V40" s="2544" t="s">
        <v>490</v>
      </c>
      <c r="W40" s="2567"/>
      <c r="X40" s="2546" t="s">
        <v>492</v>
      </c>
      <c r="Y40" s="2547"/>
      <c r="Z40" s="2546" t="s">
        <v>493</v>
      </c>
      <c r="AA40" s="2553"/>
      <c r="AB40" s="2547"/>
      <c r="AC40" s="2562"/>
      <c r="AD40" s="2544" t="s">
        <v>506</v>
      </c>
      <c r="AE40" s="2567"/>
      <c r="AF40" s="2546" t="s">
        <v>492</v>
      </c>
      <c r="AG40" s="2547"/>
      <c r="AH40" s="2546" t="s">
        <v>493</v>
      </c>
      <c r="AI40" s="2553"/>
      <c r="AJ40" s="2547"/>
      <c r="AK40" s="2562"/>
      <c r="AL40" s="2565"/>
      <c r="AM40" s="2411"/>
      <c r="AS40" s="1439">
        <v>34</v>
      </c>
    </row>
    <row customHeight="1" ht="35.699999999999996">
      <c r="A41" s="1654"/>
      <c r="B41" s="1654" t="s">
        <v>165</v>
      </c>
      <c r="C41" s="1654" t="s">
        <v>166</v>
      </c>
      <c r="D41" s="1654" t="s">
        <v>167</v>
      </c>
      <c r="E41" s="1648" t="s">
        <v>494</v>
      </c>
      <c r="F41" s="1648" t="s">
        <v>495</v>
      </c>
      <c r="G41" s="1648" t="s">
        <v>496</v>
      </c>
      <c r="H41" s="1648" t="s">
        <v>497</v>
      </c>
      <c r="I41" s="1648" t="s">
        <v>498</v>
      </c>
      <c r="J41" s="1648" t="s">
        <v>499</v>
      </c>
      <c r="K41" s="1648" t="s">
        <v>500</v>
      </c>
      <c r="L41" s="1648" t="s">
        <v>475</v>
      </c>
      <c r="Q41" s="660"/>
      <c r="R41" s="660"/>
      <c r="S41" s="2557"/>
      <c r="T41" s="2493"/>
      <c r="U41" s="586"/>
      <c r="V41" s="2545"/>
      <c r="W41" s="2568"/>
      <c r="X41" s="1506" t="s">
        <v>501</v>
      </c>
      <c r="Y41" s="1506" t="s">
        <v>502</v>
      </c>
      <c r="Z41" s="1622" t="s">
        <v>503</v>
      </c>
      <c r="AA41" s="2554" t="s">
        <v>504</v>
      </c>
      <c r="AB41" s="2555"/>
      <c r="AC41" s="2563"/>
      <c r="AD41" s="2545"/>
      <c r="AE41" s="2568"/>
      <c r="AF41" s="1506" t="s">
        <v>501</v>
      </c>
      <c r="AG41" s="1506" t="s">
        <v>502</v>
      </c>
      <c r="AH41" s="1622" t="s">
        <v>503</v>
      </c>
      <c r="AI41" s="2554" t="s">
        <v>504</v>
      </c>
      <c r="AJ41" s="2555"/>
      <c r="AK41" s="2563"/>
      <c r="AL41" s="2566"/>
      <c r="AM41" s="2411"/>
      <c r="AS41" s="1439">
        <v>34</v>
      </c>
    </row>
    <row s="31261" customFormat="1" customHeight="1" ht="11.25" hidden="1">
      <c r="A42" s="1654"/>
      <c r="B42" s="1654"/>
      <c r="C42" s="1654"/>
      <c r="D42" s="1654"/>
      <c r="E42" s="1654"/>
      <c r="F42" s="1654"/>
      <c r="G42" s="1654"/>
      <c r="H42" s="1654"/>
      <c r="I42" s="1654"/>
      <c r="J42" s="1654"/>
      <c r="K42" s="1654"/>
      <c r="L42" s="1648"/>
      <c r="M42" s="1646"/>
      <c r="N42" s="1646"/>
      <c r="O42" s="1646"/>
      <c r="P42" s="1530"/>
      <c r="Q42" s="1531"/>
      <c r="R42" s="1538">
        <v>1</v>
      </c>
      <c r="S42" s="1561" t="s">
        <v>141</v>
      </c>
      <c r="T42" s="1539" t="s">
        <v>105</v>
      </c>
      <c r="U42" s="1529" t="str">
        <f>OFFSET(U42,0,-1)</f>
        <v>2</v>
      </c>
      <c r="V42" s="1619">
        <f>OFFSET(V42,0,-1)+1</f>
        <v>3</v>
      </c>
      <c r="W42" s="1619"/>
      <c r="X42" s="1619">
        <f>OFFSET(X42,0,-1)+1</f>
        <v>1</v>
      </c>
      <c r="Y42" s="1619">
        <f>OFFSET(Y42,0,-1)+1</f>
        <v>2</v>
      </c>
      <c r="Z42" s="1619">
        <f>OFFSET(Z42,0,-1)+1</f>
        <v>3</v>
      </c>
      <c r="AA42" s="2556">
        <f>OFFSET(AA42,0,-1)+1</f>
        <v>4</v>
      </c>
      <c r="AB42" s="2556"/>
      <c r="AC42" s="1619">
        <f>OFFSET(AC42,0,-2)+1</f>
        <v>5</v>
      </c>
      <c r="AD42" s="1619">
        <f>OFFSET(AD42,0,-1)+1</f>
        <v>6</v>
      </c>
      <c r="AE42" s="1619"/>
      <c r="AF42" s="1619">
        <f>OFFSET(AF42,0,-1)+1</f>
        <v>1</v>
      </c>
      <c r="AG42" s="1619">
        <f>OFFSET(AG42,0,-1)+1</f>
        <v>2</v>
      </c>
      <c r="AH42" s="1619">
        <f>OFFSET(AH42,0,-1)+1</f>
        <v>3</v>
      </c>
      <c r="AI42" s="2556">
        <f>OFFSET(AI42,0,-1)+1</f>
        <v>4</v>
      </c>
      <c r="AJ42" s="2556"/>
      <c r="AK42" s="1619">
        <f>OFFSET(AK42,0,-2)+1</f>
        <v>5</v>
      </c>
      <c r="AL42" s="1529">
        <f>OFFSET(AL42,0,-1)</f>
        <v>5</v>
      </c>
      <c r="AM42" s="1619">
        <f>OFFSET(AM42,0,-1)+1</f>
        <v>6</v>
      </c>
      <c r="AN42" s="795"/>
      <c r="AO42" s="795"/>
      <c r="AP42" s="795"/>
      <c r="AQ42" s="795"/>
      <c r="AR42" s="795"/>
      <c r="AS42" s="780">
        <v>0</v>
      </c>
    </row>
    <row customHeight="1" ht="22.049999999999997">
      <c r="A43" s="1647" t="s">
        <v>242</v>
      </c>
      <c r="B43" s="1647"/>
      <c r="C43" s="1647"/>
      <c r="D43" s="1647"/>
      <c r="E43" s="2542">
        <v>1</v>
      </c>
      <c r="F43" s="1647"/>
      <c r="G43" s="1647"/>
      <c r="H43" s="1647"/>
      <c r="I43" s="1647"/>
      <c r="J43" s="1647"/>
      <c r="K43" s="1647"/>
      <c r="L43" s="1648"/>
      <c r="M43" s="1649"/>
      <c r="N43" s="1649"/>
      <c r="O43" s="1649"/>
      <c r="P43" s="645"/>
      <c r="Q43" s="644"/>
      <c r="R43" s="639"/>
      <c r="S43" s="1620">
        <f>INDEX(PT_DIFFERENTIATION_NUM_NTAR,MATCH(A43,PT_DIFFERENTIATION_NTAR_ID,0))</f>
        <v>0</v>
      </c>
      <c r="T43" s="582" t="s">
        <v>153</v>
      </c>
      <c r="U43" s="584"/>
      <c r="V43" s="2526"/>
      <c r="W43" s="2527"/>
      <c r="X43" s="2527"/>
      <c r="Y43" s="2527"/>
      <c r="Z43" s="2527"/>
      <c r="AA43" s="2527"/>
      <c r="AB43" s="2527"/>
      <c r="AC43" s="2528"/>
      <c r="AD43" s="2526" t="str">
        <f>INDEX(PT_DIFFERENTIATION_NTAR,MATCH(A43,PT_DIFFERENTIATION_NTAR_ID,0))</f>
        <v/>
      </c>
      <c r="AE43" s="2527"/>
      <c r="AF43" s="2527"/>
      <c r="AG43" s="2527"/>
      <c r="AH43" s="2527"/>
      <c r="AI43" s="2527"/>
      <c r="AJ43" s="2527"/>
      <c r="AK43" s="2527"/>
      <c r="AL43" s="2528"/>
      <c r="AM43" s="154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784"/>
      <c r="AP43" s="784" t="str">
        <f>IF(T43="","",T43)</f>
        <v>Наименование тарифа</v>
      </c>
      <c r="AQ43" s="784"/>
      <c r="AR43" s="784"/>
      <c r="AS43" s="1439">
        <v>21</v>
      </c>
    </row>
    <row customHeight="1" ht="22.049999999999997">
      <c r="A44" s="1647" t="s">
        <v>242</v>
      </c>
      <c r="B44" s="1647" t="s">
        <v>243</v>
      </c>
      <c r="C44" s="1647"/>
      <c r="D44" s="1647"/>
      <c r="E44" s="2543"/>
      <c r="F44" s="2542">
        <v>1</v>
      </c>
      <c r="G44" s="1647"/>
      <c r="H44" s="1647"/>
      <c r="I44" s="1647"/>
      <c r="J44" s="1647"/>
      <c r="K44" s="1647"/>
      <c r="L44" s="1648"/>
      <c r="M44" s="1649"/>
      <c r="N44" s="1649"/>
      <c r="O44" s="1649"/>
      <c r="P44" s="1616"/>
      <c r="Q44" s="636"/>
      <c r="R44" s="637"/>
      <c r="S44" s="1620" t="str">
        <f>INDEX(PT_DIFFERENTIATION_NUM_TER,MATCH(B44,PT_DIFFERENTIATION_TER_ID,0))</f>
        <v>.</v>
      </c>
      <c r="T44" s="592" t="s">
        <v>457</v>
      </c>
      <c r="U44" s="584"/>
      <c r="V44" s="2526"/>
      <c r="W44" s="2527"/>
      <c r="X44" s="2527"/>
      <c r="Y44" s="2527"/>
      <c r="Z44" s="2527"/>
      <c r="AA44" s="2527"/>
      <c r="AB44" s="2527"/>
      <c r="AC44" s="2528"/>
      <c r="AD44" s="2526" t="str">
        <f>INDEX(PT_DIFFERENTIATION_TER,MATCH(B44,PT_DIFFERENTIATION_TER_ID,0))</f>
        <v/>
      </c>
      <c r="AE44" s="2527"/>
      <c r="AF44" s="2527"/>
      <c r="AG44" s="2527"/>
      <c r="AH44" s="2527"/>
      <c r="AI44" s="2527"/>
      <c r="AJ44" s="2527"/>
      <c r="AK44" s="2527"/>
      <c r="AL44" s="2528"/>
      <c r="AM44" s="1542" t="s">
        <v>458</v>
      </c>
      <c r="AO44" s="784"/>
      <c r="AP44" s="784" t="str">
        <f>IF(T44="","",T44)</f>
        <v>Территория действия тарифа</v>
      </c>
      <c r="AQ44" s="784"/>
      <c r="AR44" s="784"/>
      <c r="AS44" s="1439">
        <v>21</v>
      </c>
    </row>
    <row customHeight="1" ht="24">
      <c r="A45" s="1647" t="s">
        <v>242</v>
      </c>
      <c r="B45" s="1647" t="s">
        <v>243</v>
      </c>
      <c r="C45" s="1647" t="s">
        <v>244</v>
      </c>
      <c r="D45" s="1647"/>
      <c r="E45" s="2543"/>
      <c r="F45" s="2543"/>
      <c r="G45" s="2542">
        <v>1</v>
      </c>
      <c r="H45" s="1647"/>
      <c r="I45" s="1647"/>
      <c r="J45" s="1647"/>
      <c r="K45" s="1647"/>
      <c r="L45" s="1648"/>
      <c r="M45" s="1649"/>
      <c r="N45" s="1649"/>
      <c r="O45" s="1649"/>
      <c r="P45" s="638"/>
      <c r="Q45" s="636"/>
      <c r="R45" s="637"/>
      <c r="S45" s="1620" t="str">
        <f>INDEX(PT_DIFFERENTIATION_NUM_CS,MATCH(C45,PT_DIFFERENTIATION_CS_ID,0))</f>
        <v>..</v>
      </c>
      <c r="T45" s="593" t="s">
        <v>459</v>
      </c>
      <c r="U45" s="584"/>
      <c r="V45" s="2526"/>
      <c r="W45" s="2527"/>
      <c r="X45" s="2527"/>
      <c r="Y45" s="2527"/>
      <c r="Z45" s="2527"/>
      <c r="AA45" s="2527"/>
      <c r="AB45" s="2527"/>
      <c r="AC45" s="2528"/>
      <c r="AD45" s="2526" t="str">
        <f>INDEX(PT_DIFFERENTIATION_CS,MATCH(C45,PT_DIFFERENTIATION_CS_ID,0))</f>
        <v/>
      </c>
      <c r="AE45" s="2527"/>
      <c r="AF45" s="2527"/>
      <c r="AG45" s="2527"/>
      <c r="AH45" s="2527"/>
      <c r="AI45" s="2527"/>
      <c r="AJ45" s="2527"/>
      <c r="AK45" s="2527"/>
      <c r="AL45" s="2528"/>
      <c r="AM45" s="1542" t="s">
        <v>460</v>
      </c>
      <c r="AO45" s="784"/>
      <c r="AP45" s="784" t="str">
        <f>IF(T45="","",T45)</f>
        <v>Наименование системы теплоснабжения </v>
      </c>
      <c r="AQ45" s="784"/>
      <c r="AR45" s="784"/>
      <c r="AS45" s="1439">
        <v>23</v>
      </c>
    </row>
    <row customHeight="1" ht="22.049999999999997">
      <c r="A46" s="1647" t="s">
        <v>242</v>
      </c>
      <c r="B46" s="1647" t="s">
        <v>243</v>
      </c>
      <c r="C46" s="1647" t="s">
        <v>244</v>
      </c>
      <c r="D46" s="1647" t="s">
        <v>245</v>
      </c>
      <c r="E46" s="2543"/>
      <c r="F46" s="2543"/>
      <c r="G46" s="2543"/>
      <c r="H46" s="2542">
        <v>1</v>
      </c>
      <c r="I46" s="1647"/>
      <c r="J46" s="1647"/>
      <c r="K46" s="1647"/>
      <c r="L46" s="1648"/>
      <c r="M46" s="1649"/>
      <c r="N46" s="1649"/>
      <c r="O46" s="1649"/>
      <c r="P46" s="638"/>
      <c r="Q46" s="636"/>
      <c r="R46" s="637"/>
      <c r="S46" s="1620" t="str">
        <f>INDEX(PT_DIFFERENTIATION_NUM_IST_TE,MATCH(D46,PT_DIFFERENTIATION_IST_TE_ID,0))</f>
        <v>...</v>
      </c>
      <c r="T46" s="594" t="s">
        <v>461</v>
      </c>
      <c r="U46" s="584"/>
      <c r="V46" s="2526"/>
      <c r="W46" s="2527"/>
      <c r="X46" s="2527"/>
      <c r="Y46" s="2527"/>
      <c r="Z46" s="2527"/>
      <c r="AA46" s="2527"/>
      <c r="AB46" s="2527"/>
      <c r="AC46" s="2528"/>
      <c r="AD46" s="2526" t="str">
        <f>INDEX(PT_DIFFERENTIATION_IST_TE,MATCH(D46,PT_DIFFERENTIATION_IST_TE_ID,0))</f>
        <v/>
      </c>
      <c r="AE46" s="2527"/>
      <c r="AF46" s="2527"/>
      <c r="AG46" s="2527"/>
      <c r="AH46" s="2527"/>
      <c r="AI46" s="2527"/>
      <c r="AJ46" s="2527"/>
      <c r="AK46" s="2527"/>
      <c r="AL46" s="2528"/>
      <c r="AM46" s="1542" t="s">
        <v>462</v>
      </c>
      <c r="AO46" s="784"/>
      <c r="AP46" s="784" t="str">
        <f>IF(T46="","",T46)</f>
        <v>Источник тепловой энергии  </v>
      </c>
      <c r="AQ46" s="784"/>
      <c r="AR46" s="784"/>
      <c r="AS46" s="1439">
        <v>21</v>
      </c>
    </row>
    <row s="30621" customFormat="1" customHeight="1" ht="0">
      <c r="A47" s="1627" t="s">
        <v>242</v>
      </c>
      <c r="B47" s="1627" t="s">
        <v>243</v>
      </c>
      <c r="C47" s="1627" t="s">
        <v>244</v>
      </c>
      <c r="D47" s="1627" t="s">
        <v>245</v>
      </c>
      <c r="E47" s="2543"/>
      <c r="F47" s="2543"/>
      <c r="G47" s="2543"/>
      <c r="H47" s="2543"/>
      <c r="I47" s="2540" t="str">
        <f>S46&amp;".1"</f>
        <v>....1</v>
      </c>
      <c r="J47" s="1627"/>
      <c r="K47" s="1627"/>
      <c r="L47" s="1630" t="s">
        <v>463</v>
      </c>
      <c r="M47" s="794"/>
      <c r="N47" s="794"/>
      <c r="O47" s="794"/>
      <c r="P47" s="2541">
        <v>1</v>
      </c>
      <c r="Q47" s="1615"/>
      <c r="R47" s="640"/>
      <c r="S47" s="1326"/>
      <c r="T47" s="1667"/>
      <c r="U47" s="1668"/>
      <c r="V47" s="2580"/>
      <c r="W47" s="2581"/>
      <c r="X47" s="2581"/>
      <c r="Y47" s="2581"/>
      <c r="Z47" s="2581"/>
      <c r="AA47" s="2581"/>
      <c r="AB47" s="2581"/>
      <c r="AC47" s="2582"/>
      <c r="AD47" s="2580"/>
      <c r="AE47" s="2581"/>
      <c r="AF47" s="2581"/>
      <c r="AG47" s="2581"/>
      <c r="AH47" s="2581"/>
      <c r="AI47" s="2581"/>
      <c r="AJ47" s="2581"/>
      <c r="AK47" s="2581"/>
      <c r="AL47" s="2582"/>
      <c r="AM47" s="1669"/>
      <c r="AO47" s="784"/>
      <c r="AP47" s="784" t="str">
        <f>IF(T47="","",T47)</f>
        <v/>
      </c>
      <c r="AQ47" s="784"/>
      <c r="AR47" s="784"/>
      <c r="AS47" s="795">
        <v>0</v>
      </c>
    </row>
    <row customHeight="1" ht="22.049999999999997">
      <c r="A48" s="1647" t="s">
        <v>242</v>
      </c>
      <c r="B48" s="1647" t="s">
        <v>243</v>
      </c>
      <c r="C48" s="1647" t="s">
        <v>244</v>
      </c>
      <c r="D48" s="1647" t="s">
        <v>245</v>
      </c>
      <c r="E48" s="2543"/>
      <c r="F48" s="2543"/>
      <c r="G48" s="2543"/>
      <c r="H48" s="2543"/>
      <c r="I48" s="2570"/>
      <c r="J48" s="2540" t="str">
        <f>S46&amp;".1"</f>
        <v>....1</v>
      </c>
      <c r="K48" s="1647"/>
      <c r="L48" s="1648" t="s">
        <v>466</v>
      </c>
      <c r="P48" s="2541"/>
      <c r="Q48" s="2541">
        <v>1</v>
      </c>
      <c r="R48" s="641"/>
      <c r="S48" s="1620" t="str">
        <f>$J48</f>
        <v>....1</v>
      </c>
      <c r="T48" s="570" t="s">
        <v>467</v>
      </c>
      <c r="U48" s="584"/>
      <c r="V48" s="2529"/>
      <c r="W48" s="2530"/>
      <c r="X48" s="2530"/>
      <c r="Y48" s="2530"/>
      <c r="Z48" s="2530"/>
      <c r="AA48" s="2530"/>
      <c r="AB48" s="2530"/>
      <c r="AC48" s="2531"/>
      <c r="AD48" s="2529"/>
      <c r="AE48" s="2530"/>
      <c r="AF48" s="2530"/>
      <c r="AG48" s="2530"/>
      <c r="AH48" s="2530"/>
      <c r="AI48" s="2530"/>
      <c r="AJ48" s="2530"/>
      <c r="AK48" s="2530"/>
      <c r="AL48" s="2531"/>
      <c r="AM48" s="1542" t="s">
        <v>468</v>
      </c>
      <c r="AO48" s="784"/>
      <c r="AP48" s="784" t="str">
        <f>IF(T48="","",T48)</f>
        <v>Группа потребителей</v>
      </c>
      <c r="AQ48" s="784"/>
      <c r="AR48" s="784"/>
      <c r="AS48" s="1439">
        <v>21</v>
      </c>
    </row>
    <row customHeight="1" ht="22.049999999999997">
      <c r="A49" s="1647" t="s">
        <v>242</v>
      </c>
      <c r="B49" s="1647" t="s">
        <v>243</v>
      </c>
      <c r="C49" s="1647" t="s">
        <v>244</v>
      </c>
      <c r="D49" s="1647" t="s">
        <v>245</v>
      </c>
      <c r="E49" s="2543"/>
      <c r="F49" s="2543"/>
      <c r="G49" s="2543"/>
      <c r="H49" s="2543"/>
      <c r="I49" s="2570"/>
      <c r="J49" s="2570"/>
      <c r="K49" s="2540" t="str">
        <f>J48&amp;".1"</f>
        <v>....1.1</v>
      </c>
      <c r="L49" s="1648" t="s">
        <v>469</v>
      </c>
      <c r="P49" s="2541"/>
      <c r="Q49" s="2541"/>
      <c r="R49" s="641">
        <v>1</v>
      </c>
      <c r="S49" s="1620" t="str">
        <f>$K49</f>
        <v>....1.1</v>
      </c>
      <c r="T49" s="1631"/>
      <c r="U49" s="584"/>
      <c r="V49" s="1035"/>
      <c r="W49" s="609"/>
      <c r="X49" s="1035"/>
      <c r="Y49" s="1541"/>
      <c r="Z49" s="2549"/>
      <c r="AA49" s="2391" t="s">
        <v>64</v>
      </c>
      <c r="AB49" s="2549"/>
      <c r="AC49" s="2391" t="s">
        <v>64</v>
      </c>
      <c r="AD49" s="1035"/>
      <c r="AE49" s="609"/>
      <c r="AF49" s="1035"/>
      <c r="AG49" s="1541"/>
      <c r="AH49" s="2549"/>
      <c r="AI49" s="2391" t="s">
        <v>64</v>
      </c>
      <c r="AJ49" s="2571"/>
      <c r="AK49" s="2391" t="s">
        <v>64</v>
      </c>
      <c r="AL49" s="1632"/>
      <c r="AM49" s="2537" t="s">
        <v>509</v>
      </c>
      <c r="AN49" s="795">
        <f>STRCHECKDATE(V50:AL50)</f>
      </c>
      <c r="AO49" s="784"/>
      <c r="AP49" s="784" t="str">
        <f>IF(T49="","",T49)</f>
        <v/>
      </c>
      <c r="AQ49" s="784"/>
      <c r="AR49" s="784"/>
      <c r="AS49" s="1439">
        <v>21</v>
      </c>
    </row>
    <row customHeight="1" ht="1.05">
      <c r="A50" s="1647" t="s">
        <v>242</v>
      </c>
      <c r="B50" s="1647" t="s">
        <v>243</v>
      </c>
      <c r="C50" s="1647" t="s">
        <v>244</v>
      </c>
      <c r="D50" s="1647" t="s">
        <v>245</v>
      </c>
      <c r="E50" s="2543"/>
      <c r="F50" s="2543"/>
      <c r="G50" s="2543"/>
      <c r="H50" s="2543"/>
      <c r="I50" s="2570"/>
      <c r="J50" s="2570"/>
      <c r="K50" s="2540"/>
      <c r="L50" s="1648"/>
      <c r="P50" s="2541"/>
      <c r="Q50" s="2541"/>
      <c r="R50" s="641"/>
      <c r="S50" s="1626"/>
      <c r="T50" s="584"/>
      <c r="U50" s="584"/>
      <c r="V50" s="609"/>
      <c r="W50" s="609"/>
      <c r="X50" s="609"/>
      <c r="Y50" s="612" t="str">
        <f>Z49&amp;"-"&amp;AB49</f>
        <v>-</v>
      </c>
      <c r="Z50" s="2550"/>
      <c r="AA50" s="2391"/>
      <c r="AB50" s="2550"/>
      <c r="AC50" s="2391"/>
      <c r="AD50" s="609"/>
      <c r="AE50" s="609"/>
      <c r="AF50" s="609"/>
      <c r="AG50" s="612" t="str">
        <f>AH49&amp;"-"&amp;AJ49</f>
        <v>-</v>
      </c>
      <c r="AH50" s="2550"/>
      <c r="AI50" s="2391"/>
      <c r="AJ50" s="2572"/>
      <c r="AK50" s="2391"/>
      <c r="AL50" s="1633"/>
      <c r="AM50" s="2538"/>
      <c r="AO50" s="784"/>
      <c r="AP50" s="784" t="str">
        <f>IF(T50="","",T50)</f>
        <v/>
      </c>
      <c r="AQ50" s="784"/>
      <c r="AR50" s="784"/>
      <c r="AS50" s="1439">
        <v>1</v>
      </c>
    </row>
    <row customHeight="1" ht="11.549999999999999">
      <c r="A51" s="1647" t="s">
        <v>242</v>
      </c>
      <c r="B51" s="1647" t="s">
        <v>243</v>
      </c>
      <c r="C51" s="1647" t="s">
        <v>244</v>
      </c>
      <c r="D51" s="1647" t="s">
        <v>245</v>
      </c>
      <c r="E51" s="2543"/>
      <c r="F51" s="2543"/>
      <c r="G51" s="2543"/>
      <c r="H51" s="2543"/>
      <c r="I51" s="2570"/>
      <c r="J51" s="2540"/>
      <c r="K51" s="1647"/>
      <c r="L51" s="1648"/>
      <c r="P51" s="2541"/>
      <c r="Q51" s="2541"/>
      <c r="R51" s="640"/>
      <c r="S51" s="1562"/>
      <c r="T51" s="571" t="s">
        <v>471</v>
      </c>
      <c r="U51" s="651"/>
      <c r="V51" s="651"/>
      <c r="W51" s="651"/>
      <c r="X51" s="651"/>
      <c r="Y51" s="651"/>
      <c r="Z51" s="651"/>
      <c r="AA51" s="651"/>
      <c r="AB51" s="651"/>
      <c r="AC51" s="651"/>
      <c r="AD51" s="651"/>
      <c r="AE51" s="651"/>
      <c r="AF51" s="651"/>
      <c r="AG51" s="651"/>
      <c r="AH51" s="651"/>
      <c r="AI51" s="651"/>
      <c r="AJ51" s="651"/>
      <c r="AK51" s="651"/>
      <c r="AL51" s="608"/>
      <c r="AM51" s="2539"/>
      <c r="AO51" s="784"/>
      <c r="AP51" s="784" t="str">
        <f>IF(T51="","",T51)</f>
        <v>Добавить вид теплоносителя (параметры теплоносителя)</v>
      </c>
      <c r="AQ51" s="784"/>
      <c r="AR51" s="784"/>
      <c r="AS51" s="1439">
        <v>11</v>
      </c>
    </row>
    <row customHeight="1" ht="11.549999999999999">
      <c r="A52" s="1647" t="s">
        <v>242</v>
      </c>
      <c r="B52" s="1647" t="s">
        <v>243</v>
      </c>
      <c r="C52" s="1647" t="s">
        <v>244</v>
      </c>
      <c r="D52" s="1647" t="s">
        <v>245</v>
      </c>
      <c r="E52" s="2543"/>
      <c r="F52" s="2543"/>
      <c r="G52" s="2543"/>
      <c r="H52" s="2543"/>
      <c r="I52" s="2540"/>
      <c r="J52" s="1647"/>
      <c r="K52" s="1647"/>
      <c r="L52" s="1648"/>
      <c r="P52" s="2541"/>
      <c r="Q52" s="1615"/>
      <c r="R52" s="640"/>
      <c r="S52" s="1562"/>
      <c r="T52" s="649" t="s">
        <v>472</v>
      </c>
      <c r="U52" s="651"/>
      <c r="V52" s="651"/>
      <c r="W52" s="651"/>
      <c r="X52" s="651"/>
      <c r="Y52" s="651"/>
      <c r="Z52" s="651"/>
      <c r="AA52" s="651"/>
      <c r="AB52" s="651"/>
      <c r="AC52" s="650"/>
      <c r="AD52" s="651"/>
      <c r="AE52" s="651"/>
      <c r="AF52" s="651"/>
      <c r="AG52" s="651"/>
      <c r="AH52" s="651"/>
      <c r="AI52" s="651"/>
      <c r="AJ52" s="651"/>
      <c r="AK52" s="650"/>
      <c r="AL52" s="651"/>
      <c r="AM52" s="587"/>
      <c r="AO52" s="784"/>
      <c r="AP52" s="784" t="str">
        <f>IF(T52="","",T52)</f>
        <v>Добавить группу потребителей</v>
      </c>
      <c r="AQ52" s="784"/>
      <c r="AR52" s="784"/>
      <c r="AS52" s="1439">
        <v>11</v>
      </c>
    </row>
    <row customHeight="1" ht="0">
      <c r="A53" s="1647" t="s">
        <v>242</v>
      </c>
      <c r="B53" s="1647" t="s">
        <v>243</v>
      </c>
      <c r="C53" s="1647" t="s">
        <v>244</v>
      </c>
      <c r="D53" s="1647" t="s">
        <v>245</v>
      </c>
      <c r="E53" s="2543"/>
      <c r="F53" s="2543"/>
      <c r="G53" s="2543"/>
      <c r="H53" s="2542"/>
      <c r="I53" s="1647"/>
      <c r="J53" s="1647"/>
      <c r="K53" s="1647"/>
      <c r="L53" s="1648"/>
      <c r="M53" s="1649"/>
      <c r="N53" s="1649"/>
      <c r="O53" s="821"/>
      <c r="P53" s="644"/>
      <c r="Q53" s="659"/>
      <c r="R53" s="639"/>
      <c r="S53" s="1670"/>
      <c r="T53" s="1671"/>
      <c r="U53" s="1672"/>
      <c r="V53" s="1672"/>
      <c r="W53" s="1672"/>
      <c r="X53" s="1672"/>
      <c r="Y53" s="1672"/>
      <c r="Z53" s="1672"/>
      <c r="AA53" s="1672"/>
      <c r="AB53" s="1672"/>
      <c r="AC53" s="1672"/>
      <c r="AD53" s="1672"/>
      <c r="AE53" s="1672"/>
      <c r="AF53" s="1672"/>
      <c r="AG53" s="1672"/>
      <c r="AH53" s="1672"/>
      <c r="AI53" s="1672"/>
      <c r="AJ53" s="1672"/>
      <c r="AK53" s="1672"/>
      <c r="AL53" s="1672"/>
      <c r="AM53" s="1673"/>
      <c r="AO53" s="784"/>
      <c r="AP53" s="784" t="str">
        <f>IF(T53="","",T53)</f>
        <v/>
      </c>
      <c r="AQ53" s="784"/>
      <c r="AR53" s="784"/>
      <c r="AS53" s="1439">
        <v>0</v>
      </c>
    </row>
    <row s="30621" customFormat="1" customHeight="1" ht="1.05">
      <c r="A54" s="1627" t="s">
        <v>242</v>
      </c>
      <c r="B54" s="1627" t="s">
        <v>243</v>
      </c>
      <c r="C54" s="1627" t="s">
        <v>244</v>
      </c>
      <c r="D54" s="1598"/>
      <c r="E54" s="2543"/>
      <c r="F54" s="2543"/>
      <c r="G54" s="2542"/>
      <c r="H54" s="1598"/>
      <c r="I54" s="1598"/>
      <c r="J54" s="1598"/>
      <c r="K54" s="1598"/>
      <c r="L54" s="1623"/>
      <c r="M54" s="1599"/>
      <c r="N54" s="1599"/>
      <c r="P54" s="1600"/>
      <c r="Q54" s="1601"/>
      <c r="R54" s="1600"/>
      <c r="S54" s="1606"/>
      <c r="T54" s="1609" t="s">
        <v>213</v>
      </c>
      <c r="U54" s="1608"/>
      <c r="V54" s="1608"/>
      <c r="W54" s="1608"/>
      <c r="X54" s="1608"/>
      <c r="Y54" s="1608"/>
      <c r="Z54" s="1608"/>
      <c r="AA54" s="1608"/>
      <c r="AB54" s="1608"/>
      <c r="AC54" s="1608"/>
      <c r="AD54" s="1608"/>
      <c r="AE54" s="1608"/>
      <c r="AF54" s="1608"/>
      <c r="AG54" s="1608"/>
      <c r="AH54" s="1608"/>
      <c r="AI54" s="1608"/>
      <c r="AJ54" s="1608"/>
      <c r="AK54" s="1608"/>
      <c r="AL54" s="1608"/>
      <c r="AM54" s="1608"/>
      <c r="AO54" s="1073"/>
      <c r="AP54" s="1073" t="str">
        <f>IF(T54="","",T54)</f>
        <v>Добавить источник для дифференциации</v>
      </c>
      <c r="AQ54" s="1073"/>
      <c r="AR54" s="1073"/>
      <c r="AS54" s="802">
        <v>1</v>
      </c>
    </row>
    <row s="30621" customFormat="1" customHeight="1" ht="1.05">
      <c r="A55" s="1627" t="s">
        <v>242</v>
      </c>
      <c r="B55" s="1627" t="s">
        <v>243</v>
      </c>
      <c r="C55" s="1598"/>
      <c r="D55" s="1598"/>
      <c r="E55" s="2543"/>
      <c r="F55" s="2542"/>
      <c r="G55" s="1598"/>
      <c r="H55" s="1598"/>
      <c r="I55" s="1598"/>
      <c r="J55" s="1598"/>
      <c r="K55" s="1598"/>
      <c r="L55" s="1623"/>
      <c r="M55" s="1605"/>
      <c r="N55" s="1605"/>
      <c r="P55" s="1600"/>
      <c r="Q55" s="1601"/>
      <c r="R55" s="1600"/>
      <c r="S55" s="1606"/>
      <c r="T55" s="1609" t="s">
        <v>214</v>
      </c>
      <c r="U55" s="1608"/>
      <c r="V55" s="1608"/>
      <c r="W55" s="1608"/>
      <c r="X55" s="1608"/>
      <c r="Y55" s="1608"/>
      <c r="Z55" s="1608"/>
      <c r="AA55" s="1608"/>
      <c r="AB55" s="1608"/>
      <c r="AC55" s="1608"/>
      <c r="AD55" s="1608"/>
      <c r="AE55" s="1608"/>
      <c r="AF55" s="1608"/>
      <c r="AG55" s="1608"/>
      <c r="AH55" s="1608"/>
      <c r="AI55" s="1608"/>
      <c r="AJ55" s="1608"/>
      <c r="AK55" s="1608"/>
      <c r="AL55" s="1608"/>
      <c r="AM55" s="1608"/>
      <c r="AO55" s="1073"/>
      <c r="AP55" s="1073" t="str">
        <f>IF(T55="","",T55)</f>
        <v>Добавить централизованную систему для дифференциации</v>
      </c>
      <c r="AQ55" s="1073"/>
      <c r="AR55" s="1073"/>
      <c r="AS55" s="802">
        <v>1</v>
      </c>
    </row>
    <row s="30621" customFormat="1" customHeight="1" ht="1.05">
      <c r="A56" s="1627" t="s">
        <v>242</v>
      </c>
      <c r="B56" s="1627"/>
      <c r="C56" s="1627"/>
      <c r="D56" s="1627"/>
      <c r="E56" s="2542"/>
      <c r="F56" s="1627"/>
      <c r="G56" s="1627"/>
      <c r="H56" s="1627"/>
      <c r="I56" s="1627"/>
      <c r="J56" s="1627"/>
      <c r="K56" s="1627"/>
      <c r="L56" s="1630"/>
      <c r="M56" s="1605"/>
      <c r="N56" s="1605"/>
      <c r="O56" s="802"/>
      <c r="P56" s="664"/>
      <c r="Q56" s="1628"/>
      <c r="R56" s="664"/>
      <c r="S56" s="1606"/>
      <c r="T56" s="1609" t="s">
        <v>230</v>
      </c>
      <c r="U56" s="1608"/>
      <c r="V56" s="1608"/>
      <c r="W56" s="1608"/>
      <c r="X56" s="1608"/>
      <c r="Y56" s="1608"/>
      <c r="Z56" s="1608"/>
      <c r="AA56" s="1608"/>
      <c r="AB56" s="1608"/>
      <c r="AC56" s="1608"/>
      <c r="AD56" s="1608"/>
      <c r="AE56" s="1608"/>
      <c r="AF56" s="1608"/>
      <c r="AG56" s="1608"/>
      <c r="AH56" s="1608"/>
      <c r="AI56" s="1608"/>
      <c r="AJ56" s="1608"/>
      <c r="AK56" s="1608"/>
      <c r="AL56" s="1608"/>
      <c r="AM56" s="1608"/>
      <c r="AO56" s="784"/>
      <c r="AP56" s="784" t="str">
        <f>IF(T56="","",T56)</f>
        <v>Добавить территорию для дифференциации</v>
      </c>
      <c r="AQ56" s="784"/>
      <c r="AR56" s="784"/>
      <c r="AS56" s="795">
        <v>1</v>
      </c>
    </row>
    <row s="30621" customFormat="1" customHeight="1" ht="1.05">
      <c r="A57" s="1598"/>
      <c r="B57" s="1598"/>
      <c r="C57" s="1598"/>
      <c r="D57" s="1598"/>
      <c r="E57" s="1627"/>
      <c r="F57" s="1598"/>
      <c r="G57" s="1598"/>
      <c r="H57" s="1598"/>
      <c r="I57" s="1598"/>
      <c r="J57" s="1598"/>
      <c r="K57" s="1598"/>
      <c r="L57" s="1623"/>
      <c r="M57" s="1605"/>
      <c r="N57" s="1605"/>
      <c r="P57" s="1600"/>
      <c r="Q57" s="1601"/>
      <c r="R57" s="1600"/>
      <c r="S57" s="1606"/>
      <c r="T57" s="1609" t="s">
        <v>239</v>
      </c>
      <c r="U57" s="1608"/>
      <c r="V57" s="1608"/>
      <c r="W57" s="1608"/>
      <c r="X57" s="1608"/>
      <c r="Y57" s="1608"/>
      <c r="Z57" s="1608"/>
      <c r="AA57" s="1608"/>
      <c r="AB57" s="1608"/>
      <c r="AC57" s="1608"/>
      <c r="AD57" s="1608"/>
      <c r="AE57" s="1608"/>
      <c r="AF57" s="1608"/>
      <c r="AG57" s="1608"/>
      <c r="AH57" s="1608"/>
      <c r="AI57" s="1608"/>
      <c r="AJ57" s="1608"/>
      <c r="AK57" s="1608"/>
      <c r="AL57" s="1608"/>
      <c r="AM57" s="1608"/>
      <c r="AO57" s="1073"/>
      <c r="AP57" s="1073" t="str">
        <f>IF(T57="","",T57)</f>
        <v>Добавить наименование тарифа</v>
      </c>
      <c r="AQ57" s="1073"/>
      <c r="AR57" s="1073"/>
      <c r="AS57" s="802">
        <v>1</v>
      </c>
    </row>
    <row customHeight="1" ht="11.549999999999999">
      <c r="M58" s="1444"/>
      <c r="N58" s="1444"/>
      <c r="O58" s="821"/>
      <c r="P58" s="1439"/>
      <c r="Q58" s="1439"/>
      <c r="R58" s="1439"/>
      <c r="S58" s="1439"/>
      <c r="AN58" s="1439"/>
      <c r="AO58" s="1439"/>
      <c r="AP58" s="1439"/>
      <c r="AQ58" s="1439"/>
      <c r="AR58" s="1439"/>
      <c r="AS58" s="1439">
        <v>11</v>
      </c>
    </row>
    <row customHeight="1" ht="23.25">
      <c r="O59" s="821"/>
      <c r="S59" s="1537"/>
      <c r="T59" s="2569"/>
      <c r="U59" s="2569"/>
      <c r="V59" s="2569"/>
      <c r="W59" s="2569"/>
      <c r="X59" s="2569"/>
      <c r="Y59" s="2569"/>
      <c r="Z59" s="2569"/>
      <c r="AA59" s="2569"/>
      <c r="AB59" s="2569"/>
      <c r="AC59" s="2569"/>
      <c r="AD59" s="2569"/>
      <c r="AE59" s="2569"/>
      <c r="AF59" s="2569"/>
      <c r="AG59" s="2569"/>
      <c r="AH59" s="2569"/>
      <c r="AI59" s="2569"/>
      <c r="AJ59" s="2569"/>
      <c r="AK59" s="2569"/>
      <c r="AL59" s="2569"/>
      <c r="AM59" s="2569"/>
      <c r="AS59" s="1439">
        <v>22</v>
      </c>
    </row>
    <row customHeight="1" ht="30.45">
      <c r="O60" s="821"/>
      <c r="T60" s="2569"/>
      <c r="U60" s="2569"/>
      <c r="V60" s="2569"/>
      <c r="W60" s="2569"/>
      <c r="X60" s="2569"/>
      <c r="Y60" s="2569"/>
      <c r="Z60" s="2569"/>
      <c r="AA60" s="2569"/>
      <c r="AB60" s="2569"/>
      <c r="AC60" s="2569"/>
      <c r="AD60" s="2569"/>
      <c r="AE60" s="2569"/>
      <c r="AF60" s="2569"/>
      <c r="AG60" s="2569"/>
      <c r="AH60" s="2569"/>
      <c r="AI60" s="2569"/>
      <c r="AJ60" s="2569"/>
      <c r="AK60" s="2569"/>
      <c r="AL60" s="2569"/>
      <c r="AM60" s="2569"/>
      <c r="AS60" s="1439">
        <v>29</v>
      </c>
    </row>
    <row customHeight="1" ht="42">
      <c r="O61" s="821"/>
      <c r="T61" s="2569"/>
      <c r="U61" s="2569"/>
      <c r="V61" s="2569"/>
      <c r="W61" s="2569"/>
      <c r="X61" s="2569"/>
      <c r="Y61" s="2569"/>
      <c r="Z61" s="2569"/>
      <c r="AA61" s="2569"/>
      <c r="AB61" s="2569"/>
      <c r="AC61" s="2569"/>
      <c r="AD61" s="2569"/>
      <c r="AE61" s="2569"/>
      <c r="AF61" s="2569"/>
      <c r="AG61" s="2569"/>
      <c r="AH61" s="2569"/>
      <c r="AI61" s="2569"/>
      <c r="AJ61" s="2569"/>
      <c r="AK61" s="2569"/>
      <c r="AL61" s="2569"/>
      <c r="AM61" s="2569"/>
      <c r="AS61" s="1439">
        <v>40</v>
      </c>
    </row>
    <row customHeight="1" ht="14.699999999999998">
      <c r="O62" s="821"/>
      <c r="AS62" s="1439">
        <v>14</v>
      </c>
    </row>
    <row customHeight="1" ht="21">
      <c r="O63" s="821"/>
      <c r="S63" s="1537"/>
      <c r="T63" s="2583"/>
      <c r="U63" s="2569"/>
      <c r="V63" s="2569"/>
      <c r="W63" s="2569"/>
      <c r="X63" s="2569"/>
      <c r="Y63" s="2569"/>
      <c r="Z63" s="2569"/>
      <c r="AA63" s="2569"/>
      <c r="AB63" s="2569"/>
      <c r="AC63" s="2569"/>
      <c r="AD63" s="2569"/>
      <c r="AE63" s="2569"/>
      <c r="AF63" s="2569"/>
      <c r="AG63" s="2569"/>
      <c r="AH63" s="2569"/>
      <c r="AI63" s="2569"/>
      <c r="AJ63" s="2569"/>
      <c r="AK63" s="2569"/>
      <c r="AL63" s="2569"/>
      <c r="AM63" s="2569"/>
      <c r="AS63" s="1439">
        <v>20</v>
      </c>
    </row>
    <row customHeight="1" ht="29.25">
      <c r="O64" s="821"/>
      <c r="T64" s="2569"/>
      <c r="U64" s="2569"/>
      <c r="V64" s="2569"/>
      <c r="W64" s="2569"/>
      <c r="X64" s="2569"/>
      <c r="Y64" s="2569"/>
      <c r="Z64" s="2569"/>
      <c r="AA64" s="2569"/>
      <c r="AB64" s="2569"/>
      <c r="AC64" s="2569"/>
      <c r="AD64" s="2569"/>
      <c r="AE64" s="2569"/>
      <c r="AF64" s="2569"/>
      <c r="AG64" s="2569"/>
      <c r="AH64" s="2569"/>
      <c r="AI64" s="2569"/>
      <c r="AJ64" s="2569"/>
      <c r="AK64" s="2569"/>
      <c r="AL64" s="2569"/>
      <c r="AM64" s="2569"/>
      <c r="AS64" s="1439">
        <v>28</v>
      </c>
    </row>
    <row customHeight="1" ht="35.699999999999996">
      <c r="T65" s="2569"/>
      <c r="U65" s="2569"/>
      <c r="V65" s="2569"/>
      <c r="W65" s="2569"/>
      <c r="X65" s="2569"/>
      <c r="Y65" s="2569"/>
      <c r="Z65" s="2569"/>
      <c r="AA65" s="2569"/>
      <c r="AB65" s="2569"/>
      <c r="AC65" s="2569"/>
      <c r="AD65" s="2569"/>
      <c r="AE65" s="2569"/>
      <c r="AF65" s="2569"/>
      <c r="AG65" s="2569"/>
      <c r="AH65" s="2569"/>
      <c r="AI65" s="2569"/>
      <c r="AJ65" s="2569"/>
      <c r="AK65" s="2569"/>
      <c r="AL65" s="2569"/>
      <c r="AM65" s="2569"/>
      <c r="AS65" s="1439">
        <v>34</v>
      </c>
    </row>
    <row customHeight="1" ht="22.5" hidden="1">
      <c r="A66" s="1444" t="s">
        <v>85</v>
      </c>
      <c r="B66" s="1444">
        <v>0</v>
      </c>
      <c r="C66" s="1444">
        <v>0</v>
      </c>
      <c r="D66" s="1444">
        <v>0</v>
      </c>
      <c r="E66" s="1444">
        <v>0</v>
      </c>
      <c r="F66" s="1444">
        <v>0</v>
      </c>
      <c r="G66" s="1444">
        <v>0</v>
      </c>
      <c r="H66" s="1444">
        <v>0</v>
      </c>
      <c r="I66" s="1444">
        <v>0</v>
      </c>
      <c r="J66" s="1444">
        <v>0</v>
      </c>
      <c r="K66" s="1444">
        <v>0</v>
      </c>
      <c r="L66" s="1613">
        <v>0</v>
      </c>
      <c r="M66" s="1646">
        <v>0</v>
      </c>
      <c r="N66" s="1646">
        <v>0</v>
      </c>
      <c r="O66" s="1646">
        <v>0</v>
      </c>
      <c r="P66" s="1612">
        <v>0</v>
      </c>
      <c r="Q66" s="628">
        <v>3</v>
      </c>
      <c r="R66" s="628">
        <v>3</v>
      </c>
      <c r="S66" s="865">
        <v>12</v>
      </c>
      <c r="T66" s="1439">
        <v>31</v>
      </c>
      <c r="U66" s="1439">
        <v>0</v>
      </c>
      <c r="V66" s="1439">
        <v>0</v>
      </c>
      <c r="W66" s="1439">
        <v>0</v>
      </c>
      <c r="X66" s="1439">
        <v>0</v>
      </c>
      <c r="Y66" s="1439">
        <v>0</v>
      </c>
      <c r="Z66" s="1439">
        <v>0</v>
      </c>
      <c r="AA66" s="1439">
        <v>0</v>
      </c>
      <c r="AB66" s="1439">
        <v>0</v>
      </c>
      <c r="AC66" s="1439">
        <v>0</v>
      </c>
      <c r="AD66" s="1439">
        <v>24</v>
      </c>
      <c r="AE66" s="1439">
        <v>0</v>
      </c>
      <c r="AF66" s="1439">
        <v>24</v>
      </c>
      <c r="AG66" s="1439">
        <v>24</v>
      </c>
      <c r="AH66" s="1439">
        <v>11</v>
      </c>
      <c r="AI66" s="1439">
        <v>3</v>
      </c>
      <c r="AJ66" s="1439">
        <v>11</v>
      </c>
      <c r="AK66" s="1439">
        <v>0</v>
      </c>
      <c r="AL66" s="1439">
        <v>4</v>
      </c>
      <c r="AM66" s="1439">
        <v>115</v>
      </c>
      <c r="AN66" s="795">
        <v>10</v>
      </c>
      <c r="AO66" s="795">
        <v>10</v>
      </c>
      <c r="AP66" s="795">
        <v>10</v>
      </c>
      <c r="AQ66" s="795">
        <v>10</v>
      </c>
      <c r="AR66" s="795">
        <v>10</v>
      </c>
      <c r="AS66" s="1439">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66D673-A5A5-F4D1-7E44-7B8C7455B486}"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30620" width="10.57421875" hidden="1"/>
    <col min="2" max="2" style="30620" width="11.00390625" hidden="1" customWidth="1"/>
    <col min="3" max="3" style="30620" width="10.57421875" hidden="1"/>
    <col min="4" max="4" style="30620" width="11.8515625" hidden="1" customWidth="1"/>
    <col min="5" max="5" style="30620" width="10.00390625" hidden="1" customWidth="1"/>
    <col min="6" max="6" style="30620" width="8.7109375" hidden="1" customWidth="1"/>
    <col min="7" max="7" style="30620" width="7.57421875" hidden="1" customWidth="1"/>
    <col min="8" max="8" style="30620" width="11.421875" hidden="1" customWidth="1"/>
    <col min="9" max="9" style="30620" width="12.00390625" hidden="1" customWidth="1"/>
    <col min="10" max="10" style="30620" width="9.8515625" hidden="1" customWidth="1"/>
    <col min="11" max="11" style="30620" width="11.421875" hidden="1" customWidth="1"/>
    <col min="12" max="12" style="31502" width="19.140625" hidden="1" customWidth="1"/>
    <col min="13" max="14" style="31503" width="12.28125" hidden="1" customWidth="1"/>
    <col min="15" max="15" style="31503" width="23.421875" hidden="1" customWidth="1"/>
    <col min="16" max="16" style="31504" width="3.7109375" hidden="1" customWidth="1"/>
    <col min="17" max="18" style="31505" width="3.00390625" customWidth="1"/>
    <col min="19" max="19" style="31506" width="12.00390625" customWidth="1"/>
    <col min="20" max="20" style="30541" width="31.00390625" customWidth="1"/>
    <col min="21" max="21" style="30541" width="0.140625" customWidth="1"/>
    <col min="22" max="22" style="30541" width="24.7109375" hidden="1" customWidth="1"/>
    <col min="23" max="23" style="30541" width="0.140625" hidden="1" customWidth="1"/>
    <col min="24" max="25" style="30541" width="24.7109375" hidden="1" customWidth="1"/>
    <col min="26" max="26" style="30541" width="11.7109375" hidden="1" customWidth="1"/>
    <col min="27" max="27" style="30541" width="3.7109375" hidden="1" customWidth="1"/>
    <col min="28" max="28" style="30541" width="11.7109375" hidden="1" customWidth="1"/>
    <col min="29" max="29" style="30541" width="8.57421875" hidden="1" customWidth="1"/>
    <col min="30" max="30" style="30541" width="24.7109375" customWidth="1"/>
    <col min="31" max="31" style="30541" width="0.140625" customWidth="1"/>
    <col min="32" max="33" style="30541" width="24.00390625" customWidth="1"/>
    <col min="34" max="34" style="30541" width="11.00390625" customWidth="1"/>
    <col min="35" max="35" style="30541" width="3.7109375" customWidth="1"/>
    <col min="36" max="36" style="30541" width="11.00390625" customWidth="1"/>
    <col min="37" max="37" style="30541" width="8.57421875" hidden="1" customWidth="1"/>
    <col min="38" max="38" style="30541" width="4.00390625" customWidth="1"/>
    <col min="39" max="39" style="30541" width="115.00390625" customWidth="1"/>
    <col min="40" max="44" style="30621" width="10.00390625" customWidth="1"/>
    <col min="45" max="45" style="30541" width="10.57421875" hidden="1"/>
  </cols>
  <sheetData>
    <row customHeight="1" ht="22.5" hidden="1">
      <c r="Y1" s="611"/>
      <c r="Z1" s="611"/>
      <c r="AG1" s="611"/>
      <c r="AH1" s="611"/>
      <c r="AS1" s="1439" t="s">
        <v>14</v>
      </c>
    </row>
    <row customHeight="1" ht="21" hidden="1">
      <c r="A2" s="1647"/>
      <c r="B2" s="1647"/>
      <c r="C2" s="1647"/>
      <c r="D2" s="1647"/>
      <c r="E2" s="2542">
        <v>1</v>
      </c>
      <c r="F2" s="1647"/>
      <c r="G2" s="1647"/>
      <c r="H2" s="1647"/>
      <c r="I2" s="1647"/>
      <c r="J2" s="1647"/>
      <c r="K2" s="1647"/>
      <c r="L2" s="1648"/>
      <c r="M2" s="1649"/>
      <c r="N2" s="1649"/>
      <c r="O2" s="1649"/>
      <c r="P2" s="645"/>
      <c r="Q2" s="644"/>
      <c r="R2" s="639"/>
      <c r="S2" s="1620">
        <f>INDEX(PT_DIFFERENTIATION_NUM_NTAR,MATCH(A2,PT_DIFFERENTIATION_NTAR_ID,0))</f>
      </c>
      <c r="T2" s="582" t="s">
        <v>153</v>
      </c>
      <c r="U2" s="584"/>
      <c r="V2" s="2526"/>
      <c r="W2" s="2527"/>
      <c r="X2" s="2527"/>
      <c r="Y2" s="2527"/>
      <c r="Z2" s="2527"/>
      <c r="AA2" s="2527"/>
      <c r="AB2" s="2527"/>
      <c r="AC2" s="2528"/>
      <c r="AD2" s="2526">
        <f>INDEX(PT_DIFFERENTIATION_NTAR,MATCH(A2,PT_DIFFERENTIATION_NTAR_ID,0))</f>
      </c>
      <c r="AE2" s="2527"/>
      <c r="AF2" s="2527"/>
      <c r="AG2" s="2527"/>
      <c r="AH2" s="2527"/>
      <c r="AI2" s="2527"/>
      <c r="AJ2" s="2527"/>
      <c r="AK2" s="2527"/>
      <c r="AL2" s="2528"/>
      <c r="AM2" s="1542" t="s">
        <v>456</v>
      </c>
      <c r="AO2" s="784"/>
      <c r="AP2" s="784" t="str">
        <f>IF(T2="","",T2)</f>
        <v>Наименование тарифа</v>
      </c>
      <c r="AQ2" s="784"/>
      <c r="AR2" s="784"/>
      <c r="AS2" s="1439">
        <v>0</v>
      </c>
    </row>
    <row customHeight="1" ht="21" hidden="1">
      <c r="A3" s="1647"/>
      <c r="B3" s="1647"/>
      <c r="C3" s="1647"/>
      <c r="D3" s="1647"/>
      <c r="E3" s="2543"/>
      <c r="F3" s="2542">
        <v>1</v>
      </c>
      <c r="G3" s="1647"/>
      <c r="H3" s="1647"/>
      <c r="I3" s="1647"/>
      <c r="J3" s="1647"/>
      <c r="K3" s="1647"/>
      <c r="L3" s="1648"/>
      <c r="M3" s="1649"/>
      <c r="N3" s="1649"/>
      <c r="O3" s="1649"/>
      <c r="P3" s="1616"/>
      <c r="Q3" s="636"/>
      <c r="R3" s="637"/>
      <c r="S3" s="1620">
        <f>INDEX(PT_DIFFERENTIATION_NUM_TER,MATCH(B3,PT_DIFFERENTIATION_TER_ID,0))</f>
      </c>
      <c r="T3" s="592" t="s">
        <v>457</v>
      </c>
      <c r="U3" s="584"/>
      <c r="V3" s="2526"/>
      <c r="W3" s="2527"/>
      <c r="X3" s="2527"/>
      <c r="Y3" s="2527"/>
      <c r="Z3" s="2527"/>
      <c r="AA3" s="2527"/>
      <c r="AB3" s="2527"/>
      <c r="AC3" s="2528"/>
      <c r="AD3" s="2526">
        <f>INDEX(PT_DIFFERENTIATION_TER,MATCH(B3,PT_DIFFERENTIATION_TER_ID,0))</f>
      </c>
      <c r="AE3" s="2527"/>
      <c r="AF3" s="2527"/>
      <c r="AG3" s="2527"/>
      <c r="AH3" s="2527"/>
      <c r="AI3" s="2527"/>
      <c r="AJ3" s="2527"/>
      <c r="AK3" s="2527"/>
      <c r="AL3" s="2528"/>
      <c r="AM3" s="1542" t="s">
        <v>458</v>
      </c>
      <c r="AO3" s="784"/>
      <c r="AP3" s="784" t="str">
        <f>IF(T3="","",T3)</f>
        <v>Территория действия тарифа</v>
      </c>
      <c r="AQ3" s="784"/>
      <c r="AR3" s="784"/>
      <c r="AS3" s="1439">
        <v>0</v>
      </c>
    </row>
    <row customHeight="1" ht="23.25" hidden="1">
      <c r="A4" s="1647"/>
      <c r="B4" s="1647"/>
      <c r="C4" s="1647"/>
      <c r="D4" s="1647"/>
      <c r="E4" s="2543"/>
      <c r="F4" s="2543"/>
      <c r="G4" s="2542">
        <v>1</v>
      </c>
      <c r="H4" s="1647"/>
      <c r="I4" s="1647"/>
      <c r="J4" s="1647"/>
      <c r="K4" s="1647"/>
      <c r="L4" s="1648"/>
      <c r="M4" s="1649"/>
      <c r="N4" s="1649"/>
      <c r="O4" s="1649"/>
      <c r="P4" s="638"/>
      <c r="Q4" s="636"/>
      <c r="R4" s="637"/>
      <c r="S4" s="1620">
        <f>INDEX(PT_DIFFERENTIATION_NUM_CS,MATCH(C4,PT_DIFFERENTIATION_CS_ID,0))</f>
      </c>
      <c r="T4" s="593" t="s">
        <v>459</v>
      </c>
      <c r="U4" s="584"/>
      <c r="V4" s="2526"/>
      <c r="W4" s="2527"/>
      <c r="X4" s="2527"/>
      <c r="Y4" s="2527"/>
      <c r="Z4" s="2527"/>
      <c r="AA4" s="2527"/>
      <c r="AB4" s="2527"/>
      <c r="AC4" s="2528"/>
      <c r="AD4" s="2526">
        <f>INDEX(PT_DIFFERENTIATION_CS,MATCH(C4,PT_DIFFERENTIATION_CS_ID,0))</f>
      </c>
      <c r="AE4" s="2527"/>
      <c r="AF4" s="2527"/>
      <c r="AG4" s="2527"/>
      <c r="AH4" s="2527"/>
      <c r="AI4" s="2527"/>
      <c r="AJ4" s="2527"/>
      <c r="AK4" s="2527"/>
      <c r="AL4" s="2528"/>
      <c r="AM4" s="1542" t="s">
        <v>460</v>
      </c>
      <c r="AO4" s="784"/>
      <c r="AP4" s="784" t="str">
        <f>IF(T4="","",T4)</f>
        <v>Наименование системы теплоснабжения </v>
      </c>
      <c r="AQ4" s="784"/>
      <c r="AR4" s="784"/>
      <c r="AS4" s="1439">
        <v>0</v>
      </c>
    </row>
    <row customHeight="1" ht="21" hidden="1">
      <c r="A5" s="1647"/>
      <c r="B5" s="1647"/>
      <c r="C5" s="1647"/>
      <c r="D5" s="1647"/>
      <c r="E5" s="2543"/>
      <c r="F5" s="2543"/>
      <c r="G5" s="2543"/>
      <c r="H5" s="2542">
        <v>1</v>
      </c>
      <c r="I5" s="1647"/>
      <c r="J5" s="1647"/>
      <c r="K5" s="1647"/>
      <c r="L5" s="1648"/>
      <c r="M5" s="1649"/>
      <c r="N5" s="1649"/>
      <c r="O5" s="1649"/>
      <c r="P5" s="638"/>
      <c r="Q5" s="636"/>
      <c r="R5" s="637"/>
      <c r="S5" s="1620">
        <f>INDEX(PT_DIFFERENTIATION_NUM_IST_TE,MATCH(D5,PT_DIFFERENTIATION_IST_TE_ID,0))</f>
      </c>
      <c r="T5" s="594" t="s">
        <v>461</v>
      </c>
      <c r="U5" s="584"/>
      <c r="V5" s="2526"/>
      <c r="W5" s="2527"/>
      <c r="X5" s="2527"/>
      <c r="Y5" s="2527"/>
      <c r="Z5" s="2527"/>
      <c r="AA5" s="2527"/>
      <c r="AB5" s="2527"/>
      <c r="AC5" s="2528"/>
      <c r="AD5" s="2526">
        <f>INDEX(PT_DIFFERENTIATION_IST_TE,MATCH(D5,PT_DIFFERENTIATION_IST_TE_ID,0))</f>
      </c>
      <c r="AE5" s="2527"/>
      <c r="AF5" s="2527"/>
      <c r="AG5" s="2527"/>
      <c r="AH5" s="2527"/>
      <c r="AI5" s="2527"/>
      <c r="AJ5" s="2527"/>
      <c r="AK5" s="2527"/>
      <c r="AL5" s="2528"/>
      <c r="AM5" s="1542" t="s">
        <v>462</v>
      </c>
      <c r="AO5" s="784"/>
      <c r="AP5" s="784" t="str">
        <f>IF(T5="","",T5)</f>
        <v>Источник тепловой энергии  </v>
      </c>
      <c r="AQ5" s="784"/>
      <c r="AR5" s="784"/>
      <c r="AS5" s="1439">
        <v>0</v>
      </c>
    </row>
    <row customHeight="1" ht="14.25" hidden="1">
      <c r="A6" s="1647"/>
      <c r="B6" s="1647"/>
      <c r="C6" s="1647"/>
      <c r="D6" s="1647"/>
      <c r="E6" s="2543"/>
      <c r="F6" s="2543"/>
      <c r="G6" s="2543"/>
      <c r="H6" s="2543"/>
      <c r="I6" s="2540">
        <f>S5&amp;".1"</f>
      </c>
      <c r="J6" s="1647"/>
      <c r="K6" s="1647"/>
      <c r="L6" s="1648" t="s">
        <v>463</v>
      </c>
      <c r="M6" s="821"/>
      <c r="P6" s="2541">
        <v>1</v>
      </c>
      <c r="Q6" s="1615"/>
      <c r="R6" s="640"/>
      <c r="S6" s="1326"/>
      <c r="T6" s="1667"/>
      <c r="U6" s="1668"/>
      <c r="V6" s="2580"/>
      <c r="W6" s="2581"/>
      <c r="X6" s="2581"/>
      <c r="Y6" s="2581"/>
      <c r="Z6" s="2581"/>
      <c r="AA6" s="2581"/>
      <c r="AB6" s="2581"/>
      <c r="AC6" s="2582"/>
      <c r="AD6" s="2580"/>
      <c r="AE6" s="2581"/>
      <c r="AF6" s="2581"/>
      <c r="AG6" s="2581"/>
      <c r="AH6" s="2581"/>
      <c r="AI6" s="2581"/>
      <c r="AJ6" s="2581"/>
      <c r="AK6" s="2581"/>
      <c r="AL6" s="2582"/>
      <c r="AM6" s="1669"/>
      <c r="AO6" s="784"/>
      <c r="AP6" s="784" t="str">
        <f>IF(T6="","",T6)</f>
        <v/>
      </c>
      <c r="AQ6" s="784"/>
      <c r="AR6" s="784"/>
      <c r="AS6" s="1439">
        <v>0</v>
      </c>
    </row>
    <row customHeight="1" ht="21" hidden="1">
      <c r="A7" s="1647"/>
      <c r="B7" s="1647"/>
      <c r="C7" s="1647"/>
      <c r="D7" s="1647"/>
      <c r="E7" s="2543"/>
      <c r="F7" s="2543"/>
      <c r="G7" s="2543"/>
      <c r="H7" s="2543"/>
      <c r="I7" s="2570"/>
      <c r="J7" s="2540">
        <f>I6&amp;".1"</f>
      </c>
      <c r="K7" s="1647"/>
      <c r="L7" s="1648" t="s">
        <v>466</v>
      </c>
      <c r="M7" s="821"/>
      <c r="N7" s="1650"/>
      <c r="P7" s="2541"/>
      <c r="Q7" s="2541">
        <v>1</v>
      </c>
      <c r="R7" s="641"/>
      <c r="S7" s="1620">
        <f>$J7</f>
      </c>
      <c r="T7" s="570" t="s">
        <v>467</v>
      </c>
      <c r="U7" s="584"/>
      <c r="V7" s="2529"/>
      <c r="W7" s="2530"/>
      <c r="X7" s="2530"/>
      <c r="Y7" s="2530"/>
      <c r="Z7" s="2530"/>
      <c r="AA7" s="2530"/>
      <c r="AB7" s="2530"/>
      <c r="AC7" s="2531"/>
      <c r="AD7" s="2529"/>
      <c r="AE7" s="2530"/>
      <c r="AF7" s="2530"/>
      <c r="AG7" s="2530"/>
      <c r="AH7" s="2530"/>
      <c r="AI7" s="2530"/>
      <c r="AJ7" s="2530"/>
      <c r="AK7" s="2530"/>
      <c r="AL7" s="2531"/>
      <c r="AM7" s="1542" t="s">
        <v>468</v>
      </c>
      <c r="AO7" s="784"/>
      <c r="AP7" s="784" t="str">
        <f>IF(T7="","",T7)</f>
        <v>Группа потребителей</v>
      </c>
      <c r="AQ7" s="784"/>
      <c r="AR7" s="784"/>
      <c r="AS7" s="1439">
        <v>0</v>
      </c>
    </row>
    <row customHeight="1" ht="21" hidden="1">
      <c r="A8" s="1647"/>
      <c r="B8" s="1647"/>
      <c r="C8" s="1647"/>
      <c r="D8" s="1647"/>
      <c r="E8" s="2543"/>
      <c r="F8" s="2543"/>
      <c r="G8" s="2543"/>
      <c r="H8" s="2543"/>
      <c r="I8" s="2570"/>
      <c r="J8" s="2570"/>
      <c r="K8" s="2540">
        <f>J7&amp;".1"</f>
      </c>
      <c r="L8" s="1648" t="s">
        <v>469</v>
      </c>
      <c r="M8" s="821"/>
      <c r="N8" s="1650"/>
      <c r="O8" s="1650"/>
      <c r="P8" s="2541"/>
      <c r="Q8" s="2541"/>
      <c r="R8" s="641">
        <v>1</v>
      </c>
      <c r="S8" s="1620">
        <f>$K8</f>
      </c>
      <c r="T8" s="1631"/>
      <c r="U8" s="584"/>
      <c r="V8" s="1035"/>
      <c r="W8" s="609"/>
      <c r="X8" s="1035"/>
      <c r="Y8" s="1541"/>
      <c r="Z8" s="2549"/>
      <c r="AA8" s="2391" t="s">
        <v>64</v>
      </c>
      <c r="AB8" s="2549"/>
      <c r="AC8" s="2391" t="s">
        <v>64</v>
      </c>
      <c r="AD8" s="1035"/>
      <c r="AE8" s="609"/>
      <c r="AF8" s="1035"/>
      <c r="AG8" s="1541"/>
      <c r="AH8" s="2549"/>
      <c r="AI8" s="2391" t="s">
        <v>64</v>
      </c>
      <c r="AJ8" s="2549"/>
      <c r="AK8" s="2391" t="s">
        <v>64</v>
      </c>
      <c r="AL8" s="609"/>
      <c r="AM8" s="2537" t="s">
        <v>470</v>
      </c>
      <c r="AN8" s="795">
        <f>STRCHECKDATE(V9:AL9)</f>
      </c>
      <c r="AO8" s="784"/>
      <c r="AP8" s="784" t="str">
        <f>IF(T8="","",T8)</f>
        <v/>
      </c>
      <c r="AQ8" s="784"/>
      <c r="AR8" s="784"/>
      <c r="AS8" s="1439">
        <v>0</v>
      </c>
    </row>
    <row customHeight="1" ht="14.25" hidden="1">
      <c r="A9" s="1647"/>
      <c r="B9" s="1647"/>
      <c r="C9" s="1647"/>
      <c r="D9" s="1647"/>
      <c r="E9" s="2543"/>
      <c r="F9" s="2543"/>
      <c r="G9" s="2543"/>
      <c r="H9" s="2543"/>
      <c r="I9" s="2570"/>
      <c r="J9" s="2570"/>
      <c r="K9" s="2540"/>
      <c r="L9" s="1648"/>
      <c r="M9" s="821"/>
      <c r="N9" s="1650"/>
      <c r="O9" s="1650"/>
      <c r="P9" s="2541"/>
      <c r="Q9" s="2541"/>
      <c r="R9" s="641"/>
      <c r="S9" s="1626"/>
      <c r="T9" s="584"/>
      <c r="U9" s="584"/>
      <c r="V9" s="609"/>
      <c r="W9" s="609"/>
      <c r="X9" s="609"/>
      <c r="Y9" s="612" t="str">
        <f>Z8&amp;"-"&amp;AB8</f>
        <v>-</v>
      </c>
      <c r="Z9" s="2550"/>
      <c r="AA9" s="2391"/>
      <c r="AB9" s="2550"/>
      <c r="AC9" s="2391"/>
      <c r="AD9" s="609"/>
      <c r="AE9" s="609"/>
      <c r="AF9" s="609"/>
      <c r="AG9" s="612" t="str">
        <f>AH8&amp;"-"&amp;AJ8</f>
        <v>-</v>
      </c>
      <c r="AH9" s="2550"/>
      <c r="AI9" s="2391"/>
      <c r="AJ9" s="2550"/>
      <c r="AK9" s="2391"/>
      <c r="AL9" s="609"/>
      <c r="AM9" s="2538"/>
      <c r="AO9" s="784"/>
      <c r="AP9" s="784" t="str">
        <f>IF(T9="","",T9)</f>
        <v/>
      </c>
      <c r="AQ9" s="784"/>
      <c r="AR9" s="784"/>
      <c r="AS9" s="1439">
        <v>0</v>
      </c>
    </row>
    <row customHeight="1" ht="15" hidden="1">
      <c r="A10" s="1647"/>
      <c r="B10" s="1647"/>
      <c r="C10" s="1647"/>
      <c r="D10" s="1647"/>
      <c r="E10" s="2543"/>
      <c r="F10" s="2543"/>
      <c r="G10" s="2543"/>
      <c r="H10" s="2543"/>
      <c r="I10" s="2570"/>
      <c r="J10" s="2540"/>
      <c r="K10" s="1647"/>
      <c r="L10" s="1648"/>
      <c r="M10" s="821"/>
      <c r="N10" s="1650"/>
      <c r="P10" s="2541"/>
      <c r="Q10" s="2541"/>
      <c r="R10" s="640"/>
      <c r="S10" s="1562"/>
      <c r="T10" s="571" t="s">
        <v>471</v>
      </c>
      <c r="U10" s="651"/>
      <c r="V10" s="651"/>
      <c r="W10" s="651"/>
      <c r="X10" s="651"/>
      <c r="Y10" s="651"/>
      <c r="Z10" s="651"/>
      <c r="AA10" s="651"/>
      <c r="AB10" s="651"/>
      <c r="AC10" s="651"/>
      <c r="AD10" s="651"/>
      <c r="AE10" s="651"/>
      <c r="AF10" s="651"/>
      <c r="AG10" s="651"/>
      <c r="AH10" s="651"/>
      <c r="AI10" s="651"/>
      <c r="AJ10" s="651"/>
      <c r="AK10" s="651"/>
      <c r="AL10" s="608"/>
      <c r="AM10" s="2539"/>
      <c r="AO10" s="784"/>
      <c r="AP10" s="784" t="str">
        <f>IF(T10="","",T10)</f>
        <v>Добавить вид теплоносителя (параметры теплоносителя)</v>
      </c>
      <c r="AQ10" s="784"/>
      <c r="AR10" s="784"/>
      <c r="AS10" s="1439">
        <v>0</v>
      </c>
    </row>
    <row customHeight="1" ht="11.25" hidden="1">
      <c r="A11" s="1647"/>
      <c r="B11" s="1647"/>
      <c r="C11" s="1647"/>
      <c r="D11" s="1647"/>
      <c r="E11" s="2543"/>
      <c r="F11" s="2543"/>
      <c r="G11" s="2543"/>
      <c r="H11" s="2543"/>
      <c r="I11" s="2540"/>
      <c r="J11" s="1647"/>
      <c r="K11" s="1647"/>
      <c r="L11" s="1648"/>
      <c r="M11" s="821"/>
      <c r="P11" s="2541"/>
      <c r="Q11" s="1615"/>
      <c r="R11" s="640"/>
      <c r="S11" s="1562"/>
      <c r="T11" s="649" t="s">
        <v>472</v>
      </c>
      <c r="U11" s="651"/>
      <c r="V11" s="651"/>
      <c r="W11" s="651"/>
      <c r="X11" s="651"/>
      <c r="Y11" s="651"/>
      <c r="Z11" s="651"/>
      <c r="AA11" s="651"/>
      <c r="AB11" s="651"/>
      <c r="AC11" s="650"/>
      <c r="AD11" s="651"/>
      <c r="AE11" s="651"/>
      <c r="AF11" s="651"/>
      <c r="AG11" s="651"/>
      <c r="AH11" s="651"/>
      <c r="AI11" s="651"/>
      <c r="AJ11" s="651"/>
      <c r="AK11" s="650"/>
      <c r="AL11" s="651"/>
      <c r="AM11" s="587"/>
      <c r="AO11" s="784"/>
      <c r="AP11" s="784" t="str">
        <f>IF(T11="","",T11)</f>
        <v>Добавить группу потребителей</v>
      </c>
      <c r="AQ11" s="784"/>
      <c r="AR11" s="784"/>
      <c r="AS11" s="1439">
        <v>0</v>
      </c>
    </row>
    <row customHeight="1" ht="14.25" hidden="1">
      <c r="A12" s="1647"/>
      <c r="B12" s="1647"/>
      <c r="C12" s="1647"/>
      <c r="D12" s="1647"/>
      <c r="E12" s="2543"/>
      <c r="F12" s="2543"/>
      <c r="G12" s="2543"/>
      <c r="H12" s="2542"/>
      <c r="I12" s="1647"/>
      <c r="J12" s="1647"/>
      <c r="K12" s="1647"/>
      <c r="L12" s="1648"/>
      <c r="M12" s="1649"/>
      <c r="N12" s="1649"/>
      <c r="O12" s="821"/>
      <c r="P12" s="644"/>
      <c r="Q12" s="659"/>
      <c r="R12" s="639"/>
      <c r="S12" s="1670"/>
      <c r="T12" s="1671"/>
      <c r="U12" s="1672"/>
      <c r="V12" s="1672"/>
      <c r="W12" s="1672"/>
      <c r="X12" s="1672"/>
      <c r="Y12" s="1672"/>
      <c r="Z12" s="1672"/>
      <c r="AA12" s="1672"/>
      <c r="AB12" s="1672"/>
      <c r="AC12" s="1672"/>
      <c r="AD12" s="1672"/>
      <c r="AE12" s="1672"/>
      <c r="AF12" s="1672"/>
      <c r="AG12" s="1672"/>
      <c r="AH12" s="1672"/>
      <c r="AI12" s="1672"/>
      <c r="AJ12" s="1672"/>
      <c r="AK12" s="1672"/>
      <c r="AL12" s="1672"/>
      <c r="AM12" s="1673"/>
      <c r="AO12" s="784"/>
      <c r="AP12" s="784" t="str">
        <f>IF(T12="","",T12)</f>
        <v/>
      </c>
      <c r="AQ12" s="784"/>
      <c r="AR12" s="784"/>
      <c r="AS12" s="1439">
        <v>0</v>
      </c>
    </row>
    <row s="30621" customFormat="1" customHeight="1" ht="14.25" hidden="1">
      <c r="A13" s="1598"/>
      <c r="B13" s="1598"/>
      <c r="C13" s="1598"/>
      <c r="D13" s="1598"/>
      <c r="E13" s="2543"/>
      <c r="F13" s="2543"/>
      <c r="G13" s="2542"/>
      <c r="H13" s="1598"/>
      <c r="I13" s="1598"/>
      <c r="J13" s="1598"/>
      <c r="K13" s="1598"/>
      <c r="L13" s="1623"/>
      <c r="M13" s="1599"/>
      <c r="N13" s="1599"/>
      <c r="P13" s="1600"/>
      <c r="Q13" s="1601"/>
      <c r="R13" s="1600"/>
      <c r="S13" s="1602"/>
      <c r="T13" s="1603" t="s">
        <v>213</v>
      </c>
      <c r="U13" s="1604"/>
      <c r="V13" s="1604"/>
      <c r="W13" s="1604"/>
      <c r="X13" s="1604"/>
      <c r="Y13" s="1604"/>
      <c r="Z13" s="1604"/>
      <c r="AA13" s="1604"/>
      <c r="AB13" s="1604"/>
      <c r="AC13" s="1604"/>
      <c r="AD13" s="1604"/>
      <c r="AE13" s="1604"/>
      <c r="AF13" s="1604"/>
      <c r="AG13" s="1604"/>
      <c r="AH13" s="1604"/>
      <c r="AI13" s="1604"/>
      <c r="AJ13" s="1604"/>
      <c r="AK13" s="1604"/>
      <c r="AL13" s="1604"/>
      <c r="AM13" s="1604"/>
      <c r="AO13" s="1073"/>
      <c r="AP13" s="1073" t="str">
        <f>IF(T13="","",T13)</f>
        <v>Добавить источник для дифференциации</v>
      </c>
      <c r="AQ13" s="1073"/>
      <c r="AR13" s="1073"/>
      <c r="AS13" s="802">
        <v>0</v>
      </c>
    </row>
    <row s="30621" customFormat="1" customHeight="1" ht="14.25" hidden="1">
      <c r="A14" s="1598"/>
      <c r="B14" s="1598"/>
      <c r="C14" s="1598"/>
      <c r="D14" s="1598"/>
      <c r="E14" s="2543"/>
      <c r="F14" s="2542"/>
      <c r="G14" s="1598"/>
      <c r="H14" s="1598"/>
      <c r="I14" s="1598"/>
      <c r="J14" s="1598"/>
      <c r="K14" s="1598"/>
      <c r="L14" s="1623"/>
      <c r="M14" s="1605"/>
      <c r="N14" s="1605"/>
      <c r="P14" s="1600"/>
      <c r="Q14" s="1601"/>
      <c r="R14" s="1600"/>
      <c r="S14" s="1606"/>
      <c r="T14" s="1607" t="s">
        <v>214</v>
      </c>
      <c r="U14" s="1608"/>
      <c r="V14" s="1608"/>
      <c r="W14" s="1608"/>
      <c r="X14" s="1608"/>
      <c r="Y14" s="1608"/>
      <c r="Z14" s="1608"/>
      <c r="AA14" s="1608"/>
      <c r="AB14" s="1608"/>
      <c r="AC14" s="1608"/>
      <c r="AD14" s="1608"/>
      <c r="AE14" s="1608"/>
      <c r="AF14" s="1608"/>
      <c r="AG14" s="1608"/>
      <c r="AH14" s="1608"/>
      <c r="AI14" s="1608"/>
      <c r="AJ14" s="1608"/>
      <c r="AK14" s="1608"/>
      <c r="AL14" s="1608"/>
      <c r="AM14" s="1608"/>
      <c r="AO14" s="1073"/>
      <c r="AP14" s="1073" t="str">
        <f>IF(T14="","",T14)</f>
        <v>Добавить централизованную систему для дифференциации</v>
      </c>
      <c r="AQ14" s="1073"/>
      <c r="AR14" s="1073"/>
      <c r="AS14" s="802">
        <v>0</v>
      </c>
    </row>
    <row s="30621" customFormat="1" customHeight="1" ht="14.25" hidden="1">
      <c r="A15" s="1598"/>
      <c r="B15" s="1598"/>
      <c r="C15" s="1598"/>
      <c r="D15" s="1598"/>
      <c r="E15" s="2542"/>
      <c r="F15" s="1598"/>
      <c r="G15" s="1598"/>
      <c r="H15" s="1598"/>
      <c r="I15" s="1598"/>
      <c r="J15" s="1598"/>
      <c r="K15" s="1598"/>
      <c r="L15" s="1623"/>
      <c r="M15" s="1605"/>
      <c r="N15" s="1605"/>
      <c r="P15" s="1600"/>
      <c r="Q15" s="1601"/>
      <c r="R15" s="1600"/>
      <c r="S15" s="1606"/>
      <c r="T15" s="1609" t="s">
        <v>230</v>
      </c>
      <c r="U15" s="1608"/>
      <c r="V15" s="1608"/>
      <c r="W15" s="1608"/>
      <c r="X15" s="1608"/>
      <c r="Y15" s="1608"/>
      <c r="Z15" s="1608"/>
      <c r="AA15" s="1608"/>
      <c r="AB15" s="1608"/>
      <c r="AC15" s="1608"/>
      <c r="AD15" s="1608"/>
      <c r="AE15" s="1608"/>
      <c r="AF15" s="1608"/>
      <c r="AG15" s="1608"/>
      <c r="AH15" s="1608"/>
      <c r="AI15" s="1608"/>
      <c r="AJ15" s="1608"/>
      <c r="AK15" s="1608"/>
      <c r="AL15" s="1608"/>
      <c r="AM15" s="1608"/>
      <c r="AO15" s="1073"/>
      <c r="AP15" s="1073" t="str">
        <f>IF(T15="","",T15)</f>
        <v>Добавить территорию для дифференциации</v>
      </c>
      <c r="AQ15" s="1073"/>
      <c r="AR15" s="1073"/>
      <c r="AS15" s="802">
        <v>0</v>
      </c>
    </row>
    <row customHeight="1" ht="14.25" hidden="1">
      <c r="AC16" s="611"/>
      <c r="AK16" s="611"/>
      <c r="AS16" s="1439">
        <v>0</v>
      </c>
    </row>
    <row customHeight="1" ht="14.25" hidden="1">
      <c r="AD17" s="1644"/>
      <c r="AE17" s="1644"/>
      <c r="AF17" s="1644"/>
      <c r="AG17" s="1645"/>
      <c r="AH17" s="2551"/>
      <c r="AI17" s="2552" t="s">
        <v>64</v>
      </c>
      <c r="AJ17" s="2551"/>
      <c r="AK17" s="2552" t="s">
        <v>64</v>
      </c>
      <c r="AS17" s="1439">
        <v>0</v>
      </c>
    </row>
    <row customHeight="1" ht="14.25" hidden="1">
      <c r="AD18" s="1644"/>
      <c r="AE18" s="1644"/>
      <c r="AF18" s="1644"/>
      <c r="AG18" s="612" t="str">
        <f>AH17&amp;"-"&amp;AJ17</f>
        <v>-</v>
      </c>
      <c r="AH18" s="2552"/>
      <c r="AI18" s="2552"/>
      <c r="AJ18" s="2552"/>
      <c r="AK18" s="2552"/>
      <c r="AS18" s="1439">
        <v>0</v>
      </c>
    </row>
    <row customHeight="1" ht="14.25" hidden="1">
      <c r="AK19" s="611"/>
      <c r="AS19" s="1439">
        <v>0</v>
      </c>
    </row>
    <row s="30620" customFormat="1" customHeight="1" ht="22.5" hidden="1">
      <c r="L20" s="1613"/>
      <c r="M20" s="1646"/>
      <c r="N20" s="1646"/>
      <c r="O20" s="1651" t="s">
        <v>474</v>
      </c>
      <c r="P20" s="1646"/>
      <c r="Q20" s="1655"/>
      <c r="R20" s="1655"/>
      <c r="S20" s="1013"/>
      <c r="Z20" s="1651"/>
      <c r="AB20" s="1651"/>
      <c r="AC20" s="1650"/>
      <c r="AH20" s="1651"/>
      <c r="AJ20" s="1651"/>
      <c r="AK20" s="1650"/>
      <c r="AN20" s="795"/>
      <c r="AO20" s="795"/>
      <c r="AP20" s="795"/>
      <c r="AQ20" s="795"/>
      <c r="AR20" s="795"/>
      <c r="AS20" s="1444">
        <v>0</v>
      </c>
    </row>
    <row s="30620" customFormat="1" customHeight="1" ht="14.25" hidden="1">
      <c r="L21" s="1613"/>
      <c r="M21" s="1646"/>
      <c r="N21" s="1646"/>
      <c r="O21" s="1646"/>
      <c r="P21" s="1646"/>
      <c r="Q21" s="1655"/>
      <c r="R21" s="1655"/>
      <c r="S21" s="1013"/>
      <c r="AC21" s="1650"/>
      <c r="AK21" s="1650"/>
      <c r="AN21" s="795"/>
      <c r="AO21" s="795"/>
      <c r="AP21" s="795"/>
      <c r="AQ21" s="795"/>
      <c r="AR21" s="795"/>
      <c r="AS21" s="1444">
        <v>0</v>
      </c>
    </row>
    <row s="30620" customFormat="1" customHeight="1" ht="14.25" hidden="1">
      <c r="L22" s="1613"/>
      <c r="M22" s="1646"/>
      <c r="N22" s="1646"/>
      <c r="O22" s="1648" t="s">
        <v>475</v>
      </c>
      <c r="P22" s="1646"/>
      <c r="Q22" s="1655"/>
      <c r="R22" s="1655"/>
      <c r="S22" s="1013"/>
      <c r="T22" s="1444" t="s">
        <v>476</v>
      </c>
      <c r="AA22" s="470" t="s">
        <v>477</v>
      </c>
      <c r="AC22" s="470" t="s">
        <v>478</v>
      </c>
      <c r="AD22" s="1444" t="s">
        <v>476</v>
      </c>
      <c r="AI22" s="470" t="s">
        <v>479</v>
      </c>
      <c r="AK22" s="470" t="s">
        <v>478</v>
      </c>
      <c r="AN22" s="795"/>
      <c r="AO22" s="795"/>
      <c r="AP22" s="795"/>
      <c r="AQ22" s="795"/>
      <c r="AR22" s="795"/>
      <c r="AS22" s="1444">
        <v>0</v>
      </c>
    </row>
    <row customHeight="1" ht="14.25" hidden="1">
      <c r="O23" s="1648"/>
      <c r="AS23" s="1439">
        <v>0</v>
      </c>
    </row>
    <row customHeight="1" ht="14.25" hidden="1">
      <c r="O24" s="1648"/>
      <c r="AS24" s="1439">
        <v>0</v>
      </c>
    </row>
    <row customHeight="1" ht="14.699999999999998">
      <c r="Q25" s="660"/>
      <c r="R25" s="660"/>
      <c r="S25" s="1559"/>
      <c r="T25" s="647"/>
      <c r="U25" s="647"/>
      <c r="V25" s="793"/>
      <c r="W25" s="793"/>
      <c r="X25" s="793"/>
      <c r="Y25" s="793"/>
      <c r="Z25" s="793"/>
      <c r="AA25" s="793"/>
      <c r="AB25" s="793"/>
      <c r="AC25" s="793"/>
      <c r="AD25" s="793"/>
      <c r="AE25" s="793"/>
      <c r="AF25" s="793"/>
      <c r="AG25" s="793"/>
      <c r="AH25" s="793"/>
      <c r="AI25" s="793"/>
      <c r="AJ25" s="793"/>
      <c r="AK25" s="793"/>
      <c r="AS25" s="1439">
        <v>14</v>
      </c>
    </row>
    <row customHeight="1" ht="53.54999999999999">
      <c r="Q26" s="660"/>
      <c r="R26" s="660"/>
      <c r="S26" s="253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32"/>
      <c r="U26" s="2532"/>
      <c r="V26" s="2532"/>
      <c r="W26" s="2532"/>
      <c r="X26" s="2532"/>
      <c r="Y26" s="2532"/>
      <c r="Z26" s="2532"/>
      <c r="AA26" s="2532"/>
      <c r="AB26" s="2532"/>
      <c r="AC26" s="2532"/>
      <c r="AD26" s="2532"/>
      <c r="AE26" s="2532"/>
      <c r="AF26" s="2532"/>
      <c r="AG26" s="2532"/>
      <c r="AH26" s="2532"/>
      <c r="AI26" s="2532"/>
      <c r="AJ26" s="2532"/>
      <c r="AK26" s="1527"/>
      <c r="AS26" s="1439">
        <v>51</v>
      </c>
    </row>
    <row customHeight="1" ht="14.699999999999998">
      <c r="Q27" s="660"/>
      <c r="R27" s="660"/>
      <c r="S27" s="2533" t="str">
        <f>IF(org=0,"Не определено",org)</f>
        <v>АО "ДГК"</v>
      </c>
      <c r="T27" s="2533"/>
      <c r="U27" s="2533"/>
      <c r="V27" s="2533"/>
      <c r="W27" s="2533"/>
      <c r="X27" s="2533"/>
      <c r="Y27" s="2533"/>
      <c r="Z27" s="2533"/>
      <c r="AA27" s="2533"/>
      <c r="AB27" s="2533"/>
      <c r="AC27" s="2533"/>
      <c r="AD27" s="2533"/>
      <c r="AE27" s="2533"/>
      <c r="AF27" s="2533"/>
      <c r="AG27" s="2533"/>
      <c r="AH27" s="2533"/>
      <c r="AI27" s="2533"/>
      <c r="AJ27" s="2533"/>
      <c r="AK27" s="1527"/>
      <c r="AS27" s="1439">
        <v>14</v>
      </c>
    </row>
    <row customHeight="1" ht="14.25">
      <c r="Q28" s="660"/>
      <c r="R28" s="660"/>
      <c r="S28" s="1559"/>
      <c r="T28" s="647"/>
      <c r="U28" s="647"/>
      <c r="V28" s="606"/>
      <c r="W28" s="606"/>
      <c r="X28" s="606"/>
      <c r="Y28" s="606"/>
      <c r="Z28" s="606"/>
      <c r="AA28" s="606"/>
      <c r="AB28" s="606"/>
      <c r="AC28" s="606"/>
      <c r="AD28" s="606"/>
      <c r="AE28" s="606"/>
      <c r="AF28" s="606"/>
      <c r="AG28" s="606"/>
      <c r="AH28" s="606"/>
      <c r="AI28" s="606"/>
      <c r="AJ28" s="606"/>
      <c r="AK28" s="606"/>
      <c r="AL28" s="793"/>
      <c r="AS28" s="1439">
        <v>0</v>
      </c>
    </row>
    <row s="30764" customFormat="1" customHeight="1" ht="25.5">
      <c r="A29" s="1652"/>
      <c r="B29" s="1652"/>
      <c r="C29" s="1652"/>
      <c r="D29" s="1652"/>
      <c r="E29" s="1652"/>
      <c r="F29" s="1652"/>
      <c r="G29" s="1652"/>
      <c r="H29" s="1652"/>
      <c r="I29" s="1652"/>
      <c r="J29" s="1652"/>
      <c r="K29" s="1652"/>
      <c r="L29" s="1653"/>
      <c r="M29" s="1652"/>
      <c r="N29" s="1652"/>
      <c r="O29" s="1652"/>
      <c r="S29" s="2534" t="s">
        <v>42</v>
      </c>
      <c r="T29" s="2534"/>
      <c r="U29" s="1656"/>
      <c r="V29" s="2535" t="str">
        <f>IF(TITLE_NAME_OR_PR_CHANGE="",IF(TITLE_NAME_OR_PR="","",TITLE_NAME_OR_PR),TITLE_NAME_OR_PR_CHANGE)</f>
        <v>Комитет по ценам и тарифам Правительства Хабаровского края</v>
      </c>
      <c r="W29" s="2535"/>
      <c r="X29" s="2535"/>
      <c r="Y29" s="2535"/>
      <c r="Z29" s="2535"/>
      <c r="AA29" s="2535"/>
      <c r="AB29" s="2535"/>
      <c r="AC29" s="610"/>
      <c r="AD29" s="2535" t="str">
        <f>IF(TITLE_NAME_OR_PR_CHANGE="",IF(TITLE_NAME_OR_PR="","",TITLE_NAME_OR_PR),TITLE_NAME_OR_PR_CHANGE)</f>
        <v>Комитет по ценам и тарифам Правительства Хабаровского края</v>
      </c>
      <c r="AE29" s="2535"/>
      <c r="AF29" s="2535"/>
      <c r="AG29" s="2535"/>
      <c r="AH29" s="2535"/>
      <c r="AI29" s="2535"/>
      <c r="AJ29" s="2535"/>
      <c r="AK29" s="610"/>
      <c r="AL29" s="610"/>
      <c r="AM29" s="564"/>
      <c r="AN29" s="652"/>
      <c r="AO29" s="652"/>
      <c r="AP29" s="652"/>
      <c r="AQ29" s="652"/>
      <c r="AR29" s="652"/>
      <c r="AS29" s="702">
        <v>0</v>
      </c>
    </row>
    <row s="30764" customFormat="1" customHeight="1" ht="18.75">
      <c r="A30" s="1652"/>
      <c r="B30" s="1652"/>
      <c r="C30" s="1652"/>
      <c r="D30" s="1652"/>
      <c r="E30" s="1652"/>
      <c r="F30" s="1652"/>
      <c r="G30" s="1652"/>
      <c r="H30" s="1652"/>
      <c r="I30" s="1652"/>
      <c r="J30" s="1652"/>
      <c r="K30" s="1652"/>
      <c r="L30" s="1653"/>
      <c r="M30" s="1652"/>
      <c r="N30" s="1652"/>
      <c r="O30" s="1652"/>
      <c r="S30" s="2534" t="s">
        <v>480</v>
      </c>
      <c r="T30" s="2534"/>
      <c r="U30" s="1656"/>
      <c r="V30" s="2548" t="str">
        <f>IF(TITLE_DATE_PR_CHANGE="",IF(TITLE_DATE_PR="","",TITLE_DATE_PR),TITLE_DATE_PR_CHANGE)</f>
        <v>45645</v>
      </c>
      <c r="W30" s="2548"/>
      <c r="X30" s="2548"/>
      <c r="Y30" s="2548"/>
      <c r="Z30" s="2548"/>
      <c r="AA30" s="2548"/>
      <c r="AB30" s="2548"/>
      <c r="AC30" s="610"/>
      <c r="AD30" s="2548" t="str">
        <f>IF(TITLE_DATE_PR_CHANGE="",IF(TITLE_DATE_PR="","",TITLE_DATE_PR),TITLE_DATE_PR_CHANGE)</f>
        <v>45645</v>
      </c>
      <c r="AE30" s="2548"/>
      <c r="AF30" s="2548"/>
      <c r="AG30" s="2548"/>
      <c r="AH30" s="2548"/>
      <c r="AI30" s="2548"/>
      <c r="AJ30" s="2548"/>
      <c r="AK30" s="610"/>
      <c r="AL30" s="610"/>
      <c r="AM30" s="564"/>
      <c r="AN30" s="652"/>
      <c r="AO30" s="652"/>
      <c r="AP30" s="652"/>
      <c r="AQ30" s="652"/>
      <c r="AR30" s="652"/>
      <c r="AS30" s="702">
        <v>0</v>
      </c>
    </row>
    <row s="30764" customFormat="1" customHeight="1" ht="18.75">
      <c r="A31" s="1652"/>
      <c r="B31" s="1652"/>
      <c r="C31" s="1652"/>
      <c r="D31" s="1652"/>
      <c r="E31" s="1652"/>
      <c r="F31" s="1652"/>
      <c r="G31" s="1652"/>
      <c r="H31" s="1652"/>
      <c r="I31" s="1652"/>
      <c r="J31" s="1652"/>
      <c r="K31" s="1652"/>
      <c r="L31" s="1653"/>
      <c r="M31" s="1652"/>
      <c r="N31" s="1652"/>
      <c r="O31" s="1652"/>
      <c r="S31" s="2534" t="s">
        <v>481</v>
      </c>
      <c r="T31" s="2534"/>
      <c r="U31" s="1656"/>
      <c r="V31" s="2535" t="str">
        <f>IF(TITLE_NUMBER_PR_CHANGE="",IF(TITLE_NUMBER_PR="","",TITLE_NUMBER_PR),TITLE_NUMBER_PR_CHANGE)</f>
        <v>№ 40/8</v>
      </c>
      <c r="W31" s="2535"/>
      <c r="X31" s="2535"/>
      <c r="Y31" s="2535"/>
      <c r="Z31" s="2535"/>
      <c r="AA31" s="2535"/>
      <c r="AB31" s="2535"/>
      <c r="AC31" s="610"/>
      <c r="AD31" s="2535" t="str">
        <f>IF(TITLE_NUMBER_PR_CHANGE="",IF(TITLE_NUMBER_PR="","",TITLE_NUMBER_PR),TITLE_NUMBER_PR_CHANGE)</f>
        <v>№ 40/8</v>
      </c>
      <c r="AE31" s="2535"/>
      <c r="AF31" s="2535"/>
      <c r="AG31" s="2535"/>
      <c r="AH31" s="2535"/>
      <c r="AI31" s="2535"/>
      <c r="AJ31" s="2535"/>
      <c r="AK31" s="610"/>
      <c r="AL31" s="610"/>
      <c r="AM31" s="564"/>
      <c r="AN31" s="652"/>
      <c r="AO31" s="652"/>
      <c r="AP31" s="652"/>
      <c r="AQ31" s="652"/>
      <c r="AR31" s="652"/>
      <c r="AS31" s="702">
        <v>0</v>
      </c>
    </row>
    <row s="30764" customFormat="1" customHeight="1" ht="18.75">
      <c r="A32" s="1652"/>
      <c r="B32" s="1652"/>
      <c r="C32" s="1652"/>
      <c r="D32" s="1652"/>
      <c r="E32" s="1652"/>
      <c r="F32" s="1652"/>
      <c r="G32" s="1652"/>
      <c r="H32" s="1652"/>
      <c r="I32" s="1652"/>
      <c r="J32" s="1652"/>
      <c r="K32" s="1652"/>
      <c r="L32" s="1653"/>
      <c r="M32" s="1652"/>
      <c r="N32" s="1652"/>
      <c r="O32" s="1652"/>
      <c r="S32" s="2534" t="s">
        <v>44</v>
      </c>
      <c r="T32" s="2534"/>
      <c r="U32" s="1656"/>
      <c r="V32" s="2535" t="str">
        <f>IF(TITLE_IST_PUB_CHANGE="",IF(TITLE_IST_PUB="","",TITLE_IST_PUB),TITLE_IST_PUB_CHANGE)</f>
        <v>Официальный интернет - портал нормативных правовых актов Хабаровского края https://laws.khv.gov.ru/</v>
      </c>
      <c r="W32" s="2535"/>
      <c r="X32" s="2535"/>
      <c r="Y32" s="2535"/>
      <c r="Z32" s="2535"/>
      <c r="AA32" s="2535"/>
      <c r="AB32" s="2535"/>
      <c r="AC32" s="610"/>
      <c r="AD32" s="2535" t="str">
        <f>IF(TITLE_IST_PUB_CHANGE="",IF(TITLE_IST_PUB="","",TITLE_IST_PUB),TITLE_IST_PUB_CHANGE)</f>
        <v>Официальный интернет - портал нормативных правовых актов Хабаровского края https://laws.khv.gov.ru/</v>
      </c>
      <c r="AE32" s="2535"/>
      <c r="AF32" s="2535"/>
      <c r="AG32" s="2535"/>
      <c r="AH32" s="2535"/>
      <c r="AI32" s="2535"/>
      <c r="AJ32" s="2535"/>
      <c r="AK32" s="610"/>
      <c r="AL32" s="610"/>
      <c r="AM32" s="564"/>
      <c r="AN32" s="652"/>
      <c r="AO32" s="652"/>
      <c r="AP32" s="652"/>
      <c r="AQ32" s="652"/>
      <c r="AR32" s="652"/>
      <c r="AS32" s="702">
        <v>0</v>
      </c>
    </row>
    <row customHeight="1" ht="14.25" hidden="1">
      <c r="Q33" s="660"/>
      <c r="R33" s="660"/>
      <c r="S33" s="1559"/>
      <c r="T33" s="647"/>
      <c r="U33" s="647"/>
      <c r="V33" s="606"/>
      <c r="W33" s="606"/>
      <c r="X33" s="606"/>
      <c r="Y33" s="606"/>
      <c r="Z33" s="606"/>
      <c r="AA33" s="606"/>
      <c r="AB33" s="606"/>
      <c r="AC33" s="606"/>
      <c r="AD33" s="606"/>
      <c r="AE33" s="606"/>
      <c r="AF33" s="606"/>
      <c r="AG33" s="606"/>
      <c r="AH33" s="606"/>
      <c r="AI33" s="606"/>
      <c r="AJ33" s="606"/>
      <c r="AK33" s="606"/>
      <c r="AL33" s="793"/>
      <c r="AS33" s="1439">
        <v>0</v>
      </c>
    </row>
    <row s="30764" customFormat="1" customHeight="1" ht="18.75" hidden="1">
      <c r="A34" s="1652"/>
      <c r="B34" s="1652"/>
      <c r="C34" s="1652"/>
      <c r="D34" s="1652"/>
      <c r="E34" s="1652"/>
      <c r="F34" s="1652"/>
      <c r="G34" s="1652"/>
      <c r="H34" s="1652"/>
      <c r="I34" s="1652"/>
      <c r="J34" s="1652"/>
      <c r="K34" s="1652"/>
      <c r="L34" s="1653"/>
      <c r="M34" s="1652"/>
      <c r="N34" s="1652"/>
      <c r="O34" s="1652"/>
      <c r="S34" s="2534" t="s">
        <v>482</v>
      </c>
      <c r="T34" s="2534"/>
      <c r="U34" s="1656"/>
      <c r="V34" s="2548" t="str">
        <f>IF(TITLE_DATE_PR_CHANGE="",IF(TITLE_DATE_PR="","",TITLE_DATE_PR),TITLE_DATE_PR_CHANGE)</f>
        <v>45645</v>
      </c>
      <c r="W34" s="2548"/>
      <c r="X34" s="2548"/>
      <c r="Y34" s="2548"/>
      <c r="Z34" s="2548"/>
      <c r="AA34" s="2548"/>
      <c r="AB34" s="2548"/>
      <c r="AC34" s="610"/>
      <c r="AD34" s="2548" t="str">
        <f>IF(TITLE_DATE_PR_CHANGE="",IF(TITLE_DATE_PR="","",TITLE_DATE_PR),TITLE_DATE_PR_CHANGE)</f>
        <v>45645</v>
      </c>
      <c r="AE34" s="2548"/>
      <c r="AF34" s="2548"/>
      <c r="AG34" s="2548"/>
      <c r="AH34" s="2548"/>
      <c r="AI34" s="2548"/>
      <c r="AJ34" s="2548"/>
      <c r="AK34" s="610"/>
      <c r="AL34" s="610"/>
      <c r="AM34" s="564"/>
      <c r="AN34" s="652"/>
      <c r="AO34" s="652"/>
      <c r="AP34" s="652"/>
      <c r="AQ34" s="652"/>
      <c r="AR34" s="652"/>
      <c r="AS34" s="702">
        <v>0</v>
      </c>
    </row>
    <row s="30764" customFormat="1" customHeight="1" ht="25.5" hidden="1">
      <c r="A35" s="1652"/>
      <c r="B35" s="1652"/>
      <c r="C35" s="1652"/>
      <c r="D35" s="1652"/>
      <c r="E35" s="1652"/>
      <c r="F35" s="1652"/>
      <c r="G35" s="1652"/>
      <c r="H35" s="1652"/>
      <c r="I35" s="1652"/>
      <c r="J35" s="1652"/>
      <c r="K35" s="1652"/>
      <c r="L35" s="1653"/>
      <c r="M35" s="1652"/>
      <c r="N35" s="1652"/>
      <c r="O35" s="1652"/>
      <c r="S35" s="2534" t="s">
        <v>483</v>
      </c>
      <c r="T35" s="2534"/>
      <c r="U35" s="1656"/>
      <c r="V35" s="2535" t="str">
        <f>IF(TITLE_NUMBER_PR_CHANGE="",IF(TITLE_NUMBER_PR="","",TITLE_NUMBER_PR),TITLE_NUMBER_PR_CHANGE)</f>
        <v>№ 40/8</v>
      </c>
      <c r="W35" s="2535"/>
      <c r="X35" s="2535"/>
      <c r="Y35" s="2535"/>
      <c r="Z35" s="2535"/>
      <c r="AA35" s="2535"/>
      <c r="AB35" s="2535"/>
      <c r="AC35" s="610"/>
      <c r="AD35" s="2535" t="str">
        <f>IF(TITLE_NUMBER_PR_CHANGE="",IF(TITLE_NUMBER_PR="","",TITLE_NUMBER_PR),TITLE_NUMBER_PR_CHANGE)</f>
        <v>№ 40/8</v>
      </c>
      <c r="AE35" s="2535"/>
      <c r="AF35" s="2535"/>
      <c r="AG35" s="2535"/>
      <c r="AH35" s="2535"/>
      <c r="AI35" s="2535"/>
      <c r="AJ35" s="2535"/>
      <c r="AK35" s="610"/>
      <c r="AL35" s="610"/>
      <c r="AM35" s="564"/>
      <c r="AN35" s="652"/>
      <c r="AO35" s="652"/>
      <c r="AP35" s="652"/>
      <c r="AQ35" s="652"/>
      <c r="AR35" s="652"/>
      <c r="AS35" s="702">
        <v>0</v>
      </c>
    </row>
    <row s="30764" customFormat="1" customHeight="1" ht="0">
      <c r="A36" s="1652"/>
      <c r="B36" s="1652"/>
      <c r="C36" s="1652"/>
      <c r="D36" s="1652"/>
      <c r="E36" s="1652"/>
      <c r="F36" s="1652"/>
      <c r="G36" s="1652"/>
      <c r="H36" s="1652"/>
      <c r="I36" s="1652"/>
      <c r="J36" s="1652"/>
      <c r="K36" s="1652"/>
      <c r="L36" s="1653"/>
      <c r="M36" s="1652"/>
      <c r="N36" s="1652"/>
      <c r="O36" s="1652"/>
      <c r="S36" s="607"/>
      <c r="T36" s="607"/>
      <c r="U36" s="1624"/>
      <c r="V36" s="610"/>
      <c r="W36" s="610"/>
      <c r="X36" s="610"/>
      <c r="Y36" s="610"/>
      <c r="Z36" s="610"/>
      <c r="AA36" s="610"/>
      <c r="AB36" s="610"/>
      <c r="AC36" s="562" t="s">
        <v>484</v>
      </c>
      <c r="AD36" s="610"/>
      <c r="AE36" s="610"/>
      <c r="AF36" s="610"/>
      <c r="AG36" s="610"/>
      <c r="AH36" s="610"/>
      <c r="AI36" s="610"/>
      <c r="AJ36" s="610"/>
      <c r="AK36" s="562" t="s">
        <v>484</v>
      </c>
      <c r="AN36" s="652"/>
      <c r="AO36" s="652"/>
      <c r="AP36" s="652"/>
      <c r="AQ36" s="652"/>
      <c r="AR36" s="652"/>
      <c r="AS36" s="702">
        <v>0</v>
      </c>
    </row>
    <row customHeight="1" ht="14.699999999999998">
      <c r="Q37" s="660"/>
      <c r="R37" s="660"/>
      <c r="S37" s="1559"/>
      <c r="T37" s="647"/>
      <c r="U37" s="1528"/>
      <c r="V37" s="2536"/>
      <c r="W37" s="2536"/>
      <c r="X37" s="2536"/>
      <c r="Y37" s="2536"/>
      <c r="Z37" s="2536"/>
      <c r="AA37" s="2536"/>
      <c r="AB37" s="2536"/>
      <c r="AC37" s="2536"/>
      <c r="AD37" s="2536"/>
      <c r="AE37" s="2536"/>
      <c r="AF37" s="2536"/>
      <c r="AG37" s="2536"/>
      <c r="AH37" s="2536"/>
      <c r="AI37" s="2536"/>
      <c r="AJ37" s="2536"/>
      <c r="AK37" s="2536"/>
      <c r="AS37" s="1439">
        <v>14</v>
      </c>
    </row>
    <row customHeight="1" ht="14.699999999999998">
      <c r="Q38" s="660"/>
      <c r="R38" s="660"/>
      <c r="S38" s="2411" t="s">
        <v>360</v>
      </c>
      <c r="T38" s="2411"/>
      <c r="U38" s="2411"/>
      <c r="V38" s="2411"/>
      <c r="W38" s="2411"/>
      <c r="X38" s="2411"/>
      <c r="Y38" s="2411"/>
      <c r="Z38" s="2411"/>
      <c r="AA38" s="2411"/>
      <c r="AB38" s="2411"/>
      <c r="AC38" s="2411"/>
      <c r="AD38" s="2411"/>
      <c r="AE38" s="2411"/>
      <c r="AF38" s="2411"/>
      <c r="AG38" s="2411"/>
      <c r="AH38" s="2411"/>
      <c r="AI38" s="2411"/>
      <c r="AJ38" s="2411"/>
      <c r="AK38" s="2411"/>
      <c r="AL38" s="2411"/>
      <c r="AM38" s="2411" t="s">
        <v>361</v>
      </c>
      <c r="AS38" s="1439">
        <v>14</v>
      </c>
    </row>
    <row customHeight="1" ht="14.699999999999998">
      <c r="Q39" s="660"/>
      <c r="R39" s="660"/>
      <c r="S39" s="2557" t="s">
        <v>91</v>
      </c>
      <c r="T39" s="2493" t="s">
        <v>485</v>
      </c>
      <c r="U39" s="585"/>
      <c r="V39" s="2558" t="s">
        <v>486</v>
      </c>
      <c r="W39" s="2559"/>
      <c r="X39" s="2559"/>
      <c r="Y39" s="2559"/>
      <c r="Z39" s="2559"/>
      <c r="AA39" s="2559"/>
      <c r="AB39" s="2560"/>
      <c r="AC39" s="2561" t="s">
        <v>487</v>
      </c>
      <c r="AD39" s="2558" t="s">
        <v>486</v>
      </c>
      <c r="AE39" s="2559"/>
      <c r="AF39" s="2559"/>
      <c r="AG39" s="2559"/>
      <c r="AH39" s="2559"/>
      <c r="AI39" s="2559"/>
      <c r="AJ39" s="2560"/>
      <c r="AK39" s="2561" t="s">
        <v>488</v>
      </c>
      <c r="AL39" s="2564" t="s">
        <v>489</v>
      </c>
      <c r="AM39" s="2411"/>
      <c r="AS39" s="1439">
        <v>14</v>
      </c>
    </row>
    <row customHeight="1" ht="35.699999999999996">
      <c r="Q40" s="660"/>
      <c r="R40" s="660"/>
      <c r="S40" s="2557"/>
      <c r="T40" s="2493"/>
      <c r="U40" s="1315"/>
      <c r="V40" s="2544" t="s">
        <v>490</v>
      </c>
      <c r="W40" s="2567"/>
      <c r="X40" s="2546" t="s">
        <v>492</v>
      </c>
      <c r="Y40" s="2547"/>
      <c r="Z40" s="2546" t="s">
        <v>493</v>
      </c>
      <c r="AA40" s="2553"/>
      <c r="AB40" s="2547"/>
      <c r="AC40" s="2562"/>
      <c r="AD40" s="2544" t="s">
        <v>506</v>
      </c>
      <c r="AE40" s="2567"/>
      <c r="AF40" s="2546" t="s">
        <v>492</v>
      </c>
      <c r="AG40" s="2547"/>
      <c r="AH40" s="2546" t="s">
        <v>493</v>
      </c>
      <c r="AI40" s="2553"/>
      <c r="AJ40" s="2547"/>
      <c r="AK40" s="2562"/>
      <c r="AL40" s="2565"/>
      <c r="AM40" s="2411"/>
      <c r="AS40" s="1439">
        <v>34</v>
      </c>
    </row>
    <row customHeight="1" ht="35.699999999999996">
      <c r="A41" s="1654"/>
      <c r="B41" s="1654" t="s">
        <v>165</v>
      </c>
      <c r="C41" s="1654" t="s">
        <v>166</v>
      </c>
      <c r="D41" s="1654" t="s">
        <v>167</v>
      </c>
      <c r="E41" s="1648" t="s">
        <v>494</v>
      </c>
      <c r="F41" s="1648" t="s">
        <v>495</v>
      </c>
      <c r="G41" s="1648" t="s">
        <v>496</v>
      </c>
      <c r="H41" s="1648" t="s">
        <v>497</v>
      </c>
      <c r="I41" s="1648" t="s">
        <v>498</v>
      </c>
      <c r="J41" s="1648" t="s">
        <v>499</v>
      </c>
      <c r="K41" s="1648" t="s">
        <v>500</v>
      </c>
      <c r="L41" s="1648" t="s">
        <v>475</v>
      </c>
      <c r="Q41" s="660"/>
      <c r="R41" s="660"/>
      <c r="S41" s="2557"/>
      <c r="T41" s="2493"/>
      <c r="U41" s="586"/>
      <c r="V41" s="2545"/>
      <c r="W41" s="2568"/>
      <c r="X41" s="1506" t="s">
        <v>501</v>
      </c>
      <c r="Y41" s="1506" t="s">
        <v>502</v>
      </c>
      <c r="Z41" s="1622" t="s">
        <v>503</v>
      </c>
      <c r="AA41" s="2554" t="s">
        <v>504</v>
      </c>
      <c r="AB41" s="2555"/>
      <c r="AC41" s="2563"/>
      <c r="AD41" s="2545"/>
      <c r="AE41" s="2568"/>
      <c r="AF41" s="1506" t="s">
        <v>501</v>
      </c>
      <c r="AG41" s="1506" t="s">
        <v>502</v>
      </c>
      <c r="AH41" s="1622" t="s">
        <v>503</v>
      </c>
      <c r="AI41" s="2554" t="s">
        <v>504</v>
      </c>
      <c r="AJ41" s="2555"/>
      <c r="AK41" s="2563"/>
      <c r="AL41" s="2566"/>
      <c r="AM41" s="2411"/>
      <c r="AS41" s="1439">
        <v>34</v>
      </c>
    </row>
    <row s="31261" customFormat="1" customHeight="1" ht="11.25" hidden="1">
      <c r="A42" s="1654"/>
      <c r="B42" s="1654"/>
      <c r="C42" s="1654"/>
      <c r="D42" s="1654"/>
      <c r="E42" s="1654"/>
      <c r="F42" s="1654"/>
      <c r="G42" s="1654"/>
      <c r="H42" s="1654"/>
      <c r="I42" s="1654"/>
      <c r="J42" s="1654"/>
      <c r="K42" s="1654"/>
      <c r="L42" s="1648"/>
      <c r="M42" s="1646"/>
      <c r="N42" s="1646"/>
      <c r="O42" s="1646"/>
      <c r="P42" s="1530"/>
      <c r="Q42" s="1531"/>
      <c r="R42" s="1538">
        <v>1</v>
      </c>
      <c r="S42" s="1561" t="s">
        <v>141</v>
      </c>
      <c r="T42" s="1539" t="s">
        <v>105</v>
      </c>
      <c r="U42" s="1529" t="str">
        <f>OFFSET(U42,0,-1)</f>
        <v>2</v>
      </c>
      <c r="V42" s="1619">
        <f>OFFSET(V42,0,-1)+1</f>
        <v>3</v>
      </c>
      <c r="W42" s="1619"/>
      <c r="X42" s="1619">
        <f>OFFSET(X42,0,-1)+1</f>
        <v>1</v>
      </c>
      <c r="Y42" s="1619">
        <f>OFFSET(Y42,0,-1)+1</f>
        <v>2</v>
      </c>
      <c r="Z42" s="1619">
        <f>OFFSET(Z42,0,-1)+1</f>
        <v>3</v>
      </c>
      <c r="AA42" s="2556">
        <f>OFFSET(AA42,0,-1)+1</f>
        <v>4</v>
      </c>
      <c r="AB42" s="2556"/>
      <c r="AC42" s="1619">
        <f>OFFSET(AC42,0,-2)+1</f>
        <v>5</v>
      </c>
      <c r="AD42" s="1619">
        <f>OFFSET(AD42,0,-1)+1</f>
        <v>6</v>
      </c>
      <c r="AE42" s="1619"/>
      <c r="AF42" s="1619">
        <f>OFFSET(AF42,0,-1)+1</f>
        <v>1</v>
      </c>
      <c r="AG42" s="1619">
        <f>OFFSET(AG42,0,-1)+1</f>
        <v>2</v>
      </c>
      <c r="AH42" s="1619">
        <f>OFFSET(AH42,0,-1)+1</f>
        <v>3</v>
      </c>
      <c r="AI42" s="2556">
        <f>OFFSET(AI42,0,-1)+1</f>
        <v>4</v>
      </c>
      <c r="AJ42" s="2556"/>
      <c r="AK42" s="1619">
        <f>OFFSET(AK42,0,-2)+1</f>
        <v>5</v>
      </c>
      <c r="AL42" s="1529">
        <f>OFFSET(AL42,0,-1)</f>
        <v>5</v>
      </c>
      <c r="AM42" s="1619">
        <f>OFFSET(AM42,0,-1)+1</f>
        <v>6</v>
      </c>
      <c r="AN42" s="795"/>
      <c r="AO42" s="795"/>
      <c r="AP42" s="795"/>
      <c r="AQ42" s="795"/>
      <c r="AR42" s="795"/>
      <c r="AS42" s="780">
        <v>0</v>
      </c>
    </row>
    <row customHeight="1" ht="22.049999999999997">
      <c r="A43" s="1647" t="s">
        <v>248</v>
      </c>
      <c r="B43" s="1647"/>
      <c r="C43" s="1647"/>
      <c r="D43" s="1647"/>
      <c r="E43" s="2542">
        <v>1</v>
      </c>
      <c r="F43" s="1647"/>
      <c r="G43" s="1647"/>
      <c r="H43" s="1647"/>
      <c r="I43" s="1647"/>
      <c r="J43" s="1647"/>
      <c r="K43" s="1647"/>
      <c r="L43" s="1648"/>
      <c r="M43" s="1649"/>
      <c r="N43" s="1649"/>
      <c r="O43" s="1649"/>
      <c r="P43" s="645"/>
      <c r="Q43" s="644"/>
      <c r="R43" s="639"/>
      <c r="S43" s="1620">
        <f>INDEX(PT_DIFFERENTIATION_NUM_NTAR,MATCH(A43,PT_DIFFERENTIATION_NTAR_ID,0))</f>
        <v>0</v>
      </c>
      <c r="T43" s="582" t="s">
        <v>153</v>
      </c>
      <c r="U43" s="584"/>
      <c r="V43" s="2526"/>
      <c r="W43" s="2527"/>
      <c r="X43" s="2527"/>
      <c r="Y43" s="2527"/>
      <c r="Z43" s="2527"/>
      <c r="AA43" s="2527"/>
      <c r="AB43" s="2527"/>
      <c r="AC43" s="2528"/>
      <c r="AD43" s="2526" t="str">
        <f>INDEX(PT_DIFFERENTIATION_NTAR,MATCH(A43,PT_DIFFERENTIATION_NTAR_ID,0))</f>
        <v/>
      </c>
      <c r="AE43" s="2527"/>
      <c r="AF43" s="2527"/>
      <c r="AG43" s="2527"/>
      <c r="AH43" s="2527"/>
      <c r="AI43" s="2527"/>
      <c r="AJ43" s="2527"/>
      <c r="AK43" s="2527"/>
      <c r="AL43" s="2528"/>
      <c r="AM43" s="154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784"/>
      <c r="AP43" s="784" t="str">
        <f>IF(T43="","",T43)</f>
        <v>Наименование тарифа</v>
      </c>
      <c r="AQ43" s="784"/>
      <c r="AR43" s="784"/>
      <c r="AS43" s="1439">
        <v>21</v>
      </c>
    </row>
    <row customHeight="1" ht="22.049999999999997">
      <c r="A44" s="1647" t="s">
        <v>248</v>
      </c>
      <c r="B44" s="1647" t="s">
        <v>249</v>
      </c>
      <c r="C44" s="1647"/>
      <c r="D44" s="1647"/>
      <c r="E44" s="2543"/>
      <c r="F44" s="2542">
        <v>1</v>
      </c>
      <c r="G44" s="1647"/>
      <c r="H44" s="1647"/>
      <c r="I44" s="1647"/>
      <c r="J44" s="1647"/>
      <c r="K44" s="1647"/>
      <c r="L44" s="1648"/>
      <c r="M44" s="1649"/>
      <c r="N44" s="1649"/>
      <c r="O44" s="1649"/>
      <c r="P44" s="1616"/>
      <c r="Q44" s="636"/>
      <c r="R44" s="637"/>
      <c r="S44" s="1620" t="str">
        <f>INDEX(PT_DIFFERENTIATION_NUM_TER,MATCH(B44,PT_DIFFERENTIATION_TER_ID,0))</f>
        <v>.</v>
      </c>
      <c r="T44" s="592" t="s">
        <v>457</v>
      </c>
      <c r="U44" s="584"/>
      <c r="V44" s="2526"/>
      <c r="W44" s="2527"/>
      <c r="X44" s="2527"/>
      <c r="Y44" s="2527"/>
      <c r="Z44" s="2527"/>
      <c r="AA44" s="2527"/>
      <c r="AB44" s="2527"/>
      <c r="AC44" s="2528"/>
      <c r="AD44" s="2526" t="str">
        <f>INDEX(PT_DIFFERENTIATION_TER,MATCH(B44,PT_DIFFERENTIATION_TER_ID,0))</f>
        <v/>
      </c>
      <c r="AE44" s="2527"/>
      <c r="AF44" s="2527"/>
      <c r="AG44" s="2527"/>
      <c r="AH44" s="2527"/>
      <c r="AI44" s="2527"/>
      <c r="AJ44" s="2527"/>
      <c r="AK44" s="2527"/>
      <c r="AL44" s="2528"/>
      <c r="AM44" s="1542" t="s">
        <v>458</v>
      </c>
      <c r="AO44" s="784"/>
      <c r="AP44" s="784" t="str">
        <f>IF(T44="","",T44)</f>
        <v>Территория действия тарифа</v>
      </c>
      <c r="AQ44" s="784"/>
      <c r="AR44" s="784"/>
      <c r="AS44" s="1439">
        <v>21</v>
      </c>
    </row>
    <row customHeight="1" ht="24">
      <c r="A45" s="1647" t="s">
        <v>248</v>
      </c>
      <c r="B45" s="1647" t="s">
        <v>249</v>
      </c>
      <c r="C45" s="1647" t="s">
        <v>250</v>
      </c>
      <c r="D45" s="1647"/>
      <c r="E45" s="2543"/>
      <c r="F45" s="2543"/>
      <c r="G45" s="2542">
        <v>1</v>
      </c>
      <c r="H45" s="1647"/>
      <c r="I45" s="1647"/>
      <c r="J45" s="1647"/>
      <c r="K45" s="1647"/>
      <c r="L45" s="1648"/>
      <c r="M45" s="1649"/>
      <c r="N45" s="1649"/>
      <c r="O45" s="1649"/>
      <c r="P45" s="638"/>
      <c r="Q45" s="636"/>
      <c r="R45" s="637"/>
      <c r="S45" s="1620" t="str">
        <f>INDEX(PT_DIFFERENTIATION_NUM_CS,MATCH(C45,PT_DIFFERENTIATION_CS_ID,0))</f>
        <v>..</v>
      </c>
      <c r="T45" s="593" t="s">
        <v>459</v>
      </c>
      <c r="U45" s="584"/>
      <c r="V45" s="2526"/>
      <c r="W45" s="2527"/>
      <c r="X45" s="2527"/>
      <c r="Y45" s="2527"/>
      <c r="Z45" s="2527"/>
      <c r="AA45" s="2527"/>
      <c r="AB45" s="2527"/>
      <c r="AC45" s="2528"/>
      <c r="AD45" s="2526" t="str">
        <f>INDEX(PT_DIFFERENTIATION_CS,MATCH(C45,PT_DIFFERENTIATION_CS_ID,0))</f>
        <v/>
      </c>
      <c r="AE45" s="2527"/>
      <c r="AF45" s="2527"/>
      <c r="AG45" s="2527"/>
      <c r="AH45" s="2527"/>
      <c r="AI45" s="2527"/>
      <c r="AJ45" s="2527"/>
      <c r="AK45" s="2527"/>
      <c r="AL45" s="2528"/>
      <c r="AM45" s="1542" t="s">
        <v>460</v>
      </c>
      <c r="AO45" s="784"/>
      <c r="AP45" s="784" t="str">
        <f>IF(T45="","",T45)</f>
        <v>Наименование системы теплоснабжения </v>
      </c>
      <c r="AQ45" s="784"/>
      <c r="AR45" s="784"/>
      <c r="AS45" s="1439">
        <v>23</v>
      </c>
    </row>
    <row customHeight="1" ht="22.049999999999997">
      <c r="A46" s="1647" t="s">
        <v>248</v>
      </c>
      <c r="B46" s="1647" t="s">
        <v>249</v>
      </c>
      <c r="C46" s="1647" t="s">
        <v>250</v>
      </c>
      <c r="D46" s="1647" t="s">
        <v>251</v>
      </c>
      <c r="E46" s="2543"/>
      <c r="F46" s="2543"/>
      <c r="G46" s="2543"/>
      <c r="H46" s="2542">
        <v>1</v>
      </c>
      <c r="I46" s="1647"/>
      <c r="J46" s="1647"/>
      <c r="K46" s="1647"/>
      <c r="L46" s="1648"/>
      <c r="M46" s="1649"/>
      <c r="N46" s="1649"/>
      <c r="O46" s="1649"/>
      <c r="P46" s="638"/>
      <c r="Q46" s="636"/>
      <c r="R46" s="637"/>
      <c r="S46" s="1620" t="str">
        <f>INDEX(PT_DIFFERENTIATION_NUM_IST_TE,MATCH(D46,PT_DIFFERENTIATION_IST_TE_ID,0))</f>
        <v>...</v>
      </c>
      <c r="T46" s="594" t="s">
        <v>461</v>
      </c>
      <c r="U46" s="584"/>
      <c r="V46" s="2526"/>
      <c r="W46" s="2527"/>
      <c r="X46" s="2527"/>
      <c r="Y46" s="2527"/>
      <c r="Z46" s="2527"/>
      <c r="AA46" s="2527"/>
      <c r="AB46" s="2527"/>
      <c r="AC46" s="2528"/>
      <c r="AD46" s="2526" t="str">
        <f>INDEX(PT_DIFFERENTIATION_IST_TE,MATCH(D46,PT_DIFFERENTIATION_IST_TE_ID,0))</f>
        <v/>
      </c>
      <c r="AE46" s="2527"/>
      <c r="AF46" s="2527"/>
      <c r="AG46" s="2527"/>
      <c r="AH46" s="2527"/>
      <c r="AI46" s="2527"/>
      <c r="AJ46" s="2527"/>
      <c r="AK46" s="2527"/>
      <c r="AL46" s="2528"/>
      <c r="AM46" s="1542" t="s">
        <v>462</v>
      </c>
      <c r="AO46" s="784"/>
      <c r="AP46" s="784" t="str">
        <f>IF(T46="","",T46)</f>
        <v>Источник тепловой энергии  </v>
      </c>
      <c r="AQ46" s="784"/>
      <c r="AR46" s="784"/>
      <c r="AS46" s="1439">
        <v>21</v>
      </c>
    </row>
    <row s="30621" customFormat="1" customHeight="1" ht="0">
      <c r="A47" s="1627" t="s">
        <v>248</v>
      </c>
      <c r="B47" s="1627" t="s">
        <v>249</v>
      </c>
      <c r="C47" s="1627" t="s">
        <v>250</v>
      </c>
      <c r="D47" s="1627" t="s">
        <v>251</v>
      </c>
      <c r="E47" s="2543"/>
      <c r="F47" s="2543"/>
      <c r="G47" s="2543"/>
      <c r="H47" s="2543"/>
      <c r="I47" s="2540" t="str">
        <f>S46&amp;".1"</f>
        <v>....1</v>
      </c>
      <c r="J47" s="1627"/>
      <c r="K47" s="1627"/>
      <c r="L47" s="1630" t="s">
        <v>463</v>
      </c>
      <c r="M47" s="794"/>
      <c r="N47" s="794"/>
      <c r="O47" s="794"/>
      <c r="P47" s="2541">
        <v>1</v>
      </c>
      <c r="Q47" s="1615"/>
      <c r="R47" s="640"/>
      <c r="S47" s="1326"/>
      <c r="T47" s="1667"/>
      <c r="U47" s="1668"/>
      <c r="V47" s="2580"/>
      <c r="W47" s="2581"/>
      <c r="X47" s="2581"/>
      <c r="Y47" s="2581"/>
      <c r="Z47" s="2581"/>
      <c r="AA47" s="2581"/>
      <c r="AB47" s="2581"/>
      <c r="AC47" s="2582"/>
      <c r="AD47" s="2580"/>
      <c r="AE47" s="2581"/>
      <c r="AF47" s="2581"/>
      <c r="AG47" s="2581"/>
      <c r="AH47" s="2581"/>
      <c r="AI47" s="2581"/>
      <c r="AJ47" s="2581"/>
      <c r="AK47" s="2581"/>
      <c r="AL47" s="2582"/>
      <c r="AM47" s="1669"/>
      <c r="AO47" s="784"/>
      <c r="AP47" s="784" t="str">
        <f>IF(T47="","",T47)</f>
        <v/>
      </c>
      <c r="AQ47" s="784"/>
      <c r="AR47" s="784"/>
      <c r="AS47" s="795">
        <v>0</v>
      </c>
    </row>
    <row customHeight="1" ht="22.049999999999997">
      <c r="A48" s="1647" t="s">
        <v>248</v>
      </c>
      <c r="B48" s="1647" t="s">
        <v>249</v>
      </c>
      <c r="C48" s="1647" t="s">
        <v>250</v>
      </c>
      <c r="D48" s="1647" t="s">
        <v>251</v>
      </c>
      <c r="E48" s="2543"/>
      <c r="F48" s="2543"/>
      <c r="G48" s="2543"/>
      <c r="H48" s="2543"/>
      <c r="I48" s="2570"/>
      <c r="J48" s="2540" t="str">
        <f>S46&amp;".1"</f>
        <v>....1</v>
      </c>
      <c r="K48" s="1647"/>
      <c r="L48" s="1648" t="s">
        <v>466</v>
      </c>
      <c r="P48" s="2541"/>
      <c r="Q48" s="2541">
        <v>1</v>
      </c>
      <c r="R48" s="641"/>
      <c r="S48" s="1620" t="str">
        <f>$J48</f>
        <v>....1</v>
      </c>
      <c r="T48" s="570" t="s">
        <v>467</v>
      </c>
      <c r="U48" s="584"/>
      <c r="V48" s="2529"/>
      <c r="W48" s="2530"/>
      <c r="X48" s="2530"/>
      <c r="Y48" s="2530"/>
      <c r="Z48" s="2530"/>
      <c r="AA48" s="2530"/>
      <c r="AB48" s="2530"/>
      <c r="AC48" s="2531"/>
      <c r="AD48" s="2529"/>
      <c r="AE48" s="2530"/>
      <c r="AF48" s="2530"/>
      <c r="AG48" s="2530"/>
      <c r="AH48" s="2530"/>
      <c r="AI48" s="2530"/>
      <c r="AJ48" s="2530"/>
      <c r="AK48" s="2530"/>
      <c r="AL48" s="2531"/>
      <c r="AM48" s="1542" t="s">
        <v>468</v>
      </c>
      <c r="AO48" s="784"/>
      <c r="AP48" s="784" t="str">
        <f>IF(T48="","",T48)</f>
        <v>Группа потребителей</v>
      </c>
      <c r="AQ48" s="784"/>
      <c r="AR48" s="784"/>
      <c r="AS48" s="1439">
        <v>21</v>
      </c>
    </row>
    <row customHeight="1" ht="22.049999999999997">
      <c r="A49" s="1647" t="s">
        <v>248</v>
      </c>
      <c r="B49" s="1647" t="s">
        <v>249</v>
      </c>
      <c r="C49" s="1647" t="s">
        <v>250</v>
      </c>
      <c r="D49" s="1647" t="s">
        <v>251</v>
      </c>
      <c r="E49" s="2543"/>
      <c r="F49" s="2543"/>
      <c r="G49" s="2543"/>
      <c r="H49" s="2543"/>
      <c r="I49" s="2570"/>
      <c r="J49" s="2570"/>
      <c r="K49" s="2540" t="str">
        <f>J48&amp;".1"</f>
        <v>....1.1</v>
      </c>
      <c r="L49" s="1648" t="s">
        <v>469</v>
      </c>
      <c r="P49" s="2541"/>
      <c r="Q49" s="2541"/>
      <c r="R49" s="641">
        <v>1</v>
      </c>
      <c r="S49" s="1620" t="str">
        <f>$K49</f>
        <v>....1.1</v>
      </c>
      <c r="T49" s="1631"/>
      <c r="U49" s="584"/>
      <c r="V49" s="1035"/>
      <c r="W49" s="609"/>
      <c r="X49" s="1035"/>
      <c r="Y49" s="1541"/>
      <c r="Z49" s="2549"/>
      <c r="AA49" s="2391" t="s">
        <v>64</v>
      </c>
      <c r="AB49" s="2549"/>
      <c r="AC49" s="2391" t="s">
        <v>64</v>
      </c>
      <c r="AD49" s="1035"/>
      <c r="AE49" s="609"/>
      <c r="AF49" s="1035"/>
      <c r="AG49" s="1541"/>
      <c r="AH49" s="2549"/>
      <c r="AI49" s="2391" t="s">
        <v>64</v>
      </c>
      <c r="AJ49" s="2571"/>
      <c r="AK49" s="2391" t="s">
        <v>64</v>
      </c>
      <c r="AL49" s="1632"/>
      <c r="AM49" s="2537" t="s">
        <v>509</v>
      </c>
      <c r="AN49" s="795">
        <f>STRCHECKDATE(V50:AL50)</f>
      </c>
      <c r="AO49" s="784"/>
      <c r="AP49" s="784" t="str">
        <f>IF(T49="","",T49)</f>
        <v/>
      </c>
      <c r="AQ49" s="784"/>
      <c r="AR49" s="784"/>
      <c r="AS49" s="1439">
        <v>21</v>
      </c>
    </row>
    <row customHeight="1" ht="0">
      <c r="A50" s="1647" t="s">
        <v>248</v>
      </c>
      <c r="B50" s="1647" t="s">
        <v>249</v>
      </c>
      <c r="C50" s="1647" t="s">
        <v>250</v>
      </c>
      <c r="D50" s="1647" t="s">
        <v>251</v>
      </c>
      <c r="E50" s="2543"/>
      <c r="F50" s="2543"/>
      <c r="G50" s="2543"/>
      <c r="H50" s="2543"/>
      <c r="I50" s="2570"/>
      <c r="J50" s="2570"/>
      <c r="K50" s="2540"/>
      <c r="L50" s="1648"/>
      <c r="P50" s="2541"/>
      <c r="Q50" s="2541"/>
      <c r="R50" s="641"/>
      <c r="S50" s="1626"/>
      <c r="T50" s="584"/>
      <c r="U50" s="584"/>
      <c r="V50" s="609"/>
      <c r="W50" s="609"/>
      <c r="X50" s="609"/>
      <c r="Y50" s="612" t="str">
        <f>Z49&amp;"-"&amp;AB49</f>
        <v>-</v>
      </c>
      <c r="Z50" s="2550"/>
      <c r="AA50" s="2391"/>
      <c r="AB50" s="2550"/>
      <c r="AC50" s="2391"/>
      <c r="AD50" s="609"/>
      <c r="AE50" s="609"/>
      <c r="AF50" s="609"/>
      <c r="AG50" s="612" t="str">
        <f>AH49&amp;"-"&amp;AJ49</f>
        <v>-</v>
      </c>
      <c r="AH50" s="2550"/>
      <c r="AI50" s="2391"/>
      <c r="AJ50" s="2572"/>
      <c r="AK50" s="2391"/>
      <c r="AL50" s="1633"/>
      <c r="AM50" s="2538"/>
      <c r="AO50" s="784"/>
      <c r="AP50" s="784" t="str">
        <f>IF(T50="","",T50)</f>
        <v/>
      </c>
      <c r="AQ50" s="784"/>
      <c r="AR50" s="784"/>
      <c r="AS50" s="1439">
        <v>0</v>
      </c>
    </row>
    <row customHeight="1" ht="11.549999999999999">
      <c r="A51" s="1647" t="s">
        <v>248</v>
      </c>
      <c r="B51" s="1647" t="s">
        <v>249</v>
      </c>
      <c r="C51" s="1647" t="s">
        <v>250</v>
      </c>
      <c r="D51" s="1647" t="s">
        <v>251</v>
      </c>
      <c r="E51" s="2543"/>
      <c r="F51" s="2543"/>
      <c r="G51" s="2543"/>
      <c r="H51" s="2543"/>
      <c r="I51" s="2570"/>
      <c r="J51" s="2540"/>
      <c r="K51" s="1647"/>
      <c r="L51" s="1648"/>
      <c r="P51" s="2541"/>
      <c r="Q51" s="2541"/>
      <c r="R51" s="640"/>
      <c r="S51" s="1562"/>
      <c r="T51" s="571" t="s">
        <v>471</v>
      </c>
      <c r="U51" s="651"/>
      <c r="V51" s="651"/>
      <c r="W51" s="651"/>
      <c r="X51" s="651"/>
      <c r="Y51" s="651"/>
      <c r="Z51" s="651"/>
      <c r="AA51" s="651"/>
      <c r="AB51" s="651"/>
      <c r="AC51" s="651"/>
      <c r="AD51" s="651"/>
      <c r="AE51" s="651"/>
      <c r="AF51" s="651"/>
      <c r="AG51" s="651"/>
      <c r="AH51" s="651"/>
      <c r="AI51" s="651"/>
      <c r="AJ51" s="651"/>
      <c r="AK51" s="651"/>
      <c r="AL51" s="608"/>
      <c r="AM51" s="2539"/>
      <c r="AO51" s="784"/>
      <c r="AP51" s="784" t="str">
        <f>IF(T51="","",T51)</f>
        <v>Добавить вид теплоносителя (параметры теплоносителя)</v>
      </c>
      <c r="AQ51" s="784"/>
      <c r="AR51" s="784"/>
      <c r="AS51" s="1439">
        <v>11</v>
      </c>
    </row>
    <row customHeight="1" ht="11.549999999999999">
      <c r="A52" s="1647" t="s">
        <v>248</v>
      </c>
      <c r="B52" s="1647" t="s">
        <v>249</v>
      </c>
      <c r="C52" s="1647" t="s">
        <v>250</v>
      </c>
      <c r="D52" s="1647" t="s">
        <v>251</v>
      </c>
      <c r="E52" s="2543"/>
      <c r="F52" s="2543"/>
      <c r="G52" s="2543"/>
      <c r="H52" s="2543"/>
      <c r="I52" s="2540"/>
      <c r="J52" s="1647"/>
      <c r="K52" s="1647"/>
      <c r="L52" s="1648"/>
      <c r="P52" s="2541"/>
      <c r="Q52" s="1615"/>
      <c r="R52" s="640"/>
      <c r="S52" s="1562"/>
      <c r="T52" s="649" t="s">
        <v>472</v>
      </c>
      <c r="U52" s="651"/>
      <c r="V52" s="651"/>
      <c r="W52" s="651"/>
      <c r="X52" s="651"/>
      <c r="Y52" s="651"/>
      <c r="Z52" s="651"/>
      <c r="AA52" s="651"/>
      <c r="AB52" s="651"/>
      <c r="AC52" s="650"/>
      <c r="AD52" s="651"/>
      <c r="AE52" s="651"/>
      <c r="AF52" s="651"/>
      <c r="AG52" s="651"/>
      <c r="AH52" s="651"/>
      <c r="AI52" s="651"/>
      <c r="AJ52" s="651"/>
      <c r="AK52" s="650"/>
      <c r="AL52" s="651"/>
      <c r="AM52" s="587"/>
      <c r="AO52" s="784"/>
      <c r="AP52" s="784" t="str">
        <f>IF(T52="","",T52)</f>
        <v>Добавить группу потребителей</v>
      </c>
      <c r="AQ52" s="784"/>
      <c r="AR52" s="784"/>
      <c r="AS52" s="1439">
        <v>11</v>
      </c>
    </row>
    <row customHeight="1" ht="0">
      <c r="A53" s="1647" t="s">
        <v>248</v>
      </c>
      <c r="B53" s="1647" t="s">
        <v>249</v>
      </c>
      <c r="C53" s="1647" t="s">
        <v>250</v>
      </c>
      <c r="D53" s="1647" t="s">
        <v>251</v>
      </c>
      <c r="E53" s="2543"/>
      <c r="F53" s="2543"/>
      <c r="G53" s="2543"/>
      <c r="H53" s="2542"/>
      <c r="I53" s="1647"/>
      <c r="J53" s="1647"/>
      <c r="K53" s="1647"/>
      <c r="L53" s="1648"/>
      <c r="M53" s="1649"/>
      <c r="N53" s="1649"/>
      <c r="O53" s="821"/>
      <c r="P53" s="644"/>
      <c r="Q53" s="659"/>
      <c r="R53" s="639"/>
      <c r="S53" s="1670"/>
      <c r="T53" s="1671"/>
      <c r="U53" s="1672"/>
      <c r="V53" s="1672"/>
      <c r="W53" s="1672"/>
      <c r="X53" s="1672"/>
      <c r="Y53" s="1672"/>
      <c r="Z53" s="1672"/>
      <c r="AA53" s="1672"/>
      <c r="AB53" s="1672"/>
      <c r="AC53" s="1672"/>
      <c r="AD53" s="1672"/>
      <c r="AE53" s="1672"/>
      <c r="AF53" s="1672"/>
      <c r="AG53" s="1672"/>
      <c r="AH53" s="1672"/>
      <c r="AI53" s="1672"/>
      <c r="AJ53" s="1672"/>
      <c r="AK53" s="1672"/>
      <c r="AL53" s="1672"/>
      <c r="AM53" s="1673"/>
      <c r="AO53" s="784"/>
      <c r="AP53" s="784" t="str">
        <f>IF(T53="","",T53)</f>
        <v/>
      </c>
      <c r="AQ53" s="784"/>
      <c r="AR53" s="784"/>
      <c r="AS53" s="1439">
        <v>0</v>
      </c>
    </row>
    <row s="30621" customFormat="1" customHeight="1" ht="0">
      <c r="A54" s="1627" t="s">
        <v>248</v>
      </c>
      <c r="B54" s="1627" t="s">
        <v>249</v>
      </c>
      <c r="C54" s="1627" t="s">
        <v>250</v>
      </c>
      <c r="D54" s="1598"/>
      <c r="E54" s="2543"/>
      <c r="F54" s="2543"/>
      <c r="G54" s="2542"/>
      <c r="H54" s="1598"/>
      <c r="I54" s="1598"/>
      <c r="J54" s="1598"/>
      <c r="K54" s="1598"/>
      <c r="L54" s="1623"/>
      <c r="M54" s="1599"/>
      <c r="N54" s="1599"/>
      <c r="P54" s="1600"/>
      <c r="Q54" s="1601"/>
      <c r="R54" s="1600"/>
      <c r="S54" s="1606"/>
      <c r="T54" s="1609" t="s">
        <v>213</v>
      </c>
      <c r="U54" s="1608"/>
      <c r="V54" s="1608"/>
      <c r="W54" s="1608"/>
      <c r="X54" s="1608"/>
      <c r="Y54" s="1608"/>
      <c r="Z54" s="1608"/>
      <c r="AA54" s="1608"/>
      <c r="AB54" s="1608"/>
      <c r="AC54" s="1608"/>
      <c r="AD54" s="1608"/>
      <c r="AE54" s="1608"/>
      <c r="AF54" s="1608"/>
      <c r="AG54" s="1608"/>
      <c r="AH54" s="1608"/>
      <c r="AI54" s="1608"/>
      <c r="AJ54" s="1608"/>
      <c r="AK54" s="1608"/>
      <c r="AL54" s="1608"/>
      <c r="AM54" s="1608"/>
      <c r="AO54" s="1073"/>
      <c r="AP54" s="1073" t="str">
        <f>IF(T54="","",T54)</f>
        <v>Добавить источник для дифференциации</v>
      </c>
      <c r="AQ54" s="1073"/>
      <c r="AR54" s="1073"/>
      <c r="AS54" s="802">
        <v>0</v>
      </c>
    </row>
    <row s="30621" customFormat="1" customHeight="1" ht="0">
      <c r="A55" s="1627" t="s">
        <v>248</v>
      </c>
      <c r="B55" s="1627" t="s">
        <v>249</v>
      </c>
      <c r="C55" s="1598"/>
      <c r="D55" s="1598"/>
      <c r="E55" s="2543"/>
      <c r="F55" s="2542"/>
      <c r="G55" s="1598"/>
      <c r="H55" s="1598"/>
      <c r="I55" s="1598"/>
      <c r="J55" s="1598"/>
      <c r="K55" s="1598"/>
      <c r="L55" s="1623"/>
      <c r="M55" s="1605"/>
      <c r="N55" s="1605"/>
      <c r="P55" s="1600"/>
      <c r="Q55" s="1601"/>
      <c r="R55" s="1600"/>
      <c r="S55" s="1606"/>
      <c r="T55" s="1609" t="s">
        <v>214</v>
      </c>
      <c r="U55" s="1608"/>
      <c r="V55" s="1608"/>
      <c r="W55" s="1608"/>
      <c r="X55" s="1608"/>
      <c r="Y55" s="1608"/>
      <c r="Z55" s="1608"/>
      <c r="AA55" s="1608"/>
      <c r="AB55" s="1608"/>
      <c r="AC55" s="1608"/>
      <c r="AD55" s="1608"/>
      <c r="AE55" s="1608"/>
      <c r="AF55" s="1608"/>
      <c r="AG55" s="1608"/>
      <c r="AH55" s="1608"/>
      <c r="AI55" s="1608"/>
      <c r="AJ55" s="1608"/>
      <c r="AK55" s="1608"/>
      <c r="AL55" s="1608"/>
      <c r="AM55" s="1608"/>
      <c r="AO55" s="1073"/>
      <c r="AP55" s="1073" t="str">
        <f>IF(T55="","",T55)</f>
        <v>Добавить централизованную систему для дифференциации</v>
      </c>
      <c r="AQ55" s="1073"/>
      <c r="AR55" s="1073"/>
      <c r="AS55" s="802">
        <v>0</v>
      </c>
    </row>
    <row s="30621" customFormat="1" customHeight="1" ht="0">
      <c r="A56" s="1627" t="s">
        <v>248</v>
      </c>
      <c r="B56" s="1627"/>
      <c r="C56" s="1627"/>
      <c r="D56" s="1627"/>
      <c r="E56" s="2542"/>
      <c r="F56" s="1627"/>
      <c r="G56" s="1627"/>
      <c r="H56" s="1627"/>
      <c r="I56" s="1627"/>
      <c r="J56" s="1627"/>
      <c r="K56" s="1627"/>
      <c r="L56" s="1630"/>
      <c r="M56" s="1605"/>
      <c r="N56" s="1605"/>
      <c r="O56" s="802"/>
      <c r="P56" s="664"/>
      <c r="Q56" s="1628"/>
      <c r="R56" s="664"/>
      <c r="S56" s="1606"/>
      <c r="T56" s="1609" t="s">
        <v>230</v>
      </c>
      <c r="U56" s="1608"/>
      <c r="V56" s="1608"/>
      <c r="W56" s="1608"/>
      <c r="X56" s="1608"/>
      <c r="Y56" s="1608"/>
      <c r="Z56" s="1608"/>
      <c r="AA56" s="1608"/>
      <c r="AB56" s="1608"/>
      <c r="AC56" s="1608"/>
      <c r="AD56" s="1608"/>
      <c r="AE56" s="1608"/>
      <c r="AF56" s="1608"/>
      <c r="AG56" s="1608"/>
      <c r="AH56" s="1608"/>
      <c r="AI56" s="1608"/>
      <c r="AJ56" s="1608"/>
      <c r="AK56" s="1608"/>
      <c r="AL56" s="1608"/>
      <c r="AM56" s="1608"/>
      <c r="AO56" s="784"/>
      <c r="AP56" s="784" t="str">
        <f>IF(T56="","",T56)</f>
        <v>Добавить территорию для дифференциации</v>
      </c>
      <c r="AQ56" s="784"/>
      <c r="AR56" s="784"/>
      <c r="AS56" s="795">
        <v>0</v>
      </c>
    </row>
    <row s="30621" customFormat="1" customHeight="1" ht="4.2">
      <c r="A57" s="1598"/>
      <c r="B57" s="1598"/>
      <c r="C57" s="1598"/>
      <c r="D57" s="1598"/>
      <c r="E57" s="1627"/>
      <c r="F57" s="1598"/>
      <c r="G57" s="1598"/>
      <c r="H57" s="1598"/>
      <c r="I57" s="1598"/>
      <c r="J57" s="1598"/>
      <c r="K57" s="1598"/>
      <c r="L57" s="1623"/>
      <c r="M57" s="1605"/>
      <c r="N57" s="1605"/>
      <c r="P57" s="1600"/>
      <c r="Q57" s="1601"/>
      <c r="R57" s="1600"/>
      <c r="S57" s="1606"/>
      <c r="T57" s="1609" t="s">
        <v>239</v>
      </c>
      <c r="U57" s="1608"/>
      <c r="V57" s="1608"/>
      <c r="W57" s="1608"/>
      <c r="X57" s="1608"/>
      <c r="Y57" s="1608"/>
      <c r="Z57" s="1608"/>
      <c r="AA57" s="1608"/>
      <c r="AB57" s="1608"/>
      <c r="AC57" s="1608"/>
      <c r="AD57" s="1608"/>
      <c r="AE57" s="1608"/>
      <c r="AF57" s="1608"/>
      <c r="AG57" s="1608"/>
      <c r="AH57" s="1608"/>
      <c r="AI57" s="1608"/>
      <c r="AJ57" s="1608"/>
      <c r="AK57" s="1608"/>
      <c r="AL57" s="1608"/>
      <c r="AM57" s="1608"/>
      <c r="AO57" s="1073"/>
      <c r="AP57" s="1073" t="str">
        <f>IF(T57="","",T57)</f>
        <v>Добавить наименование тарифа</v>
      </c>
      <c r="AQ57" s="1073"/>
      <c r="AR57" s="1073"/>
      <c r="AS57" s="802">
        <v>4</v>
      </c>
    </row>
    <row customHeight="1" ht="11.549999999999999">
      <c r="M58" s="1444"/>
      <c r="N58" s="1444"/>
      <c r="O58" s="821"/>
      <c r="P58" s="1439"/>
      <c r="Q58" s="1439"/>
      <c r="R58" s="1439"/>
      <c r="S58" s="1439"/>
      <c r="AN58" s="1439"/>
      <c r="AO58" s="1439"/>
      <c r="AP58" s="1439"/>
      <c r="AQ58" s="1439"/>
      <c r="AR58" s="1439"/>
      <c r="AS58" s="1439">
        <v>11</v>
      </c>
    </row>
    <row customHeight="1" ht="14.699999999999998">
      <c r="O59" s="821"/>
      <c r="S59" s="1537"/>
      <c r="T59" s="2569"/>
      <c r="U59" s="2569"/>
      <c r="V59" s="2569"/>
      <c r="W59" s="2569"/>
      <c r="X59" s="2569"/>
      <c r="Y59" s="2569"/>
      <c r="Z59" s="2569"/>
      <c r="AA59" s="2569"/>
      <c r="AB59" s="2569"/>
      <c r="AC59" s="2569"/>
      <c r="AD59" s="2569"/>
      <c r="AE59" s="2569"/>
      <c r="AF59" s="2569"/>
      <c r="AG59" s="2569"/>
      <c r="AH59" s="2569"/>
      <c r="AI59" s="2569"/>
      <c r="AJ59" s="2569"/>
      <c r="AK59" s="2569"/>
      <c r="AL59" s="2569"/>
      <c r="AM59" s="2569"/>
      <c r="AS59" s="1439">
        <v>14</v>
      </c>
    </row>
    <row customHeight="1" ht="14.699999999999998">
      <c r="O60" s="821"/>
      <c r="T60" s="2569"/>
      <c r="U60" s="2569"/>
      <c r="V60" s="2569"/>
      <c r="W60" s="2569"/>
      <c r="X60" s="2569"/>
      <c r="Y60" s="2569"/>
      <c r="Z60" s="2569"/>
      <c r="AA60" s="2569"/>
      <c r="AB60" s="2569"/>
      <c r="AC60" s="2569"/>
      <c r="AD60" s="2569"/>
      <c r="AE60" s="2569"/>
      <c r="AF60" s="2569"/>
      <c r="AG60" s="2569"/>
      <c r="AH60" s="2569"/>
      <c r="AI60" s="2569"/>
      <c r="AJ60" s="2569"/>
      <c r="AK60" s="2569"/>
      <c r="AL60" s="2569"/>
      <c r="AM60" s="2569"/>
      <c r="AS60" s="1439">
        <v>14</v>
      </c>
    </row>
    <row customHeight="1" ht="14.699999999999998">
      <c r="O61" s="821"/>
      <c r="T61" s="2569"/>
      <c r="U61" s="2569"/>
      <c r="V61" s="2569"/>
      <c r="W61" s="2569"/>
      <c r="X61" s="2569"/>
      <c r="Y61" s="2569"/>
      <c r="Z61" s="2569"/>
      <c r="AA61" s="2569"/>
      <c r="AB61" s="2569"/>
      <c r="AC61" s="2569"/>
      <c r="AD61" s="2569"/>
      <c r="AE61" s="2569"/>
      <c r="AF61" s="2569"/>
      <c r="AG61" s="2569"/>
      <c r="AH61" s="2569"/>
      <c r="AI61" s="2569"/>
      <c r="AJ61" s="2569"/>
      <c r="AK61" s="2569"/>
      <c r="AL61" s="2569"/>
      <c r="AM61" s="2569"/>
      <c r="AS61" s="1439">
        <v>14</v>
      </c>
    </row>
    <row customHeight="1" ht="14.699999999999998">
      <c r="O62" s="821"/>
      <c r="AS62" s="1439">
        <v>14</v>
      </c>
    </row>
    <row customHeight="1" ht="14.699999999999998">
      <c r="O63" s="821"/>
      <c r="S63" s="1537"/>
      <c r="T63" s="2583"/>
      <c r="U63" s="2569"/>
      <c r="V63" s="2569"/>
      <c r="W63" s="2569"/>
      <c r="X63" s="2569"/>
      <c r="Y63" s="2569"/>
      <c r="Z63" s="2569"/>
      <c r="AA63" s="2569"/>
      <c r="AB63" s="2569"/>
      <c r="AC63" s="2569"/>
      <c r="AD63" s="2569"/>
      <c r="AE63" s="2569"/>
      <c r="AF63" s="2569"/>
      <c r="AG63" s="2569"/>
      <c r="AH63" s="2569"/>
      <c r="AI63" s="2569"/>
      <c r="AJ63" s="2569"/>
      <c r="AK63" s="2569"/>
      <c r="AL63" s="2569"/>
      <c r="AM63" s="2569"/>
      <c r="AS63" s="1439">
        <v>14</v>
      </c>
    </row>
    <row customHeight="1" ht="14.699999999999998">
      <c r="O64" s="821"/>
      <c r="T64" s="2569"/>
      <c r="U64" s="2569"/>
      <c r="V64" s="2569"/>
      <c r="W64" s="2569"/>
      <c r="X64" s="2569"/>
      <c r="Y64" s="2569"/>
      <c r="Z64" s="2569"/>
      <c r="AA64" s="2569"/>
      <c r="AB64" s="2569"/>
      <c r="AC64" s="2569"/>
      <c r="AD64" s="2569"/>
      <c r="AE64" s="2569"/>
      <c r="AF64" s="2569"/>
      <c r="AG64" s="2569"/>
      <c r="AH64" s="2569"/>
      <c r="AI64" s="2569"/>
      <c r="AJ64" s="2569"/>
      <c r="AK64" s="2569"/>
      <c r="AL64" s="2569"/>
      <c r="AM64" s="2569"/>
      <c r="AS64" s="1439">
        <v>14</v>
      </c>
    </row>
    <row customHeight="1" ht="14.699999999999998">
      <c r="T65" s="2569"/>
      <c r="U65" s="2569"/>
      <c r="V65" s="2569"/>
      <c r="W65" s="2569"/>
      <c r="X65" s="2569"/>
      <c r="Y65" s="2569"/>
      <c r="Z65" s="2569"/>
      <c r="AA65" s="2569"/>
      <c r="AB65" s="2569"/>
      <c r="AC65" s="2569"/>
      <c r="AD65" s="2569"/>
      <c r="AE65" s="2569"/>
      <c r="AF65" s="2569"/>
      <c r="AG65" s="2569"/>
      <c r="AH65" s="2569"/>
      <c r="AI65" s="2569"/>
      <c r="AJ65" s="2569"/>
      <c r="AK65" s="2569"/>
      <c r="AL65" s="2569"/>
      <c r="AM65" s="2569"/>
      <c r="AS65" s="1439">
        <v>14</v>
      </c>
    </row>
    <row customHeight="1" ht="22.5" hidden="1">
      <c r="A66" s="1444" t="s">
        <v>85</v>
      </c>
      <c r="B66" s="1444">
        <v>0</v>
      </c>
      <c r="C66" s="1444">
        <v>0</v>
      </c>
      <c r="D66" s="1444">
        <v>0</v>
      </c>
      <c r="E66" s="1444">
        <v>0</v>
      </c>
      <c r="F66" s="1444">
        <v>0</v>
      </c>
      <c r="G66" s="1444">
        <v>0</v>
      </c>
      <c r="H66" s="1444">
        <v>0</v>
      </c>
      <c r="I66" s="1444">
        <v>0</v>
      </c>
      <c r="J66" s="1444">
        <v>0</v>
      </c>
      <c r="K66" s="1444">
        <v>0</v>
      </c>
      <c r="L66" s="1613">
        <v>0</v>
      </c>
      <c r="M66" s="1646">
        <v>0</v>
      </c>
      <c r="N66" s="1646">
        <v>0</v>
      </c>
      <c r="O66" s="1646">
        <v>0</v>
      </c>
      <c r="P66" s="1612">
        <v>0</v>
      </c>
      <c r="Q66" s="628">
        <v>3</v>
      </c>
      <c r="R66" s="628">
        <v>3</v>
      </c>
      <c r="S66" s="865">
        <v>12</v>
      </c>
      <c r="T66" s="1439">
        <v>31</v>
      </c>
      <c r="U66" s="1439">
        <v>0</v>
      </c>
      <c r="V66" s="1439">
        <v>0</v>
      </c>
      <c r="W66" s="1439">
        <v>0</v>
      </c>
      <c r="X66" s="1439">
        <v>0</v>
      </c>
      <c r="Y66" s="1439">
        <v>0</v>
      </c>
      <c r="Z66" s="1439">
        <v>0</v>
      </c>
      <c r="AA66" s="1439">
        <v>0</v>
      </c>
      <c r="AB66" s="1439">
        <v>0</v>
      </c>
      <c r="AC66" s="1439">
        <v>0</v>
      </c>
      <c r="AD66" s="1439">
        <v>24</v>
      </c>
      <c r="AE66" s="1439">
        <v>0</v>
      </c>
      <c r="AF66" s="1439">
        <v>24</v>
      </c>
      <c r="AG66" s="1439">
        <v>24</v>
      </c>
      <c r="AH66" s="1439">
        <v>11</v>
      </c>
      <c r="AI66" s="1439">
        <v>3</v>
      </c>
      <c r="AJ66" s="1439">
        <v>11</v>
      </c>
      <c r="AK66" s="1439">
        <v>0</v>
      </c>
      <c r="AL66" s="1439">
        <v>4</v>
      </c>
      <c r="AM66" s="1439">
        <v>115</v>
      </c>
      <c r="AN66" s="795">
        <v>10</v>
      </c>
      <c r="AO66" s="795">
        <v>10</v>
      </c>
      <c r="AP66" s="795">
        <v>10</v>
      </c>
      <c r="AQ66" s="795">
        <v>10</v>
      </c>
      <c r="AR66" s="795">
        <v>10</v>
      </c>
      <c r="AS66" s="1439">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6F76E4-8F98-40F8-4B47-E0E5CDA7EEC8}" mc:Ignorable="x14ac xr xr2 xr3">
  <sheetPr>
    <tabColor theme="6" tint="0.4"/>
  </sheetPr>
  <dimension ref="A1:EI208"/>
  <sheetViews>
    <sheetView showGridLines="0" zoomScale="90" workbookViewId="0">
      <pane xSplit="32" ySplit="48" topLeftCell="BC91" activePane="bottomRight" state="frozen"/>
      <selection pane="bottomLeft" activeCell="A49" sqref="A49"/>
      <selection pane="topRight" activeCell="AG1" sqref="AG1"/>
      <selection pane="bottomRight" activeCell="BI81" sqref="BI81"/>
    </sheetView>
  </sheetViews>
  <sheetFormatPr defaultColWidth="10.57421875" customHeight="1" defaultRowHeight="14.25"/>
  <cols>
    <col min="1" max="1" style="30541" width="10.57421875" hidden="1"/>
    <col min="2" max="2" style="30541" width="11.00390625" hidden="1" customWidth="1"/>
    <col min="3" max="3" style="30541" width="10.57421875" hidden="1"/>
    <col min="4" max="4" style="30541" width="11.8515625" hidden="1" customWidth="1"/>
    <col min="5" max="5" style="30541" width="10.00390625" hidden="1" customWidth="1"/>
    <col min="6" max="6" style="30541" width="8.7109375" hidden="1" customWidth="1"/>
    <col min="7" max="7" style="30541" width="7.57421875" hidden="1" customWidth="1"/>
    <col min="8" max="8" style="30541" width="11.421875" hidden="1" customWidth="1"/>
    <col min="9" max="9" style="30541" width="12.00390625" hidden="1" customWidth="1"/>
    <col min="10" max="10" style="30541" width="9.8515625" hidden="1" customWidth="1"/>
    <col min="11" max="12" style="30541" width="11.421875" hidden="1" customWidth="1"/>
    <col min="13" max="13" style="30618" width="19.140625" hidden="1" customWidth="1"/>
    <col min="14" max="15" style="31504" width="12.28125" hidden="1" customWidth="1"/>
    <col min="16" max="16" style="31504" width="23.421875" hidden="1" customWidth="1"/>
    <col min="17" max="17" style="31504" width="3.7109375" hidden="1" customWidth="1"/>
    <col min="18" max="20" style="31505" width="3.00390625" customWidth="1"/>
    <col min="21" max="21" style="31506" width="12.00390625" customWidth="1"/>
    <col min="22" max="22" style="30541" width="31.00390625" customWidth="1"/>
    <col min="23" max="23" style="30541" width="0.140625" customWidth="1"/>
    <col min="24" max="28" style="30541" width="21.7109375" hidden="1" customWidth="1"/>
    <col min="29" max="29" style="30541" width="11.7109375" hidden="1" customWidth="1"/>
    <col min="30" max="30" style="30541" width="3.7109375" hidden="1" customWidth="1"/>
    <col min="31" max="31" style="30541" width="11.7109375" hidden="1" customWidth="1"/>
    <col min="32" max="32" style="30541" width="8.57421875" hidden="1" customWidth="1"/>
    <col min="33" max="33" style="30541" width="21.7109375" customWidth="1"/>
    <col min="34" max="37" style="30541" width="21.00390625" customWidth="1"/>
    <col min="38" max="38" style="30541" width="11.00390625" customWidth="1"/>
    <col min="39" max="39" style="30541" width="3.7109375" customWidth="1"/>
    <col min="40" max="40" style="30541" width="11.00390625" customWidth="1"/>
    <col min="41" max="41" style="30541" width="8.57421875" customWidth="1"/>
    <col min="131" max="131" style="37232" width="10.57421875" hidden="1"/>
    <col min="132" max="132" style="30541" width="4.00390625" customWidth="1"/>
    <col min="133" max="133" style="30541" width="115.00390625" customWidth="1"/>
    <col min="134" max="138" style="30621" width="10.00390625" customWidth="1"/>
    <col min="139" max="139" style="30541" width="10.57421875" hidden="1"/>
  </cols>
  <sheetData>
    <row customHeight="1" ht="22.5" hidden="1">
      <c r="AB1" s="611"/>
      <c r="AC1" s="611"/>
      <c r="AK1" s="611"/>
      <c r="AL1" s="611"/>
      <c r="AP1" s="16741"/>
      <c r="AQ1" s="16741"/>
      <c r="AR1" s="16741"/>
      <c r="AS1" s="16741"/>
      <c r="AT1" s="16741"/>
      <c r="AU1" s="16741"/>
      <c r="AV1" s="16741"/>
      <c r="AW1" s="16741"/>
      <c r="AX1" s="16741"/>
      <c r="AY1" s="16741"/>
      <c r="AZ1" s="16741"/>
      <c r="BA1" s="16741"/>
      <c r="BB1" s="16741"/>
      <c r="BC1" s="16741"/>
      <c r="BD1" s="16741"/>
      <c r="BE1" s="16741"/>
      <c r="BF1" s="16741"/>
      <c r="BG1" s="16741"/>
      <c r="BH1" s="16741"/>
      <c r="BI1" s="16741"/>
      <c r="BJ1" s="16741"/>
      <c r="BK1" s="16741"/>
      <c r="BL1" s="16741"/>
      <c r="BM1" s="16741"/>
      <c r="BN1" s="16741"/>
      <c r="BO1" s="16741"/>
      <c r="BP1" s="16741"/>
      <c r="BQ1" s="16741"/>
      <c r="BR1" s="16741"/>
      <c r="BS1" s="16741"/>
      <c r="BT1" s="16741"/>
      <c r="BU1" s="16741"/>
      <c r="BV1" s="16741"/>
      <c r="BW1" s="16741"/>
      <c r="BX1" s="16741"/>
      <c r="BY1" s="16741"/>
      <c r="BZ1" s="16741"/>
      <c r="CA1" s="16741"/>
      <c r="CB1" s="16741"/>
      <c r="CC1" s="16741"/>
      <c r="CD1" s="16741"/>
      <c r="CE1" s="16741"/>
      <c r="CF1" s="16741"/>
      <c r="CG1" s="16741"/>
      <c r="CH1" s="16741"/>
      <c r="CI1" s="16741"/>
      <c r="CJ1" s="16741"/>
      <c r="CK1" s="16741"/>
      <c r="CL1" s="16741"/>
      <c r="CM1" s="16741"/>
      <c r="CN1" s="16741"/>
      <c r="CO1" s="16741"/>
      <c r="CP1" s="16741"/>
      <c r="CQ1" s="16741"/>
      <c r="CR1" s="16741"/>
      <c r="CS1" s="16741"/>
      <c r="CT1" s="16741"/>
      <c r="CU1" s="16741"/>
      <c r="CV1" s="16741"/>
      <c r="CW1" s="16741"/>
      <c r="CX1" s="16741"/>
      <c r="CY1" s="16741"/>
      <c r="CZ1" s="16741"/>
      <c r="DA1" s="16741"/>
      <c r="DB1" s="16741"/>
      <c r="DC1" s="16741"/>
      <c r="DD1" s="16741"/>
      <c r="DE1" s="16741"/>
      <c r="DF1" s="16741"/>
      <c r="DG1" s="16741"/>
      <c r="DH1" s="16741"/>
      <c r="DI1" s="16741"/>
      <c r="DJ1" s="16741"/>
      <c r="DK1" s="16741"/>
      <c r="DL1" s="16741"/>
      <c r="DM1" s="16741"/>
      <c r="DN1" s="16741"/>
      <c r="DO1" s="16741"/>
      <c r="DP1" s="16741"/>
      <c r="DQ1" s="16741"/>
      <c r="DR1" s="16741"/>
      <c r="DS1" s="16741"/>
      <c r="DT1" s="16741"/>
      <c r="DU1" s="16741"/>
      <c r="DV1" s="16741"/>
      <c r="DW1" s="16741"/>
      <c r="DX1" s="16741"/>
      <c r="DY1" s="16741"/>
      <c r="DZ1" s="16741"/>
      <c r="EA1" s="16741"/>
      <c r="EI1" s="1439" t="s">
        <v>14</v>
      </c>
    </row>
    <row customHeight="1" ht="21" hidden="1">
      <c r="A2" s="1551"/>
      <c r="B2" s="1551"/>
      <c r="C2" s="1551"/>
      <c r="D2" s="1551"/>
      <c r="E2" s="2573">
        <v>1</v>
      </c>
      <c r="F2" s="1551"/>
      <c r="G2" s="1551"/>
      <c r="H2" s="1551"/>
      <c r="I2" s="1551"/>
      <c r="J2" s="1551"/>
      <c r="K2" s="1551"/>
      <c r="L2" s="1551"/>
      <c r="M2" s="1594"/>
      <c r="N2" s="972"/>
      <c r="O2" s="972"/>
      <c r="P2" s="972"/>
      <c r="Q2" s="645"/>
      <c r="R2" s="644"/>
      <c r="S2" s="644"/>
      <c r="T2" s="639"/>
      <c r="U2" s="1620">
        <f>INDEX(PT_DIFFERENTIATION_NUM_NTAR,MATCH(A2,PT_DIFFERENTIATION_NTAR_ID,0))</f>
      </c>
      <c r="V2" s="582" t="s">
        <v>153</v>
      </c>
      <c r="W2" s="584"/>
      <c r="X2" s="2526"/>
      <c r="Y2" s="2527"/>
      <c r="Z2" s="2527"/>
      <c r="AA2" s="2527"/>
      <c r="AB2" s="2527"/>
      <c r="AC2" s="2527"/>
      <c r="AD2" s="2527"/>
      <c r="AE2" s="2527"/>
      <c r="AF2" s="2528"/>
      <c r="AG2" s="2526">
        <f>INDEX(PT_DIFFERENTIATION_NTAR,MATCH(A2,PT_DIFFERENTIATION_NTAR_ID,0))</f>
      </c>
      <c r="AH2" s="2527"/>
      <c r="AI2" s="2527"/>
      <c r="AJ2" s="2527"/>
      <c r="AK2" s="2527"/>
      <c r="AL2" s="2527"/>
      <c r="AM2" s="2527"/>
      <c r="AN2" s="2527"/>
      <c r="AO2" s="2527"/>
      <c r="AP2" s="16743"/>
      <c r="AQ2" s="16744"/>
      <c r="AR2" s="16744"/>
      <c r="AS2" s="16744"/>
      <c r="AT2" s="16744"/>
      <c r="AU2" s="16744"/>
      <c r="AV2" s="16744"/>
      <c r="AW2" s="16744"/>
      <c r="AX2" s="16745"/>
      <c r="AY2" s="16743"/>
      <c r="AZ2" s="16744"/>
      <c r="BA2" s="16744"/>
      <c r="BB2" s="16744"/>
      <c r="BC2" s="16744"/>
      <c r="BD2" s="16744"/>
      <c r="BE2" s="16744"/>
      <c r="BF2" s="16744"/>
      <c r="BG2" s="16745"/>
      <c r="BH2" s="16743"/>
      <c r="BI2" s="16744"/>
      <c r="BJ2" s="16744"/>
      <c r="BK2" s="16744"/>
      <c r="BL2" s="16744"/>
      <c r="BM2" s="16744"/>
      <c r="BN2" s="16744"/>
      <c r="BO2" s="16744"/>
      <c r="BP2" s="16745"/>
      <c r="BQ2" s="16743"/>
      <c r="BR2" s="16744"/>
      <c r="BS2" s="16744"/>
      <c r="BT2" s="16744"/>
      <c r="BU2" s="16744"/>
      <c r="BV2" s="16744"/>
      <c r="BW2" s="16744"/>
      <c r="BX2" s="16744"/>
      <c r="BY2" s="16745"/>
      <c r="BZ2" s="16743"/>
      <c r="CA2" s="16744"/>
      <c r="CB2" s="16744"/>
      <c r="CC2" s="16744"/>
      <c r="CD2" s="16744"/>
      <c r="CE2" s="16744"/>
      <c r="CF2" s="16744"/>
      <c r="CG2" s="16744"/>
      <c r="CH2" s="16745"/>
      <c r="CI2" s="16743"/>
      <c r="CJ2" s="16744"/>
      <c r="CK2" s="16744"/>
      <c r="CL2" s="16744"/>
      <c r="CM2" s="16744"/>
      <c r="CN2" s="16744"/>
      <c r="CO2" s="16744"/>
      <c r="CP2" s="16744"/>
      <c r="CQ2" s="16745"/>
      <c r="CR2" s="16743"/>
      <c r="CS2" s="16744"/>
      <c r="CT2" s="16744"/>
      <c r="CU2" s="16744"/>
      <c r="CV2" s="16744"/>
      <c r="CW2" s="16744"/>
      <c r="CX2" s="16744"/>
      <c r="CY2" s="16744"/>
      <c r="CZ2" s="16745"/>
      <c r="DA2" s="16743"/>
      <c r="DB2" s="16744"/>
      <c r="DC2" s="16744"/>
      <c r="DD2" s="16744"/>
      <c r="DE2" s="16744"/>
      <c r="DF2" s="16744"/>
      <c r="DG2" s="16744"/>
      <c r="DH2" s="16744"/>
      <c r="DI2" s="16745"/>
      <c r="DJ2" s="16743"/>
      <c r="DK2" s="16744"/>
      <c r="DL2" s="16744"/>
      <c r="DM2" s="16744"/>
      <c r="DN2" s="16744"/>
      <c r="DO2" s="16744"/>
      <c r="DP2" s="16744"/>
      <c r="DQ2" s="16744"/>
      <c r="DR2" s="16745"/>
      <c r="DS2" s="16743"/>
      <c r="DT2" s="16744"/>
      <c r="DU2" s="16744"/>
      <c r="DV2" s="16744"/>
      <c r="DW2" s="16744"/>
      <c r="DX2" s="16744"/>
      <c r="DY2" s="16744"/>
      <c r="DZ2" s="16744"/>
      <c r="EA2" s="16745"/>
      <c r="EB2" s="2528"/>
      <c r="EC2" s="1542" t="s">
        <v>456</v>
      </c>
      <c r="EE2" s="784"/>
      <c r="EF2" s="784" t="str">
        <f>IF(V2="","",V2)</f>
        <v>Наименование тарифа</v>
      </c>
      <c r="EG2" s="784"/>
      <c r="EH2" s="784"/>
      <c r="EI2" s="1439">
        <v>0</v>
      </c>
    </row>
    <row customHeight="1" ht="21" hidden="1">
      <c r="A3" s="1551"/>
      <c r="B3" s="1551"/>
      <c r="C3" s="1551"/>
      <c r="D3" s="1551"/>
      <c r="E3" s="2574"/>
      <c r="F3" s="2573">
        <v>1</v>
      </c>
      <c r="G3" s="1551"/>
      <c r="H3" s="1551"/>
      <c r="I3" s="1551"/>
      <c r="J3" s="1551"/>
      <c r="K3" s="1551"/>
      <c r="L3" s="1551"/>
      <c r="M3" s="1594"/>
      <c r="N3" s="972"/>
      <c r="O3" s="972"/>
      <c r="P3" s="972"/>
      <c r="Q3" s="1616"/>
      <c r="R3" s="636"/>
      <c r="S3" s="793"/>
      <c r="T3" s="637"/>
      <c r="U3" s="1620">
        <f>INDEX(PT_DIFFERENTIATION_NUM_TER,MATCH(B3,PT_DIFFERENTIATION_TER_ID,0))</f>
      </c>
      <c r="V3" s="592" t="s">
        <v>457</v>
      </c>
      <c r="W3" s="584"/>
      <c r="X3" s="2526"/>
      <c r="Y3" s="2527"/>
      <c r="Z3" s="2527"/>
      <c r="AA3" s="2527"/>
      <c r="AB3" s="2527"/>
      <c r="AC3" s="2527"/>
      <c r="AD3" s="2527"/>
      <c r="AE3" s="2527"/>
      <c r="AF3" s="2528"/>
      <c r="AG3" s="2526">
        <f>INDEX(PT_DIFFERENTIATION_TER,MATCH(B3,PT_DIFFERENTIATION_TER_ID,0))</f>
      </c>
      <c r="AH3" s="2527"/>
      <c r="AI3" s="2527"/>
      <c r="AJ3" s="2527"/>
      <c r="AK3" s="2527"/>
      <c r="AL3" s="2527"/>
      <c r="AM3" s="2527"/>
      <c r="AN3" s="2527"/>
      <c r="AO3" s="2527"/>
      <c r="AP3" s="16743"/>
      <c r="AQ3" s="16744"/>
      <c r="AR3" s="16744"/>
      <c r="AS3" s="16744"/>
      <c r="AT3" s="16744"/>
      <c r="AU3" s="16744"/>
      <c r="AV3" s="16744"/>
      <c r="AW3" s="16744"/>
      <c r="AX3" s="16745"/>
      <c r="AY3" s="16743"/>
      <c r="AZ3" s="16744"/>
      <c r="BA3" s="16744"/>
      <c r="BB3" s="16744"/>
      <c r="BC3" s="16744"/>
      <c r="BD3" s="16744"/>
      <c r="BE3" s="16744"/>
      <c r="BF3" s="16744"/>
      <c r="BG3" s="16745"/>
      <c r="BH3" s="16743"/>
      <c r="BI3" s="16744"/>
      <c r="BJ3" s="16744"/>
      <c r="BK3" s="16744"/>
      <c r="BL3" s="16744"/>
      <c r="BM3" s="16744"/>
      <c r="BN3" s="16744"/>
      <c r="BO3" s="16744"/>
      <c r="BP3" s="16745"/>
      <c r="BQ3" s="16743"/>
      <c r="BR3" s="16744"/>
      <c r="BS3" s="16744"/>
      <c r="BT3" s="16744"/>
      <c r="BU3" s="16744"/>
      <c r="BV3" s="16744"/>
      <c r="BW3" s="16744"/>
      <c r="BX3" s="16744"/>
      <c r="BY3" s="16745"/>
      <c r="BZ3" s="16743"/>
      <c r="CA3" s="16744"/>
      <c r="CB3" s="16744"/>
      <c r="CC3" s="16744"/>
      <c r="CD3" s="16744"/>
      <c r="CE3" s="16744"/>
      <c r="CF3" s="16744"/>
      <c r="CG3" s="16744"/>
      <c r="CH3" s="16745"/>
      <c r="CI3" s="16743"/>
      <c r="CJ3" s="16744"/>
      <c r="CK3" s="16744"/>
      <c r="CL3" s="16744"/>
      <c r="CM3" s="16744"/>
      <c r="CN3" s="16744"/>
      <c r="CO3" s="16744"/>
      <c r="CP3" s="16744"/>
      <c r="CQ3" s="16745"/>
      <c r="CR3" s="16743"/>
      <c r="CS3" s="16744"/>
      <c r="CT3" s="16744"/>
      <c r="CU3" s="16744"/>
      <c r="CV3" s="16744"/>
      <c r="CW3" s="16744"/>
      <c r="CX3" s="16744"/>
      <c r="CY3" s="16744"/>
      <c r="CZ3" s="16745"/>
      <c r="DA3" s="16743"/>
      <c r="DB3" s="16744"/>
      <c r="DC3" s="16744"/>
      <c r="DD3" s="16744"/>
      <c r="DE3" s="16744"/>
      <c r="DF3" s="16744"/>
      <c r="DG3" s="16744"/>
      <c r="DH3" s="16744"/>
      <c r="DI3" s="16745"/>
      <c r="DJ3" s="16743"/>
      <c r="DK3" s="16744"/>
      <c r="DL3" s="16744"/>
      <c r="DM3" s="16744"/>
      <c r="DN3" s="16744"/>
      <c r="DO3" s="16744"/>
      <c r="DP3" s="16744"/>
      <c r="DQ3" s="16744"/>
      <c r="DR3" s="16745"/>
      <c r="DS3" s="16743"/>
      <c r="DT3" s="16744"/>
      <c r="DU3" s="16744"/>
      <c r="DV3" s="16744"/>
      <c r="DW3" s="16744"/>
      <c r="DX3" s="16744"/>
      <c r="DY3" s="16744"/>
      <c r="DZ3" s="16744"/>
      <c r="EA3" s="16745"/>
      <c r="EB3" s="2528"/>
      <c r="EC3" s="1542" t="s">
        <v>458</v>
      </c>
      <c r="EE3" s="784"/>
      <c r="EF3" s="784" t="str">
        <f>IF(V3="","",V3)</f>
        <v>Территория действия тарифа</v>
      </c>
      <c r="EG3" s="784"/>
      <c r="EH3" s="784"/>
      <c r="EI3" s="1439">
        <v>0</v>
      </c>
    </row>
    <row customHeight="1" ht="22.5" hidden="1">
      <c r="A4" s="1551"/>
      <c r="B4" s="1551"/>
      <c r="C4" s="1551"/>
      <c r="D4" s="1551"/>
      <c r="E4" s="2574"/>
      <c r="F4" s="2574"/>
      <c r="G4" s="2573">
        <v>1</v>
      </c>
      <c r="H4" s="1551"/>
      <c r="I4" s="1551"/>
      <c r="J4" s="1551"/>
      <c r="K4" s="1551"/>
      <c r="L4" s="1551"/>
      <c r="M4" s="1594"/>
      <c r="N4" s="972"/>
      <c r="O4" s="972"/>
      <c r="P4" s="972"/>
      <c r="Q4" s="638"/>
      <c r="R4" s="636"/>
      <c r="S4" s="793"/>
      <c r="T4" s="637"/>
      <c r="U4" s="1620">
        <f>INDEX(PT_DIFFERENTIATION_NUM_CS,MATCH(C4,PT_DIFFERENTIATION_CS_ID,0))</f>
      </c>
      <c r="V4" s="593" t="s">
        <v>459</v>
      </c>
      <c r="W4" s="584"/>
      <c r="X4" s="2526"/>
      <c r="Y4" s="2527"/>
      <c r="Z4" s="2527"/>
      <c r="AA4" s="2527"/>
      <c r="AB4" s="2527"/>
      <c r="AC4" s="2527"/>
      <c r="AD4" s="2527"/>
      <c r="AE4" s="2527"/>
      <c r="AF4" s="2528"/>
      <c r="AG4" s="2526">
        <f>INDEX(PT_DIFFERENTIATION_CS,MATCH(C4,PT_DIFFERENTIATION_CS_ID,0))</f>
      </c>
      <c r="AH4" s="2527"/>
      <c r="AI4" s="2527"/>
      <c r="AJ4" s="2527"/>
      <c r="AK4" s="2527"/>
      <c r="AL4" s="2527"/>
      <c r="AM4" s="2527"/>
      <c r="AN4" s="2527"/>
      <c r="AO4" s="2527"/>
      <c r="AP4" s="16743"/>
      <c r="AQ4" s="16744"/>
      <c r="AR4" s="16744"/>
      <c r="AS4" s="16744"/>
      <c r="AT4" s="16744"/>
      <c r="AU4" s="16744"/>
      <c r="AV4" s="16744"/>
      <c r="AW4" s="16744"/>
      <c r="AX4" s="16745"/>
      <c r="AY4" s="16743"/>
      <c r="AZ4" s="16744"/>
      <c r="BA4" s="16744"/>
      <c r="BB4" s="16744"/>
      <c r="BC4" s="16744"/>
      <c r="BD4" s="16744"/>
      <c r="BE4" s="16744"/>
      <c r="BF4" s="16744"/>
      <c r="BG4" s="16745"/>
      <c r="BH4" s="16743"/>
      <c r="BI4" s="16744"/>
      <c r="BJ4" s="16744"/>
      <c r="BK4" s="16744"/>
      <c r="BL4" s="16744"/>
      <c r="BM4" s="16744"/>
      <c r="BN4" s="16744"/>
      <c r="BO4" s="16744"/>
      <c r="BP4" s="16745"/>
      <c r="BQ4" s="16743"/>
      <c r="BR4" s="16744"/>
      <c r="BS4" s="16744"/>
      <c r="BT4" s="16744"/>
      <c r="BU4" s="16744"/>
      <c r="BV4" s="16744"/>
      <c r="BW4" s="16744"/>
      <c r="BX4" s="16744"/>
      <c r="BY4" s="16745"/>
      <c r="BZ4" s="16743"/>
      <c r="CA4" s="16744"/>
      <c r="CB4" s="16744"/>
      <c r="CC4" s="16744"/>
      <c r="CD4" s="16744"/>
      <c r="CE4" s="16744"/>
      <c r="CF4" s="16744"/>
      <c r="CG4" s="16744"/>
      <c r="CH4" s="16745"/>
      <c r="CI4" s="16743"/>
      <c r="CJ4" s="16744"/>
      <c r="CK4" s="16744"/>
      <c r="CL4" s="16744"/>
      <c r="CM4" s="16744"/>
      <c r="CN4" s="16744"/>
      <c r="CO4" s="16744"/>
      <c r="CP4" s="16744"/>
      <c r="CQ4" s="16745"/>
      <c r="CR4" s="16743"/>
      <c r="CS4" s="16744"/>
      <c r="CT4" s="16744"/>
      <c r="CU4" s="16744"/>
      <c r="CV4" s="16744"/>
      <c r="CW4" s="16744"/>
      <c r="CX4" s="16744"/>
      <c r="CY4" s="16744"/>
      <c r="CZ4" s="16745"/>
      <c r="DA4" s="16743"/>
      <c r="DB4" s="16744"/>
      <c r="DC4" s="16744"/>
      <c r="DD4" s="16744"/>
      <c r="DE4" s="16744"/>
      <c r="DF4" s="16744"/>
      <c r="DG4" s="16744"/>
      <c r="DH4" s="16744"/>
      <c r="DI4" s="16745"/>
      <c r="DJ4" s="16743"/>
      <c r="DK4" s="16744"/>
      <c r="DL4" s="16744"/>
      <c r="DM4" s="16744"/>
      <c r="DN4" s="16744"/>
      <c r="DO4" s="16744"/>
      <c r="DP4" s="16744"/>
      <c r="DQ4" s="16744"/>
      <c r="DR4" s="16745"/>
      <c r="DS4" s="16743"/>
      <c r="DT4" s="16744"/>
      <c r="DU4" s="16744"/>
      <c r="DV4" s="16744"/>
      <c r="DW4" s="16744"/>
      <c r="DX4" s="16744"/>
      <c r="DY4" s="16744"/>
      <c r="DZ4" s="16744"/>
      <c r="EA4" s="16745"/>
      <c r="EB4" s="2528"/>
      <c r="EC4" s="1542" t="s">
        <v>460</v>
      </c>
      <c r="EE4" s="784"/>
      <c r="EF4" s="784" t="str">
        <f>IF(V4="","",V4)</f>
        <v>Наименование системы теплоснабжения </v>
      </c>
      <c r="EG4" s="784"/>
      <c r="EH4" s="784"/>
      <c r="EI4" s="1439">
        <v>0</v>
      </c>
    </row>
    <row customHeight="1" ht="21" hidden="1">
      <c r="A5" s="1551"/>
      <c r="B5" s="1551"/>
      <c r="C5" s="1551"/>
      <c r="D5" s="1551"/>
      <c r="E5" s="2574"/>
      <c r="F5" s="2574"/>
      <c r="G5" s="2574"/>
      <c r="H5" s="2573">
        <v>1</v>
      </c>
      <c r="I5" s="1551"/>
      <c r="J5" s="1551"/>
      <c r="K5" s="1551"/>
      <c r="L5" s="1551"/>
      <c r="M5" s="1594"/>
      <c r="N5" s="972"/>
      <c r="O5" s="972"/>
      <c r="P5" s="972"/>
      <c r="Q5" s="638"/>
      <c r="R5" s="636"/>
      <c r="S5" s="793"/>
      <c r="T5" s="637"/>
      <c r="U5" s="1620">
        <f>INDEX(PT_DIFFERENTIATION_NUM_IST_TE,MATCH(D5,PT_DIFFERENTIATION_IST_TE_ID,0))</f>
      </c>
      <c r="V5" s="594" t="s">
        <v>461</v>
      </c>
      <c r="W5" s="584"/>
      <c r="X5" s="2526"/>
      <c r="Y5" s="2527"/>
      <c r="Z5" s="2527"/>
      <c r="AA5" s="2527"/>
      <c r="AB5" s="2527"/>
      <c r="AC5" s="2527"/>
      <c r="AD5" s="2527"/>
      <c r="AE5" s="2527"/>
      <c r="AF5" s="2528"/>
      <c r="AG5" s="2526">
        <f>INDEX(PT_DIFFERENTIATION_IST_TE,MATCH(D5,PT_DIFFERENTIATION_IST_TE_ID,0))</f>
      </c>
      <c r="AH5" s="2527"/>
      <c r="AI5" s="2527"/>
      <c r="AJ5" s="2527"/>
      <c r="AK5" s="2527"/>
      <c r="AL5" s="2527"/>
      <c r="AM5" s="2527"/>
      <c r="AN5" s="2527"/>
      <c r="AO5" s="2527"/>
      <c r="AP5" s="16743"/>
      <c r="AQ5" s="16744"/>
      <c r="AR5" s="16744"/>
      <c r="AS5" s="16744"/>
      <c r="AT5" s="16744"/>
      <c r="AU5" s="16744"/>
      <c r="AV5" s="16744"/>
      <c r="AW5" s="16744"/>
      <c r="AX5" s="16745"/>
      <c r="AY5" s="16743"/>
      <c r="AZ5" s="16744"/>
      <c r="BA5" s="16744"/>
      <c r="BB5" s="16744"/>
      <c r="BC5" s="16744"/>
      <c r="BD5" s="16744"/>
      <c r="BE5" s="16744"/>
      <c r="BF5" s="16744"/>
      <c r="BG5" s="16745"/>
      <c r="BH5" s="16743"/>
      <c r="BI5" s="16744"/>
      <c r="BJ5" s="16744"/>
      <c r="BK5" s="16744"/>
      <c r="BL5" s="16744"/>
      <c r="BM5" s="16744"/>
      <c r="BN5" s="16744"/>
      <c r="BO5" s="16744"/>
      <c r="BP5" s="16745"/>
      <c r="BQ5" s="16743"/>
      <c r="BR5" s="16744"/>
      <c r="BS5" s="16744"/>
      <c r="BT5" s="16744"/>
      <c r="BU5" s="16744"/>
      <c r="BV5" s="16744"/>
      <c r="BW5" s="16744"/>
      <c r="BX5" s="16744"/>
      <c r="BY5" s="16745"/>
      <c r="BZ5" s="16743"/>
      <c r="CA5" s="16744"/>
      <c r="CB5" s="16744"/>
      <c r="CC5" s="16744"/>
      <c r="CD5" s="16744"/>
      <c r="CE5" s="16744"/>
      <c r="CF5" s="16744"/>
      <c r="CG5" s="16744"/>
      <c r="CH5" s="16745"/>
      <c r="CI5" s="16743"/>
      <c r="CJ5" s="16744"/>
      <c r="CK5" s="16744"/>
      <c r="CL5" s="16744"/>
      <c r="CM5" s="16744"/>
      <c r="CN5" s="16744"/>
      <c r="CO5" s="16744"/>
      <c r="CP5" s="16744"/>
      <c r="CQ5" s="16745"/>
      <c r="CR5" s="16743"/>
      <c r="CS5" s="16744"/>
      <c r="CT5" s="16744"/>
      <c r="CU5" s="16744"/>
      <c r="CV5" s="16744"/>
      <c r="CW5" s="16744"/>
      <c r="CX5" s="16744"/>
      <c r="CY5" s="16744"/>
      <c r="CZ5" s="16745"/>
      <c r="DA5" s="16743"/>
      <c r="DB5" s="16744"/>
      <c r="DC5" s="16744"/>
      <c r="DD5" s="16744"/>
      <c r="DE5" s="16744"/>
      <c r="DF5" s="16744"/>
      <c r="DG5" s="16744"/>
      <c r="DH5" s="16744"/>
      <c r="DI5" s="16745"/>
      <c r="DJ5" s="16743"/>
      <c r="DK5" s="16744"/>
      <c r="DL5" s="16744"/>
      <c r="DM5" s="16744"/>
      <c r="DN5" s="16744"/>
      <c r="DO5" s="16744"/>
      <c r="DP5" s="16744"/>
      <c r="DQ5" s="16744"/>
      <c r="DR5" s="16745"/>
      <c r="DS5" s="16743"/>
      <c r="DT5" s="16744"/>
      <c r="DU5" s="16744"/>
      <c r="DV5" s="16744"/>
      <c r="DW5" s="16744"/>
      <c r="DX5" s="16744"/>
      <c r="DY5" s="16744"/>
      <c r="DZ5" s="16744"/>
      <c r="EA5" s="16745"/>
      <c r="EB5" s="2528"/>
      <c r="EC5" s="1542" t="s">
        <v>462</v>
      </c>
      <c r="EE5" s="784"/>
      <c r="EF5" s="784" t="str">
        <f>IF(V5="","",V5)</f>
        <v>Источник тепловой энергии  </v>
      </c>
      <c r="EG5" s="784"/>
      <c r="EH5" s="784"/>
      <c r="EI5" s="1439">
        <v>0</v>
      </c>
    </row>
    <row customHeight="1" ht="14.25" hidden="1">
      <c r="A6" s="1551"/>
      <c r="B6" s="1551"/>
      <c r="C6" s="1551"/>
      <c r="D6" s="1551"/>
      <c r="E6" s="2574"/>
      <c r="F6" s="2574"/>
      <c r="G6" s="2574"/>
      <c r="H6" s="2574"/>
      <c r="I6" s="2411">
        <f>U5&amp;".1"</f>
      </c>
      <c r="J6" s="1551"/>
      <c r="K6" s="1551"/>
      <c r="L6" s="1551"/>
      <c r="M6" s="1594" t="s">
        <v>463</v>
      </c>
      <c r="N6" s="793"/>
      <c r="Q6" s="2541">
        <v>1</v>
      </c>
      <c r="R6" s="1615"/>
      <c r="S6" s="1615"/>
      <c r="T6" s="640"/>
      <c r="U6" s="1326"/>
      <c r="V6" s="1667"/>
      <c r="W6" s="1668"/>
      <c r="X6" s="2580"/>
      <c r="Y6" s="2581"/>
      <c r="Z6" s="2581"/>
      <c r="AA6" s="2581"/>
      <c r="AB6" s="2581"/>
      <c r="AC6" s="2581"/>
      <c r="AD6" s="2581"/>
      <c r="AE6" s="2581"/>
      <c r="AF6" s="2582"/>
      <c r="AG6" s="2580"/>
      <c r="AH6" s="2581"/>
      <c r="AI6" s="2581"/>
      <c r="AJ6" s="2581"/>
      <c r="AK6" s="2581"/>
      <c r="AL6" s="2581"/>
      <c r="AM6" s="2581"/>
      <c r="AN6" s="2581"/>
      <c r="AO6" s="2581"/>
      <c r="AP6" s="16746"/>
      <c r="AQ6" s="16747"/>
      <c r="AR6" s="16747"/>
      <c r="AS6" s="16747"/>
      <c r="AT6" s="16747"/>
      <c r="AU6" s="16747"/>
      <c r="AV6" s="16747"/>
      <c r="AW6" s="16747"/>
      <c r="AX6" s="16748"/>
      <c r="AY6" s="16746"/>
      <c r="AZ6" s="16747"/>
      <c r="BA6" s="16747"/>
      <c r="BB6" s="16747"/>
      <c r="BC6" s="16747"/>
      <c r="BD6" s="16747"/>
      <c r="BE6" s="16747"/>
      <c r="BF6" s="16747"/>
      <c r="BG6" s="16748"/>
      <c r="BH6" s="16746"/>
      <c r="BI6" s="16747"/>
      <c r="BJ6" s="16747"/>
      <c r="BK6" s="16747"/>
      <c r="BL6" s="16747"/>
      <c r="BM6" s="16747"/>
      <c r="BN6" s="16747"/>
      <c r="BO6" s="16747"/>
      <c r="BP6" s="16748"/>
      <c r="BQ6" s="16746"/>
      <c r="BR6" s="16747"/>
      <c r="BS6" s="16747"/>
      <c r="BT6" s="16747"/>
      <c r="BU6" s="16747"/>
      <c r="BV6" s="16747"/>
      <c r="BW6" s="16747"/>
      <c r="BX6" s="16747"/>
      <c r="BY6" s="16748"/>
      <c r="BZ6" s="16746"/>
      <c r="CA6" s="16747"/>
      <c r="CB6" s="16747"/>
      <c r="CC6" s="16747"/>
      <c r="CD6" s="16747"/>
      <c r="CE6" s="16747"/>
      <c r="CF6" s="16747"/>
      <c r="CG6" s="16747"/>
      <c r="CH6" s="16748"/>
      <c r="CI6" s="16746"/>
      <c r="CJ6" s="16747"/>
      <c r="CK6" s="16747"/>
      <c r="CL6" s="16747"/>
      <c r="CM6" s="16747"/>
      <c r="CN6" s="16747"/>
      <c r="CO6" s="16747"/>
      <c r="CP6" s="16747"/>
      <c r="CQ6" s="16748"/>
      <c r="CR6" s="16746"/>
      <c r="CS6" s="16747"/>
      <c r="CT6" s="16747"/>
      <c r="CU6" s="16747"/>
      <c r="CV6" s="16747"/>
      <c r="CW6" s="16747"/>
      <c r="CX6" s="16747"/>
      <c r="CY6" s="16747"/>
      <c r="CZ6" s="16748"/>
      <c r="DA6" s="16746"/>
      <c r="DB6" s="16747"/>
      <c r="DC6" s="16747"/>
      <c r="DD6" s="16747"/>
      <c r="DE6" s="16747"/>
      <c r="DF6" s="16747"/>
      <c r="DG6" s="16747"/>
      <c r="DH6" s="16747"/>
      <c r="DI6" s="16748"/>
      <c r="DJ6" s="16746"/>
      <c r="DK6" s="16747"/>
      <c r="DL6" s="16747"/>
      <c r="DM6" s="16747"/>
      <c r="DN6" s="16747"/>
      <c r="DO6" s="16747"/>
      <c r="DP6" s="16747"/>
      <c r="DQ6" s="16747"/>
      <c r="DR6" s="16748"/>
      <c r="DS6" s="16746"/>
      <c r="DT6" s="16747"/>
      <c r="DU6" s="16747"/>
      <c r="DV6" s="16747"/>
      <c r="DW6" s="16747"/>
      <c r="DX6" s="16747"/>
      <c r="DY6" s="16747"/>
      <c r="DZ6" s="16747"/>
      <c r="EA6" s="16748"/>
      <c r="EB6" s="2582"/>
      <c r="EC6" s="1669"/>
      <c r="EE6" s="784"/>
      <c r="EF6" s="784" t="str">
        <f>IF(V6="","",V6)</f>
        <v/>
      </c>
      <c r="EG6" s="784"/>
      <c r="EH6" s="784"/>
      <c r="EI6" s="1439">
        <v>0</v>
      </c>
    </row>
    <row customHeight="1" ht="21" hidden="1">
      <c r="A7" s="1551"/>
      <c r="B7" s="1551"/>
      <c r="C7" s="1551"/>
      <c r="D7" s="1551"/>
      <c r="E7" s="2574"/>
      <c r="F7" s="2574"/>
      <c r="G7" s="2574"/>
      <c r="H7" s="2574"/>
      <c r="I7" s="2385"/>
      <c r="J7" s="2411">
        <f>I6&amp;".1"</f>
      </c>
      <c r="K7" s="1551"/>
      <c r="L7" s="1551"/>
      <c r="M7" s="1594" t="s">
        <v>466</v>
      </c>
      <c r="N7" s="793"/>
      <c r="O7" s="611"/>
      <c r="Q7" s="2541"/>
      <c r="R7" s="2541">
        <v>1</v>
      </c>
      <c r="S7" s="802"/>
      <c r="T7" s="641"/>
      <c r="U7" s="1620">
        <f>$J7</f>
      </c>
      <c r="V7" s="570" t="s">
        <v>467</v>
      </c>
      <c r="W7" s="584"/>
      <c r="X7" s="2529"/>
      <c r="Y7" s="2530"/>
      <c r="Z7" s="2530"/>
      <c r="AA7" s="2530"/>
      <c r="AB7" s="2530"/>
      <c r="AC7" s="2519"/>
      <c r="AD7" s="2519"/>
      <c r="AE7" s="2519"/>
      <c r="AF7" s="2592"/>
      <c r="AG7" s="2529"/>
      <c r="AH7" s="2530"/>
      <c r="AI7" s="2530"/>
      <c r="AJ7" s="2530"/>
      <c r="AK7" s="2530"/>
      <c r="AL7" s="2530"/>
      <c r="AM7" s="2530"/>
      <c r="AN7" s="2530"/>
      <c r="AO7" s="2530"/>
      <c r="AP7" s="16750"/>
      <c r="AQ7" s="16751"/>
      <c r="AR7" s="16751"/>
      <c r="AS7" s="16751"/>
      <c r="AT7" s="16751"/>
      <c r="AU7" s="16752"/>
      <c r="AV7" s="16752"/>
      <c r="AW7" s="16752"/>
      <c r="AX7" s="16753"/>
      <c r="AY7" s="16750"/>
      <c r="AZ7" s="16751"/>
      <c r="BA7" s="16751"/>
      <c r="BB7" s="16751"/>
      <c r="BC7" s="16751"/>
      <c r="BD7" s="16752"/>
      <c r="BE7" s="16752"/>
      <c r="BF7" s="16752"/>
      <c r="BG7" s="16753"/>
      <c r="BH7" s="16750"/>
      <c r="BI7" s="16751"/>
      <c r="BJ7" s="16751"/>
      <c r="BK7" s="16751"/>
      <c r="BL7" s="16751"/>
      <c r="BM7" s="16752"/>
      <c r="BN7" s="16752"/>
      <c r="BO7" s="16752"/>
      <c r="BP7" s="16753"/>
      <c r="BQ7" s="16750"/>
      <c r="BR7" s="16751"/>
      <c r="BS7" s="16751"/>
      <c r="BT7" s="16751"/>
      <c r="BU7" s="16751"/>
      <c r="BV7" s="16752"/>
      <c r="BW7" s="16752"/>
      <c r="BX7" s="16752"/>
      <c r="BY7" s="16753"/>
      <c r="BZ7" s="16750"/>
      <c r="CA7" s="16751"/>
      <c r="CB7" s="16751"/>
      <c r="CC7" s="16751"/>
      <c r="CD7" s="16751"/>
      <c r="CE7" s="16752"/>
      <c r="CF7" s="16752"/>
      <c r="CG7" s="16752"/>
      <c r="CH7" s="16753"/>
      <c r="CI7" s="16750"/>
      <c r="CJ7" s="16751"/>
      <c r="CK7" s="16751"/>
      <c r="CL7" s="16751"/>
      <c r="CM7" s="16751"/>
      <c r="CN7" s="16752"/>
      <c r="CO7" s="16752"/>
      <c r="CP7" s="16752"/>
      <c r="CQ7" s="16753"/>
      <c r="CR7" s="16750"/>
      <c r="CS7" s="16751"/>
      <c r="CT7" s="16751"/>
      <c r="CU7" s="16751"/>
      <c r="CV7" s="16751"/>
      <c r="CW7" s="16752"/>
      <c r="CX7" s="16752"/>
      <c r="CY7" s="16752"/>
      <c r="CZ7" s="16753"/>
      <c r="DA7" s="16750"/>
      <c r="DB7" s="16751"/>
      <c r="DC7" s="16751"/>
      <c r="DD7" s="16751"/>
      <c r="DE7" s="16751"/>
      <c r="DF7" s="16752"/>
      <c r="DG7" s="16752"/>
      <c r="DH7" s="16752"/>
      <c r="DI7" s="16753"/>
      <c r="DJ7" s="16750"/>
      <c r="DK7" s="16751"/>
      <c r="DL7" s="16751"/>
      <c r="DM7" s="16751"/>
      <c r="DN7" s="16751"/>
      <c r="DO7" s="16752"/>
      <c r="DP7" s="16752"/>
      <c r="DQ7" s="16752"/>
      <c r="DR7" s="16753"/>
      <c r="DS7" s="16750"/>
      <c r="DT7" s="16751"/>
      <c r="DU7" s="16751"/>
      <c r="DV7" s="16751"/>
      <c r="DW7" s="16751"/>
      <c r="DX7" s="16752"/>
      <c r="DY7" s="16752"/>
      <c r="DZ7" s="16752"/>
      <c r="EA7" s="16753"/>
      <c r="EB7" s="2531"/>
      <c r="EC7" s="1542" t="s">
        <v>468</v>
      </c>
      <c r="EE7" s="784"/>
      <c r="EF7" s="784" t="str">
        <f>IF(V7="","",V7)</f>
        <v>Группа потребителей</v>
      </c>
      <c r="EG7" s="784"/>
      <c r="EH7" s="784"/>
      <c r="EI7" s="1439">
        <v>0</v>
      </c>
    </row>
    <row customHeight="1" ht="21" hidden="1">
      <c r="A8" s="1551"/>
      <c r="B8" s="1551"/>
      <c r="C8" s="1551"/>
      <c r="D8" s="1551"/>
      <c r="E8" s="2574"/>
      <c r="F8" s="2574"/>
      <c r="G8" s="2574"/>
      <c r="H8" s="2574"/>
      <c r="I8" s="2385"/>
      <c r="J8" s="2385"/>
      <c r="K8" s="2411">
        <f>J7&amp;".1"</f>
      </c>
      <c r="L8" s="423"/>
      <c r="M8" s="1594" t="s">
        <v>469</v>
      </c>
      <c r="N8" s="793"/>
      <c r="O8" s="611"/>
      <c r="P8" s="611"/>
      <c r="Q8" s="2541"/>
      <c r="R8" s="2541"/>
      <c r="S8" s="2541">
        <v>1</v>
      </c>
      <c r="T8" s="641"/>
      <c r="U8" s="1620">
        <f>$K8</f>
      </c>
      <c r="V8" s="1631"/>
      <c r="W8" s="584"/>
      <c r="X8" s="1035"/>
      <c r="Y8" s="1035"/>
      <c r="Z8" s="1035"/>
      <c r="AA8" s="1035"/>
      <c r="AB8" s="1689"/>
      <c r="AC8" s="2549"/>
      <c r="AD8" s="2391" t="s">
        <v>64</v>
      </c>
      <c r="AE8" s="2549"/>
      <c r="AF8" s="2391" t="s">
        <v>64</v>
      </c>
      <c r="AG8" s="1691"/>
      <c r="AH8" s="1035"/>
      <c r="AI8" s="1035"/>
      <c r="AJ8" s="1035"/>
      <c r="AK8" s="1541"/>
      <c r="AL8" s="2549"/>
      <c r="AM8" s="2391" t="s">
        <v>64</v>
      </c>
      <c r="AN8" s="2549"/>
      <c r="AO8" s="2391" t="s">
        <v>64</v>
      </c>
      <c r="AP8" s="16757"/>
      <c r="AQ8" s="16757"/>
      <c r="AR8" s="16757"/>
      <c r="AS8" s="16757"/>
      <c r="AT8" s="16758"/>
      <c r="AU8" s="16759"/>
      <c r="AV8" s="16760" t="s">
        <v>64</v>
      </c>
      <c r="AW8" s="16759"/>
      <c r="AX8" s="16760" t="s">
        <v>64</v>
      </c>
      <c r="AY8" s="16757"/>
      <c r="AZ8" s="16757"/>
      <c r="BA8" s="16757"/>
      <c r="BB8" s="16757"/>
      <c r="BC8" s="16758"/>
      <c r="BD8" s="16759"/>
      <c r="BE8" s="16760" t="s">
        <v>64</v>
      </c>
      <c r="BF8" s="16759"/>
      <c r="BG8" s="16760" t="s">
        <v>64</v>
      </c>
      <c r="BH8" s="16757"/>
      <c r="BI8" s="16757"/>
      <c r="BJ8" s="16757"/>
      <c r="BK8" s="16757"/>
      <c r="BL8" s="16758"/>
      <c r="BM8" s="16759"/>
      <c r="BN8" s="16760" t="s">
        <v>64</v>
      </c>
      <c r="BO8" s="16759"/>
      <c r="BP8" s="16760" t="s">
        <v>64</v>
      </c>
      <c r="BQ8" s="16757"/>
      <c r="BR8" s="16757"/>
      <c r="BS8" s="16757"/>
      <c r="BT8" s="16757"/>
      <c r="BU8" s="16758"/>
      <c r="BV8" s="16759"/>
      <c r="BW8" s="16760" t="s">
        <v>64</v>
      </c>
      <c r="BX8" s="16759"/>
      <c r="BY8" s="16760" t="s">
        <v>64</v>
      </c>
      <c r="BZ8" s="16757"/>
      <c r="CA8" s="16757"/>
      <c r="CB8" s="16757"/>
      <c r="CC8" s="16757"/>
      <c r="CD8" s="16758"/>
      <c r="CE8" s="16759"/>
      <c r="CF8" s="16760" t="s">
        <v>64</v>
      </c>
      <c r="CG8" s="16759"/>
      <c r="CH8" s="16760" t="s">
        <v>64</v>
      </c>
      <c r="CI8" s="16757"/>
      <c r="CJ8" s="16757"/>
      <c r="CK8" s="16757"/>
      <c r="CL8" s="16757"/>
      <c r="CM8" s="16758"/>
      <c r="CN8" s="16759"/>
      <c r="CO8" s="16760" t="s">
        <v>64</v>
      </c>
      <c r="CP8" s="16759"/>
      <c r="CQ8" s="16760" t="s">
        <v>64</v>
      </c>
      <c r="CR8" s="16757"/>
      <c r="CS8" s="16757"/>
      <c r="CT8" s="16757"/>
      <c r="CU8" s="16757"/>
      <c r="CV8" s="16758"/>
      <c r="CW8" s="16759"/>
      <c r="CX8" s="16760" t="s">
        <v>64</v>
      </c>
      <c r="CY8" s="16759"/>
      <c r="CZ8" s="16760" t="s">
        <v>64</v>
      </c>
      <c r="DA8" s="16757"/>
      <c r="DB8" s="16757"/>
      <c r="DC8" s="16757"/>
      <c r="DD8" s="16757"/>
      <c r="DE8" s="16758"/>
      <c r="DF8" s="16759"/>
      <c r="DG8" s="16760" t="s">
        <v>64</v>
      </c>
      <c r="DH8" s="16759"/>
      <c r="DI8" s="16760" t="s">
        <v>64</v>
      </c>
      <c r="DJ8" s="16757"/>
      <c r="DK8" s="16757"/>
      <c r="DL8" s="16757"/>
      <c r="DM8" s="16757"/>
      <c r="DN8" s="16758"/>
      <c r="DO8" s="16759"/>
      <c r="DP8" s="16760" t="s">
        <v>64</v>
      </c>
      <c r="DQ8" s="16759"/>
      <c r="DR8" s="16760" t="s">
        <v>64</v>
      </c>
      <c r="DS8" s="16757"/>
      <c r="DT8" s="16757"/>
      <c r="DU8" s="16757"/>
      <c r="DV8" s="16757"/>
      <c r="DW8" s="16758"/>
      <c r="DX8" s="16759"/>
      <c r="DY8" s="16760" t="s">
        <v>64</v>
      </c>
      <c r="DZ8" s="16759"/>
      <c r="EA8" s="16760" t="s">
        <v>64</v>
      </c>
      <c r="EB8" s="609"/>
      <c r="EC8" s="1591" t="s">
        <v>523</v>
      </c>
      <c r="ED8" s="795">
        <f>STRCHECKDATE(X10:EB10)</f>
      </c>
      <c r="EE8" s="784"/>
      <c r="EF8" s="784" t="str">
        <f>IF(V8="","",V8)</f>
        <v/>
      </c>
      <c r="EG8" s="784"/>
      <c r="EH8" s="784"/>
      <c r="EI8" s="1439">
        <v>0</v>
      </c>
    </row>
    <row customHeight="1" ht="21" hidden="1">
      <c r="A9" s="1551"/>
      <c r="B9" s="1551"/>
      <c r="C9" s="1551"/>
      <c r="D9" s="1551"/>
      <c r="E9" s="2574"/>
      <c r="F9" s="2574"/>
      <c r="G9" s="2574"/>
      <c r="H9" s="2574"/>
      <c r="I9" s="2385"/>
      <c r="J9" s="2385"/>
      <c r="K9" s="2385"/>
      <c r="L9" s="2411">
        <f>K8&amp;".1"</f>
      </c>
      <c r="M9" s="1594"/>
      <c r="N9" s="793"/>
      <c r="O9" s="611"/>
      <c r="P9" s="611"/>
      <c r="Q9" s="2541"/>
      <c r="R9" s="2541"/>
      <c r="S9" s="2541"/>
      <c r="T9" s="641"/>
      <c r="U9" s="1620">
        <f>$L9</f>
      </c>
      <c r="V9" s="1675"/>
      <c r="W9" s="584"/>
      <c r="X9" s="609"/>
      <c r="Y9" s="1035"/>
      <c r="Z9" s="1035"/>
      <c r="AA9" s="1035"/>
      <c r="AB9" s="1689"/>
      <c r="AC9" s="2593"/>
      <c r="AD9" s="2391"/>
      <c r="AE9" s="2593"/>
      <c r="AF9" s="2391"/>
      <c r="AG9" s="1691"/>
      <c r="AH9" s="1035"/>
      <c r="AI9" s="1035"/>
      <c r="AJ9" s="1035"/>
      <c r="AK9" s="1541"/>
      <c r="AL9" s="2593"/>
      <c r="AM9" s="2391"/>
      <c r="AN9" s="2593"/>
      <c r="AO9" s="2391"/>
      <c r="AP9" s="16764"/>
      <c r="AQ9" s="16757"/>
      <c r="AR9" s="16757"/>
      <c r="AS9" s="16757"/>
      <c r="AT9" s="16758"/>
      <c r="AU9" s="16765"/>
      <c r="AV9" s="16760"/>
      <c r="AW9" s="16765"/>
      <c r="AX9" s="16760"/>
      <c r="AY9" s="16764"/>
      <c r="AZ9" s="16757"/>
      <c r="BA9" s="16757"/>
      <c r="BB9" s="16757"/>
      <c r="BC9" s="16758"/>
      <c r="BD9" s="16765"/>
      <c r="BE9" s="16760"/>
      <c r="BF9" s="16765"/>
      <c r="BG9" s="16760"/>
      <c r="BH9" s="16764"/>
      <c r="BI9" s="16757"/>
      <c r="BJ9" s="16757"/>
      <c r="BK9" s="16757"/>
      <c r="BL9" s="16758"/>
      <c r="BM9" s="16765"/>
      <c r="BN9" s="16760"/>
      <c r="BO9" s="16765"/>
      <c r="BP9" s="16760"/>
      <c r="BQ9" s="16764"/>
      <c r="BR9" s="16757"/>
      <c r="BS9" s="16757"/>
      <c r="BT9" s="16757"/>
      <c r="BU9" s="16758"/>
      <c r="BV9" s="16765"/>
      <c r="BW9" s="16760"/>
      <c r="BX9" s="16765"/>
      <c r="BY9" s="16760"/>
      <c r="BZ9" s="16764"/>
      <c r="CA9" s="16757"/>
      <c r="CB9" s="16757"/>
      <c r="CC9" s="16757"/>
      <c r="CD9" s="16758"/>
      <c r="CE9" s="16765"/>
      <c r="CF9" s="16760"/>
      <c r="CG9" s="16765"/>
      <c r="CH9" s="16760"/>
      <c r="CI9" s="16764"/>
      <c r="CJ9" s="16757"/>
      <c r="CK9" s="16757"/>
      <c r="CL9" s="16757"/>
      <c r="CM9" s="16758"/>
      <c r="CN9" s="16765"/>
      <c r="CO9" s="16760"/>
      <c r="CP9" s="16765"/>
      <c r="CQ9" s="16760"/>
      <c r="CR9" s="16764"/>
      <c r="CS9" s="16757"/>
      <c r="CT9" s="16757"/>
      <c r="CU9" s="16757"/>
      <c r="CV9" s="16758"/>
      <c r="CW9" s="16765"/>
      <c r="CX9" s="16760"/>
      <c r="CY9" s="16765"/>
      <c r="CZ9" s="16760"/>
      <c r="DA9" s="16764"/>
      <c r="DB9" s="16757"/>
      <c r="DC9" s="16757"/>
      <c r="DD9" s="16757"/>
      <c r="DE9" s="16758"/>
      <c r="DF9" s="16765"/>
      <c r="DG9" s="16760"/>
      <c r="DH9" s="16765"/>
      <c r="DI9" s="16760"/>
      <c r="DJ9" s="16764"/>
      <c r="DK9" s="16757"/>
      <c r="DL9" s="16757"/>
      <c r="DM9" s="16757"/>
      <c r="DN9" s="16758"/>
      <c r="DO9" s="16765"/>
      <c r="DP9" s="16760"/>
      <c r="DQ9" s="16765"/>
      <c r="DR9" s="16760"/>
      <c r="DS9" s="16764"/>
      <c r="DT9" s="16757"/>
      <c r="DU9" s="16757"/>
      <c r="DV9" s="16757"/>
      <c r="DW9" s="16758"/>
      <c r="DX9" s="16765"/>
      <c r="DY9" s="16760"/>
      <c r="DZ9" s="16765"/>
      <c r="EA9" s="16760"/>
      <c r="EB9" s="609"/>
      <c r="EC9" s="2537" t="s">
        <v>524</v>
      </c>
      <c r="EE9" s="784"/>
      <c r="EF9" s="784"/>
      <c r="EG9" s="784"/>
      <c r="EH9" s="784"/>
      <c r="EI9" s="1439">
        <v>0</v>
      </c>
    </row>
    <row customHeight="1" ht="14.25" hidden="1">
      <c r="A10" s="1551"/>
      <c r="B10" s="1551"/>
      <c r="C10" s="1551"/>
      <c r="D10" s="1551"/>
      <c r="E10" s="2574"/>
      <c r="F10" s="2574"/>
      <c r="G10" s="2574"/>
      <c r="H10" s="2574"/>
      <c r="I10" s="2385"/>
      <c r="J10" s="2385"/>
      <c r="K10" s="2385"/>
      <c r="L10" s="2411"/>
      <c r="M10" s="1594"/>
      <c r="N10" s="793"/>
      <c r="O10" s="611"/>
      <c r="P10" s="611"/>
      <c r="Q10" s="2541"/>
      <c r="R10" s="2541"/>
      <c r="S10" s="2541"/>
      <c r="T10" s="641"/>
      <c r="U10" s="1626"/>
      <c r="V10" s="584"/>
      <c r="W10" s="584"/>
      <c r="X10" s="609"/>
      <c r="Y10" s="609"/>
      <c r="Z10" s="609"/>
      <c r="AA10" s="609"/>
      <c r="AB10" s="1690" t="str">
        <f>AC8&amp;"-"&amp;AE8</f>
        <v>-</v>
      </c>
      <c r="AC10" s="2593"/>
      <c r="AD10" s="2391"/>
      <c r="AE10" s="2593"/>
      <c r="AF10" s="2391"/>
      <c r="AG10" s="1666"/>
      <c r="AH10" s="609"/>
      <c r="AI10" s="609"/>
      <c r="AJ10" s="609"/>
      <c r="AK10" s="612" t="str">
        <f>AL8&amp;"-"&amp;AN8</f>
        <v>-</v>
      </c>
      <c r="AL10" s="2593"/>
      <c r="AM10" s="2391"/>
      <c r="AN10" s="2593"/>
      <c r="AO10" s="2391"/>
      <c r="AP10" s="16764"/>
      <c r="AQ10" s="16764"/>
      <c r="AR10" s="16764"/>
      <c r="AS10" s="16764"/>
      <c r="AT10" s="16768" t="str">
        <f>AU8&amp;"-"&amp;AW8</f>
        <v>-</v>
      </c>
      <c r="AU10" s="16765"/>
      <c r="AV10" s="16760"/>
      <c r="AW10" s="16765"/>
      <c r="AX10" s="16760"/>
      <c r="AY10" s="16764"/>
      <c r="AZ10" s="16764"/>
      <c r="BA10" s="16764"/>
      <c r="BB10" s="16764"/>
      <c r="BC10" s="16768" t="str">
        <f>BD8&amp;"-"&amp;BF8</f>
        <v>-</v>
      </c>
      <c r="BD10" s="16765"/>
      <c r="BE10" s="16760"/>
      <c r="BF10" s="16765"/>
      <c r="BG10" s="16760"/>
      <c r="BH10" s="16764"/>
      <c r="BI10" s="16764"/>
      <c r="BJ10" s="16764"/>
      <c r="BK10" s="16764"/>
      <c r="BL10" s="16768" t="str">
        <f>BM8&amp;"-"&amp;BO8</f>
        <v>-</v>
      </c>
      <c r="BM10" s="16765"/>
      <c r="BN10" s="16760"/>
      <c r="BO10" s="16765"/>
      <c r="BP10" s="16760"/>
      <c r="BQ10" s="16764"/>
      <c r="BR10" s="16764"/>
      <c r="BS10" s="16764"/>
      <c r="BT10" s="16764"/>
      <c r="BU10" s="16768" t="str">
        <f>BV8&amp;"-"&amp;BX8</f>
        <v>-</v>
      </c>
      <c r="BV10" s="16765"/>
      <c r="BW10" s="16760"/>
      <c r="BX10" s="16765"/>
      <c r="BY10" s="16760"/>
      <c r="BZ10" s="16764"/>
      <c r="CA10" s="16764"/>
      <c r="CB10" s="16764"/>
      <c r="CC10" s="16764"/>
      <c r="CD10" s="16768" t="str">
        <f>CE8&amp;"-"&amp;CG8</f>
        <v>-</v>
      </c>
      <c r="CE10" s="16765"/>
      <c r="CF10" s="16760"/>
      <c r="CG10" s="16765"/>
      <c r="CH10" s="16760"/>
      <c r="CI10" s="16764"/>
      <c r="CJ10" s="16764"/>
      <c r="CK10" s="16764"/>
      <c r="CL10" s="16764"/>
      <c r="CM10" s="16768" t="str">
        <f>CN8&amp;"-"&amp;CP8</f>
        <v>-</v>
      </c>
      <c r="CN10" s="16765"/>
      <c r="CO10" s="16760"/>
      <c r="CP10" s="16765"/>
      <c r="CQ10" s="16760"/>
      <c r="CR10" s="16764"/>
      <c r="CS10" s="16764"/>
      <c r="CT10" s="16764"/>
      <c r="CU10" s="16764"/>
      <c r="CV10" s="16768" t="str">
        <f>CW8&amp;"-"&amp;CY8</f>
        <v>-</v>
      </c>
      <c r="CW10" s="16765"/>
      <c r="CX10" s="16760"/>
      <c r="CY10" s="16765"/>
      <c r="CZ10" s="16760"/>
      <c r="DA10" s="16764"/>
      <c r="DB10" s="16764"/>
      <c r="DC10" s="16764"/>
      <c r="DD10" s="16764"/>
      <c r="DE10" s="16768" t="str">
        <f>DF8&amp;"-"&amp;DH8</f>
        <v>-</v>
      </c>
      <c r="DF10" s="16765"/>
      <c r="DG10" s="16760"/>
      <c r="DH10" s="16765"/>
      <c r="DI10" s="16760"/>
      <c r="DJ10" s="16764"/>
      <c r="DK10" s="16764"/>
      <c r="DL10" s="16764"/>
      <c r="DM10" s="16764"/>
      <c r="DN10" s="16768" t="str">
        <f>DO8&amp;"-"&amp;DQ8</f>
        <v>-</v>
      </c>
      <c r="DO10" s="16765"/>
      <c r="DP10" s="16760"/>
      <c r="DQ10" s="16765"/>
      <c r="DR10" s="16760"/>
      <c r="DS10" s="16764"/>
      <c r="DT10" s="16764"/>
      <c r="DU10" s="16764"/>
      <c r="DV10" s="16764"/>
      <c r="DW10" s="16768" t="str">
        <f>DX8&amp;"-"&amp;DZ8</f>
        <v>-</v>
      </c>
      <c r="DX10" s="16765"/>
      <c r="DY10" s="16760"/>
      <c r="DZ10" s="16765"/>
      <c r="EA10" s="16760"/>
      <c r="EB10" s="609"/>
      <c r="EC10" s="2538"/>
      <c r="EE10" s="784"/>
      <c r="EF10" s="784" t="str">
        <f>IF(V10="","",V10)</f>
        <v/>
      </c>
      <c r="EG10" s="784"/>
      <c r="EH10" s="784"/>
      <c r="EI10" s="1439">
        <v>0</v>
      </c>
    </row>
    <row customHeight="1" ht="11.25" hidden="1">
      <c r="A11" s="1551"/>
      <c r="B11" s="1551"/>
      <c r="C11" s="1551"/>
      <c r="D11" s="1551"/>
      <c r="E11" s="2574"/>
      <c r="F11" s="2574"/>
      <c r="G11" s="2574"/>
      <c r="H11" s="2574"/>
      <c r="I11" s="2385"/>
      <c r="J11" s="2385"/>
      <c r="K11" s="2411"/>
      <c r="L11" s="1551"/>
      <c r="M11" s="1594"/>
      <c r="N11" s="793"/>
      <c r="O11" s="611"/>
      <c r="P11" s="611"/>
      <c r="Q11" s="2541"/>
      <c r="R11" s="2541"/>
      <c r="S11" s="2541"/>
      <c r="T11" s="641"/>
      <c r="U11" s="1562"/>
      <c r="V11" s="572" t="s">
        <v>525</v>
      </c>
      <c r="W11" s="1676"/>
      <c r="X11" s="1677"/>
      <c r="Y11" s="1677"/>
      <c r="Z11" s="1677"/>
      <c r="AA11" s="1677"/>
      <c r="AB11" s="1678"/>
      <c r="AC11" s="2593"/>
      <c r="AD11" s="2391"/>
      <c r="AE11" s="2593"/>
      <c r="AF11" s="2391"/>
      <c r="AG11" s="1677"/>
      <c r="AH11" s="1677"/>
      <c r="AI11" s="1677"/>
      <c r="AJ11" s="1677"/>
      <c r="AK11" s="1678"/>
      <c r="AL11" s="2593"/>
      <c r="AM11" s="2391"/>
      <c r="AN11" s="2593"/>
      <c r="AO11" s="2391"/>
      <c r="AP11" s="16772"/>
      <c r="AQ11" s="16773"/>
      <c r="AR11" s="16774"/>
      <c r="AS11" s="16775"/>
      <c r="AT11" s="16776"/>
      <c r="AU11" s="16765"/>
      <c r="AV11" s="16760"/>
      <c r="AW11" s="16765"/>
      <c r="AX11" s="16760"/>
      <c r="AY11" s="16777"/>
      <c r="AZ11" s="16778"/>
      <c r="BA11" s="16779"/>
      <c r="BB11" s="16780"/>
      <c r="BC11" s="16781"/>
      <c r="BD11" s="16765"/>
      <c r="BE11" s="16760"/>
      <c r="BF11" s="16765"/>
      <c r="BG11" s="16760"/>
      <c r="BH11" s="16782"/>
      <c r="BI11" s="16783"/>
      <c r="BJ11" s="16784"/>
      <c r="BK11" s="16785"/>
      <c r="BL11" s="16786"/>
      <c r="BM11" s="16765"/>
      <c r="BN11" s="16760"/>
      <c r="BO11" s="16765"/>
      <c r="BP11" s="16760"/>
      <c r="BQ11" s="16787"/>
      <c r="BR11" s="16788"/>
      <c r="BS11" s="16789"/>
      <c r="BT11" s="16790"/>
      <c r="BU11" s="16791"/>
      <c r="BV11" s="16765"/>
      <c r="BW11" s="16760"/>
      <c r="BX11" s="16765"/>
      <c r="BY11" s="16760"/>
      <c r="BZ11" s="16792"/>
      <c r="CA11" s="16793"/>
      <c r="CB11" s="16794"/>
      <c r="CC11" s="16795"/>
      <c r="CD11" s="16796"/>
      <c r="CE11" s="16765"/>
      <c r="CF11" s="16760"/>
      <c r="CG11" s="16765"/>
      <c r="CH11" s="16760"/>
      <c r="CI11" s="16797"/>
      <c r="CJ11" s="16798"/>
      <c r="CK11" s="16799"/>
      <c r="CL11" s="16800"/>
      <c r="CM11" s="16801"/>
      <c r="CN11" s="16765"/>
      <c r="CO11" s="16760"/>
      <c r="CP11" s="16765"/>
      <c r="CQ11" s="16760"/>
      <c r="CR11" s="16802"/>
      <c r="CS11" s="16803"/>
      <c r="CT11" s="16804"/>
      <c r="CU11" s="16805"/>
      <c r="CV11" s="16806"/>
      <c r="CW11" s="16765"/>
      <c r="CX11" s="16760"/>
      <c r="CY11" s="16765"/>
      <c r="CZ11" s="16760"/>
      <c r="DA11" s="16807"/>
      <c r="DB11" s="16808"/>
      <c r="DC11" s="16809"/>
      <c r="DD11" s="16810"/>
      <c r="DE11" s="16811"/>
      <c r="DF11" s="16765"/>
      <c r="DG11" s="16760"/>
      <c r="DH11" s="16765"/>
      <c r="DI11" s="16760"/>
      <c r="DJ11" s="16812"/>
      <c r="DK11" s="16813"/>
      <c r="DL11" s="16814"/>
      <c r="DM11" s="16815"/>
      <c r="DN11" s="16816"/>
      <c r="DO11" s="16765"/>
      <c r="DP11" s="16760"/>
      <c r="DQ11" s="16765"/>
      <c r="DR11" s="16760"/>
      <c r="DS11" s="16817"/>
      <c r="DT11" s="16818"/>
      <c r="DU11" s="16819"/>
      <c r="DV11" s="16820"/>
      <c r="DW11" s="16821"/>
      <c r="DX11" s="16765"/>
      <c r="DY11" s="16760"/>
      <c r="DZ11" s="16765"/>
      <c r="EA11" s="16760"/>
      <c r="EB11" s="1679"/>
      <c r="EC11" s="2538"/>
      <c r="EE11" s="784"/>
      <c r="EF11" s="784"/>
      <c r="EG11" s="784"/>
      <c r="EH11" s="784"/>
      <c r="EI11" s="1439">
        <v>0</v>
      </c>
    </row>
    <row customHeight="1" ht="15" hidden="1">
      <c r="A12" s="1551"/>
      <c r="B12" s="1551"/>
      <c r="C12" s="1551"/>
      <c r="D12" s="1551"/>
      <c r="E12" s="2574"/>
      <c r="F12" s="2574"/>
      <c r="G12" s="2574"/>
      <c r="H12" s="2574"/>
      <c r="I12" s="2385"/>
      <c r="J12" s="2411"/>
      <c r="K12" s="1551"/>
      <c r="L12" s="1551"/>
      <c r="M12" s="1594"/>
      <c r="N12" s="793"/>
      <c r="O12" s="611"/>
      <c r="Q12" s="2541"/>
      <c r="R12" s="2541"/>
      <c r="S12" s="1615"/>
      <c r="T12" s="640"/>
      <c r="U12" s="1562"/>
      <c r="V12" s="571" t="s">
        <v>471</v>
      </c>
      <c r="W12" s="651"/>
      <c r="X12" s="651"/>
      <c r="Y12" s="651"/>
      <c r="Z12" s="651"/>
      <c r="AA12" s="651"/>
      <c r="AB12" s="651"/>
      <c r="AC12" s="1692"/>
      <c r="AD12" s="1692"/>
      <c r="AE12" s="1692"/>
      <c r="AF12" s="1692"/>
      <c r="AG12" s="651"/>
      <c r="AH12" s="651"/>
      <c r="AI12" s="651"/>
      <c r="AJ12" s="651"/>
      <c r="AK12" s="651"/>
      <c r="AL12" s="651"/>
      <c r="AM12" s="651"/>
      <c r="AN12" s="651"/>
      <c r="AO12" s="651"/>
      <c r="AP12" s="16824"/>
      <c r="AQ12" s="16825"/>
      <c r="AR12" s="16826"/>
      <c r="AS12" s="16827"/>
      <c r="AT12" s="16828"/>
      <c r="AU12" s="16829"/>
      <c r="AV12" s="16830"/>
      <c r="AW12" s="16831"/>
      <c r="AX12" s="16832"/>
      <c r="AY12" s="16833"/>
      <c r="AZ12" s="16834"/>
      <c r="BA12" s="16835"/>
      <c r="BB12" s="16836"/>
      <c r="BC12" s="16837"/>
      <c r="BD12" s="16838"/>
      <c r="BE12" s="16839"/>
      <c r="BF12" s="16840"/>
      <c r="BG12" s="16841"/>
      <c r="BH12" s="16842"/>
      <c r="BI12" s="16843"/>
      <c r="BJ12" s="16844"/>
      <c r="BK12" s="16845"/>
      <c r="BL12" s="16846"/>
      <c r="BM12" s="16847"/>
      <c r="BN12" s="16848"/>
      <c r="BO12" s="16849"/>
      <c r="BP12" s="16850"/>
      <c r="BQ12" s="16851"/>
      <c r="BR12" s="16852"/>
      <c r="BS12" s="16853"/>
      <c r="BT12" s="16854"/>
      <c r="BU12" s="16855"/>
      <c r="BV12" s="16856"/>
      <c r="BW12" s="16857"/>
      <c r="BX12" s="16858"/>
      <c r="BY12" s="16859"/>
      <c r="BZ12" s="16860"/>
      <c r="CA12" s="16861"/>
      <c r="CB12" s="16862"/>
      <c r="CC12" s="16863"/>
      <c r="CD12" s="16864"/>
      <c r="CE12" s="16865"/>
      <c r="CF12" s="16866"/>
      <c r="CG12" s="16867"/>
      <c r="CH12" s="16868"/>
      <c r="CI12" s="16869"/>
      <c r="CJ12" s="16870"/>
      <c r="CK12" s="16871"/>
      <c r="CL12" s="16872"/>
      <c r="CM12" s="16873"/>
      <c r="CN12" s="16874"/>
      <c r="CO12" s="16875"/>
      <c r="CP12" s="16876"/>
      <c r="CQ12" s="16877"/>
      <c r="CR12" s="16878"/>
      <c r="CS12" s="16879"/>
      <c r="CT12" s="16880"/>
      <c r="CU12" s="16881"/>
      <c r="CV12" s="16882"/>
      <c r="CW12" s="16883"/>
      <c r="CX12" s="16884"/>
      <c r="CY12" s="16885"/>
      <c r="CZ12" s="16886"/>
      <c r="DA12" s="16887"/>
      <c r="DB12" s="16888"/>
      <c r="DC12" s="16889"/>
      <c r="DD12" s="16890"/>
      <c r="DE12" s="16891"/>
      <c r="DF12" s="16892"/>
      <c r="DG12" s="16893"/>
      <c r="DH12" s="16894"/>
      <c r="DI12" s="16895"/>
      <c r="DJ12" s="16896"/>
      <c r="DK12" s="16897"/>
      <c r="DL12" s="16898"/>
      <c r="DM12" s="16899"/>
      <c r="DN12" s="16900"/>
      <c r="DO12" s="16901"/>
      <c r="DP12" s="16902"/>
      <c r="DQ12" s="16903"/>
      <c r="DR12" s="16904"/>
      <c r="DS12" s="16905"/>
      <c r="DT12" s="16906"/>
      <c r="DU12" s="16907"/>
      <c r="DV12" s="16908"/>
      <c r="DW12" s="16909"/>
      <c r="DX12" s="16910"/>
      <c r="DY12" s="16911"/>
      <c r="DZ12" s="16912"/>
      <c r="EA12" s="16913"/>
      <c r="EB12" s="608"/>
      <c r="EC12" s="2539"/>
      <c r="EE12" s="784"/>
      <c r="EF12" s="784" t="str">
        <f>IF(V12="","",V12)</f>
        <v>Добавить вид теплоносителя (параметры теплоносителя)</v>
      </c>
      <c r="EG12" s="784"/>
      <c r="EH12" s="784"/>
      <c r="EI12" s="1439">
        <v>0</v>
      </c>
    </row>
    <row customHeight="1" ht="11.25" hidden="1">
      <c r="A13" s="1551"/>
      <c r="B13" s="1551"/>
      <c r="C13" s="1551"/>
      <c r="D13" s="1551"/>
      <c r="E13" s="2574"/>
      <c r="F13" s="2574"/>
      <c r="G13" s="2574"/>
      <c r="H13" s="2574"/>
      <c r="I13" s="2411"/>
      <c r="J13" s="1551"/>
      <c r="K13" s="1551"/>
      <c r="L13" s="1551"/>
      <c r="M13" s="1594"/>
      <c r="N13" s="793"/>
      <c r="Q13" s="2541"/>
      <c r="R13" s="1615"/>
      <c r="S13" s="1615"/>
      <c r="T13" s="640"/>
      <c r="U13" s="1562"/>
      <c r="V13" s="649" t="s">
        <v>472</v>
      </c>
      <c r="W13" s="651"/>
      <c r="X13" s="651"/>
      <c r="Y13" s="651"/>
      <c r="Z13" s="651"/>
      <c r="AA13" s="651"/>
      <c r="AB13" s="651"/>
      <c r="AC13" s="651"/>
      <c r="AD13" s="651"/>
      <c r="AE13" s="651"/>
      <c r="AF13" s="650"/>
      <c r="AG13" s="651"/>
      <c r="AH13" s="651"/>
      <c r="AI13" s="651"/>
      <c r="AJ13" s="651"/>
      <c r="AK13" s="651"/>
      <c r="AL13" s="651"/>
      <c r="AM13" s="651"/>
      <c r="AN13" s="651"/>
      <c r="AO13" s="650"/>
      <c r="AP13" s="16914"/>
      <c r="AQ13" s="16915"/>
      <c r="AR13" s="16916"/>
      <c r="AS13" s="16917"/>
      <c r="AT13" s="16918"/>
      <c r="AU13" s="16919"/>
      <c r="AV13" s="16920"/>
      <c r="AW13" s="16921"/>
      <c r="AX13" s="16922"/>
      <c r="AY13" s="16923"/>
      <c r="AZ13" s="16924"/>
      <c r="BA13" s="16925"/>
      <c r="BB13" s="16926"/>
      <c r="BC13" s="16927"/>
      <c r="BD13" s="16928"/>
      <c r="BE13" s="16929"/>
      <c r="BF13" s="16930"/>
      <c r="BG13" s="16931"/>
      <c r="BH13" s="16932"/>
      <c r="BI13" s="16933"/>
      <c r="BJ13" s="16934"/>
      <c r="BK13" s="16935"/>
      <c r="BL13" s="16936"/>
      <c r="BM13" s="16937"/>
      <c r="BN13" s="16938"/>
      <c r="BO13" s="16939"/>
      <c r="BP13" s="16940"/>
      <c r="BQ13" s="16941"/>
      <c r="BR13" s="16942"/>
      <c r="BS13" s="16943"/>
      <c r="BT13" s="16944"/>
      <c r="BU13" s="16945"/>
      <c r="BV13" s="16946"/>
      <c r="BW13" s="16947"/>
      <c r="BX13" s="16948"/>
      <c r="BY13" s="16949"/>
      <c r="BZ13" s="16950"/>
      <c r="CA13" s="16951"/>
      <c r="CB13" s="16952"/>
      <c r="CC13" s="16953"/>
      <c r="CD13" s="16954"/>
      <c r="CE13" s="16955"/>
      <c r="CF13" s="16956"/>
      <c r="CG13" s="16957"/>
      <c r="CH13" s="16958"/>
      <c r="CI13" s="16959"/>
      <c r="CJ13" s="16960"/>
      <c r="CK13" s="16961"/>
      <c r="CL13" s="16962"/>
      <c r="CM13" s="16963"/>
      <c r="CN13" s="16964"/>
      <c r="CO13" s="16965"/>
      <c r="CP13" s="16966"/>
      <c r="CQ13" s="16967"/>
      <c r="CR13" s="16968"/>
      <c r="CS13" s="16969"/>
      <c r="CT13" s="16970"/>
      <c r="CU13" s="16971"/>
      <c r="CV13" s="16972"/>
      <c r="CW13" s="16973"/>
      <c r="CX13" s="16974"/>
      <c r="CY13" s="16975"/>
      <c r="CZ13" s="16976"/>
      <c r="DA13" s="16977"/>
      <c r="DB13" s="16978"/>
      <c r="DC13" s="16979"/>
      <c r="DD13" s="16980"/>
      <c r="DE13" s="16981"/>
      <c r="DF13" s="16982"/>
      <c r="DG13" s="16983"/>
      <c r="DH13" s="16984"/>
      <c r="DI13" s="16985"/>
      <c r="DJ13" s="16986"/>
      <c r="DK13" s="16987"/>
      <c r="DL13" s="16988"/>
      <c r="DM13" s="16989"/>
      <c r="DN13" s="16990"/>
      <c r="DO13" s="16991"/>
      <c r="DP13" s="16992"/>
      <c r="DQ13" s="16993"/>
      <c r="DR13" s="16994"/>
      <c r="DS13" s="16995"/>
      <c r="DT13" s="16996"/>
      <c r="DU13" s="16997"/>
      <c r="DV13" s="16998"/>
      <c r="DW13" s="16999"/>
      <c r="DX13" s="17000"/>
      <c r="DY13" s="17001"/>
      <c r="DZ13" s="17002"/>
      <c r="EA13" s="17003"/>
      <c r="EB13" s="651"/>
      <c r="EC13" s="587"/>
      <c r="EE13" s="784"/>
      <c r="EF13" s="784" t="str">
        <f>IF(V13="","",V13)</f>
        <v>Добавить группу потребителей</v>
      </c>
      <c r="EG13" s="784"/>
      <c r="EH13" s="784"/>
      <c r="EI13" s="1439">
        <v>0</v>
      </c>
    </row>
    <row customHeight="1" ht="14.25" hidden="1">
      <c r="A14" s="1551"/>
      <c r="B14" s="1551"/>
      <c r="C14" s="1551"/>
      <c r="D14" s="1551"/>
      <c r="E14" s="2574"/>
      <c r="F14" s="2574"/>
      <c r="G14" s="2574"/>
      <c r="H14" s="2573"/>
      <c r="I14" s="1551"/>
      <c r="J14" s="1551"/>
      <c r="K14" s="1551"/>
      <c r="L14" s="1551"/>
      <c r="M14" s="1594"/>
      <c r="N14" s="972"/>
      <c r="O14" s="972"/>
      <c r="P14" s="793"/>
      <c r="Q14" s="644"/>
      <c r="R14" s="659"/>
      <c r="S14" s="639"/>
      <c r="T14" s="644"/>
      <c r="U14" s="1670"/>
      <c r="V14" s="1671"/>
      <c r="W14" s="1672"/>
      <c r="X14" s="1672"/>
      <c r="Y14" s="1672"/>
      <c r="Z14" s="1672"/>
      <c r="AA14" s="1672"/>
      <c r="AB14" s="1672"/>
      <c r="AC14" s="1672"/>
      <c r="AD14" s="1672"/>
      <c r="AE14" s="1672"/>
      <c r="AF14" s="1672"/>
      <c r="AG14" s="1672"/>
      <c r="AH14" s="1672"/>
      <c r="AI14" s="1672"/>
      <c r="AJ14" s="1672"/>
      <c r="AK14" s="1672"/>
      <c r="AL14" s="1672"/>
      <c r="AM14" s="1672"/>
      <c r="AN14" s="1672"/>
      <c r="AO14" s="1672"/>
      <c r="AP14" s="17004"/>
      <c r="AQ14" s="17004"/>
      <c r="AR14" s="17004"/>
      <c r="AS14" s="17004"/>
      <c r="AT14" s="17004"/>
      <c r="AU14" s="17004"/>
      <c r="AV14" s="17004"/>
      <c r="AW14" s="17004"/>
      <c r="AX14" s="17004"/>
      <c r="AY14" s="17004"/>
      <c r="AZ14" s="17004"/>
      <c r="BA14" s="17004"/>
      <c r="BB14" s="17004"/>
      <c r="BC14" s="17004"/>
      <c r="BD14" s="17004"/>
      <c r="BE14" s="17004"/>
      <c r="BF14" s="17004"/>
      <c r="BG14" s="17004"/>
      <c r="BH14" s="17004"/>
      <c r="BI14" s="17004"/>
      <c r="BJ14" s="17004"/>
      <c r="BK14" s="17004"/>
      <c r="BL14" s="17004"/>
      <c r="BM14" s="17004"/>
      <c r="BN14" s="17004"/>
      <c r="BO14" s="17004"/>
      <c r="BP14" s="17004"/>
      <c r="BQ14" s="17004"/>
      <c r="BR14" s="17004"/>
      <c r="BS14" s="17004"/>
      <c r="BT14" s="17004"/>
      <c r="BU14" s="17004"/>
      <c r="BV14" s="17004"/>
      <c r="BW14" s="17004"/>
      <c r="BX14" s="17004"/>
      <c r="BY14" s="17004"/>
      <c r="BZ14" s="17004"/>
      <c r="CA14" s="17004"/>
      <c r="CB14" s="17004"/>
      <c r="CC14" s="17004"/>
      <c r="CD14" s="17004"/>
      <c r="CE14" s="17004"/>
      <c r="CF14" s="17004"/>
      <c r="CG14" s="17004"/>
      <c r="CH14" s="17004"/>
      <c r="CI14" s="17004"/>
      <c r="CJ14" s="17004"/>
      <c r="CK14" s="17004"/>
      <c r="CL14" s="17004"/>
      <c r="CM14" s="17004"/>
      <c r="CN14" s="17004"/>
      <c r="CO14" s="17004"/>
      <c r="CP14" s="17004"/>
      <c r="CQ14" s="17004"/>
      <c r="CR14" s="17004"/>
      <c r="CS14" s="17004"/>
      <c r="CT14" s="17004"/>
      <c r="CU14" s="17004"/>
      <c r="CV14" s="17004"/>
      <c r="CW14" s="17004"/>
      <c r="CX14" s="17004"/>
      <c r="CY14" s="17004"/>
      <c r="CZ14" s="17004"/>
      <c r="DA14" s="17004"/>
      <c r="DB14" s="17004"/>
      <c r="DC14" s="17004"/>
      <c r="DD14" s="17004"/>
      <c r="DE14" s="17004"/>
      <c r="DF14" s="17004"/>
      <c r="DG14" s="17004"/>
      <c r="DH14" s="17004"/>
      <c r="DI14" s="17004"/>
      <c r="DJ14" s="17004"/>
      <c r="DK14" s="17004"/>
      <c r="DL14" s="17004"/>
      <c r="DM14" s="17004"/>
      <c r="DN14" s="17004"/>
      <c r="DO14" s="17004"/>
      <c r="DP14" s="17004"/>
      <c r="DQ14" s="17004"/>
      <c r="DR14" s="17004"/>
      <c r="DS14" s="17004"/>
      <c r="DT14" s="17004"/>
      <c r="DU14" s="17004"/>
      <c r="DV14" s="17004"/>
      <c r="DW14" s="17004"/>
      <c r="DX14" s="17004"/>
      <c r="DY14" s="17004"/>
      <c r="DZ14" s="17004"/>
      <c r="EA14" s="17004"/>
      <c r="EB14" s="1672"/>
      <c r="EC14" s="1673"/>
      <c r="EE14" s="784"/>
      <c r="EF14" s="784" t="str">
        <f>IF(V14="","",V14)</f>
        <v/>
      </c>
      <c r="EG14" s="784"/>
      <c r="EH14" s="784"/>
      <c r="EI14" s="1439">
        <v>0</v>
      </c>
    </row>
    <row s="30621" customFormat="1" customHeight="1" ht="14.25" hidden="1">
      <c r="A15" s="1658"/>
      <c r="B15" s="1658"/>
      <c r="C15" s="1658"/>
      <c r="D15" s="1658"/>
      <c r="E15" s="2574"/>
      <c r="F15" s="2574"/>
      <c r="G15" s="2573"/>
      <c r="H15" s="1658"/>
      <c r="I15" s="1658"/>
      <c r="J15" s="1658"/>
      <c r="K15" s="1658"/>
      <c r="L15" s="1658"/>
      <c r="M15" s="1661"/>
      <c r="N15" s="1662"/>
      <c r="O15" s="1662"/>
      <c r="P15" s="635"/>
      <c r="Q15" s="1600"/>
      <c r="R15" s="1601"/>
      <c r="S15" s="1600"/>
      <c r="T15" s="1600"/>
      <c r="U15" s="1602"/>
      <c r="V15" s="1603" t="s">
        <v>213</v>
      </c>
      <c r="W15" s="1604"/>
      <c r="X15" s="1604"/>
      <c r="Y15" s="1604"/>
      <c r="Z15" s="1604"/>
      <c r="AA15" s="1604"/>
      <c r="AB15" s="1604"/>
      <c r="AC15" s="1604"/>
      <c r="AD15" s="1604"/>
      <c r="AE15" s="1604"/>
      <c r="AF15" s="1604"/>
      <c r="AG15" s="1604"/>
      <c r="AH15" s="1604"/>
      <c r="AI15" s="1604"/>
      <c r="AJ15" s="1604"/>
      <c r="AK15" s="1604"/>
      <c r="AL15" s="1604"/>
      <c r="AM15" s="1604"/>
      <c r="AN15" s="1604"/>
      <c r="AO15" s="1604"/>
      <c r="AP15" s="17005"/>
      <c r="AQ15" s="17005"/>
      <c r="AR15" s="17005"/>
      <c r="AS15" s="17005"/>
      <c r="AT15" s="17005"/>
      <c r="AU15" s="17005"/>
      <c r="AV15" s="17005"/>
      <c r="AW15" s="17005"/>
      <c r="AX15" s="17005"/>
      <c r="AY15" s="17005"/>
      <c r="AZ15" s="17005"/>
      <c r="BA15" s="17005"/>
      <c r="BB15" s="17005"/>
      <c r="BC15" s="17005"/>
      <c r="BD15" s="17005"/>
      <c r="BE15" s="17005"/>
      <c r="BF15" s="17005"/>
      <c r="BG15" s="17005"/>
      <c r="BH15" s="17005"/>
      <c r="BI15" s="17005"/>
      <c r="BJ15" s="17005"/>
      <c r="BK15" s="17005"/>
      <c r="BL15" s="17005"/>
      <c r="BM15" s="17005"/>
      <c r="BN15" s="17005"/>
      <c r="BO15" s="17005"/>
      <c r="BP15" s="17005"/>
      <c r="BQ15" s="17005"/>
      <c r="BR15" s="17005"/>
      <c r="BS15" s="17005"/>
      <c r="BT15" s="17005"/>
      <c r="BU15" s="17005"/>
      <c r="BV15" s="17005"/>
      <c r="BW15" s="17005"/>
      <c r="BX15" s="17005"/>
      <c r="BY15" s="17005"/>
      <c r="BZ15" s="17005"/>
      <c r="CA15" s="17005"/>
      <c r="CB15" s="17005"/>
      <c r="CC15" s="17005"/>
      <c r="CD15" s="17005"/>
      <c r="CE15" s="17005"/>
      <c r="CF15" s="17005"/>
      <c r="CG15" s="17005"/>
      <c r="CH15" s="17005"/>
      <c r="CI15" s="17005"/>
      <c r="CJ15" s="17005"/>
      <c r="CK15" s="17005"/>
      <c r="CL15" s="17005"/>
      <c r="CM15" s="17005"/>
      <c r="CN15" s="17005"/>
      <c r="CO15" s="17005"/>
      <c r="CP15" s="17005"/>
      <c r="CQ15" s="17005"/>
      <c r="CR15" s="17005"/>
      <c r="CS15" s="17005"/>
      <c r="CT15" s="17005"/>
      <c r="CU15" s="17005"/>
      <c r="CV15" s="17005"/>
      <c r="CW15" s="17005"/>
      <c r="CX15" s="17005"/>
      <c r="CY15" s="17005"/>
      <c r="CZ15" s="17005"/>
      <c r="DA15" s="17005"/>
      <c r="DB15" s="17005"/>
      <c r="DC15" s="17005"/>
      <c r="DD15" s="17005"/>
      <c r="DE15" s="17005"/>
      <c r="DF15" s="17005"/>
      <c r="DG15" s="17005"/>
      <c r="DH15" s="17005"/>
      <c r="DI15" s="17005"/>
      <c r="DJ15" s="17005"/>
      <c r="DK15" s="17005"/>
      <c r="DL15" s="17005"/>
      <c r="DM15" s="17005"/>
      <c r="DN15" s="17005"/>
      <c r="DO15" s="17005"/>
      <c r="DP15" s="17005"/>
      <c r="DQ15" s="17005"/>
      <c r="DR15" s="17005"/>
      <c r="DS15" s="17005"/>
      <c r="DT15" s="17005"/>
      <c r="DU15" s="17005"/>
      <c r="DV15" s="17005"/>
      <c r="DW15" s="17005"/>
      <c r="DX15" s="17005"/>
      <c r="DY15" s="17005"/>
      <c r="DZ15" s="17005"/>
      <c r="EA15" s="17005"/>
      <c r="EB15" s="1604"/>
      <c r="EC15" s="1604"/>
      <c r="EE15" s="1073"/>
      <c r="EF15" s="1073" t="str">
        <f>IF(V15="","",V15)</f>
        <v>Добавить источник для дифференциации</v>
      </c>
      <c r="EG15" s="1073"/>
      <c r="EH15" s="1073"/>
      <c r="EI15" s="802">
        <v>0</v>
      </c>
    </row>
    <row s="30621" customFormat="1" customHeight="1" ht="14.25" hidden="1">
      <c r="A16" s="1658"/>
      <c r="B16" s="1658"/>
      <c r="C16" s="1658"/>
      <c r="D16" s="1658"/>
      <c r="E16" s="2574"/>
      <c r="F16" s="2573"/>
      <c r="G16" s="1658"/>
      <c r="H16" s="1658"/>
      <c r="I16" s="1658"/>
      <c r="J16" s="1658"/>
      <c r="K16" s="1658"/>
      <c r="L16" s="1658"/>
      <c r="M16" s="1661"/>
      <c r="N16" s="1663"/>
      <c r="O16" s="1663"/>
      <c r="P16" s="635"/>
      <c r="Q16" s="1600"/>
      <c r="R16" s="1601"/>
      <c r="S16" s="1600"/>
      <c r="T16" s="1600"/>
      <c r="U16" s="1606"/>
      <c r="V16" s="1607" t="s">
        <v>214</v>
      </c>
      <c r="W16" s="1608"/>
      <c r="X16" s="1608"/>
      <c r="Y16" s="1608"/>
      <c r="Z16" s="1608"/>
      <c r="AA16" s="1608"/>
      <c r="AB16" s="1608"/>
      <c r="AC16" s="1608"/>
      <c r="AD16" s="1608"/>
      <c r="AE16" s="1608"/>
      <c r="AF16" s="1608"/>
      <c r="AG16" s="1608"/>
      <c r="AH16" s="1608"/>
      <c r="AI16" s="1608"/>
      <c r="AJ16" s="1608"/>
      <c r="AK16" s="1608"/>
      <c r="AL16" s="1608"/>
      <c r="AM16" s="1608"/>
      <c r="AN16" s="1608"/>
      <c r="AO16" s="1608"/>
      <c r="AP16" s="17006"/>
      <c r="AQ16" s="17006"/>
      <c r="AR16" s="17006"/>
      <c r="AS16" s="17006"/>
      <c r="AT16" s="17006"/>
      <c r="AU16" s="17006"/>
      <c r="AV16" s="17006"/>
      <c r="AW16" s="17006"/>
      <c r="AX16" s="17006"/>
      <c r="AY16" s="17006"/>
      <c r="AZ16" s="17006"/>
      <c r="BA16" s="17006"/>
      <c r="BB16" s="17006"/>
      <c r="BC16" s="17006"/>
      <c r="BD16" s="17006"/>
      <c r="BE16" s="17006"/>
      <c r="BF16" s="17006"/>
      <c r="BG16" s="17006"/>
      <c r="BH16" s="17006"/>
      <c r="BI16" s="17006"/>
      <c r="BJ16" s="17006"/>
      <c r="BK16" s="17006"/>
      <c r="BL16" s="17006"/>
      <c r="BM16" s="17006"/>
      <c r="BN16" s="17006"/>
      <c r="BO16" s="17006"/>
      <c r="BP16" s="17006"/>
      <c r="BQ16" s="17006"/>
      <c r="BR16" s="17006"/>
      <c r="BS16" s="17006"/>
      <c r="BT16" s="17006"/>
      <c r="BU16" s="17006"/>
      <c r="BV16" s="17006"/>
      <c r="BW16" s="17006"/>
      <c r="BX16" s="17006"/>
      <c r="BY16" s="17006"/>
      <c r="BZ16" s="17006"/>
      <c r="CA16" s="17006"/>
      <c r="CB16" s="17006"/>
      <c r="CC16" s="17006"/>
      <c r="CD16" s="17006"/>
      <c r="CE16" s="17006"/>
      <c r="CF16" s="17006"/>
      <c r="CG16" s="17006"/>
      <c r="CH16" s="17006"/>
      <c r="CI16" s="17006"/>
      <c r="CJ16" s="17006"/>
      <c r="CK16" s="17006"/>
      <c r="CL16" s="17006"/>
      <c r="CM16" s="17006"/>
      <c r="CN16" s="17006"/>
      <c r="CO16" s="17006"/>
      <c r="CP16" s="17006"/>
      <c r="CQ16" s="17006"/>
      <c r="CR16" s="17006"/>
      <c r="CS16" s="17006"/>
      <c r="CT16" s="17006"/>
      <c r="CU16" s="17006"/>
      <c r="CV16" s="17006"/>
      <c r="CW16" s="17006"/>
      <c r="CX16" s="17006"/>
      <c r="CY16" s="17006"/>
      <c r="CZ16" s="17006"/>
      <c r="DA16" s="17006"/>
      <c r="DB16" s="17006"/>
      <c r="DC16" s="17006"/>
      <c r="DD16" s="17006"/>
      <c r="DE16" s="17006"/>
      <c r="DF16" s="17006"/>
      <c r="DG16" s="17006"/>
      <c r="DH16" s="17006"/>
      <c r="DI16" s="17006"/>
      <c r="DJ16" s="17006"/>
      <c r="DK16" s="17006"/>
      <c r="DL16" s="17006"/>
      <c r="DM16" s="17006"/>
      <c r="DN16" s="17006"/>
      <c r="DO16" s="17006"/>
      <c r="DP16" s="17006"/>
      <c r="DQ16" s="17006"/>
      <c r="DR16" s="17006"/>
      <c r="DS16" s="17006"/>
      <c r="DT16" s="17006"/>
      <c r="DU16" s="17006"/>
      <c r="DV16" s="17006"/>
      <c r="DW16" s="17006"/>
      <c r="DX16" s="17006"/>
      <c r="DY16" s="17006"/>
      <c r="DZ16" s="17006"/>
      <c r="EA16" s="17006"/>
      <c r="EB16" s="1608"/>
      <c r="EC16" s="1608"/>
      <c r="EE16" s="1073"/>
      <c r="EF16" s="1073" t="str">
        <f>IF(V16="","",V16)</f>
        <v>Добавить централизованную систему для дифференциации</v>
      </c>
      <c r="EG16" s="1073"/>
      <c r="EH16" s="1073"/>
      <c r="EI16" s="802">
        <v>0</v>
      </c>
    </row>
    <row s="30621" customFormat="1" customHeight="1" ht="14.25" hidden="1">
      <c r="A17" s="1658"/>
      <c r="B17" s="1658"/>
      <c r="C17" s="1658"/>
      <c r="D17" s="1658"/>
      <c r="E17" s="2573"/>
      <c r="F17" s="1658"/>
      <c r="G17" s="1658"/>
      <c r="H17" s="1658"/>
      <c r="I17" s="1658"/>
      <c r="J17" s="1658"/>
      <c r="K17" s="1658"/>
      <c r="L17" s="1658"/>
      <c r="M17" s="1661"/>
      <c r="N17" s="1663"/>
      <c r="O17" s="1663"/>
      <c r="P17" s="635"/>
      <c r="Q17" s="1600"/>
      <c r="R17" s="1601"/>
      <c r="S17" s="1600"/>
      <c r="T17" s="1600"/>
      <c r="U17" s="1606"/>
      <c r="V17" s="1609" t="s">
        <v>230</v>
      </c>
      <c r="W17" s="1608"/>
      <c r="X17" s="1608"/>
      <c r="Y17" s="1608"/>
      <c r="Z17" s="1608"/>
      <c r="AA17" s="1608"/>
      <c r="AB17" s="1608"/>
      <c r="AC17" s="1608"/>
      <c r="AD17" s="1608"/>
      <c r="AE17" s="1608"/>
      <c r="AF17" s="1608"/>
      <c r="AG17" s="1608"/>
      <c r="AH17" s="1608"/>
      <c r="AI17" s="1608"/>
      <c r="AJ17" s="1608"/>
      <c r="AK17" s="1608"/>
      <c r="AL17" s="1608"/>
      <c r="AM17" s="1608"/>
      <c r="AN17" s="1608"/>
      <c r="AO17" s="1608"/>
      <c r="AP17" s="17006"/>
      <c r="AQ17" s="17006"/>
      <c r="AR17" s="17006"/>
      <c r="AS17" s="17006"/>
      <c r="AT17" s="17006"/>
      <c r="AU17" s="17006"/>
      <c r="AV17" s="17006"/>
      <c r="AW17" s="17006"/>
      <c r="AX17" s="17006"/>
      <c r="AY17" s="17006"/>
      <c r="AZ17" s="17006"/>
      <c r="BA17" s="17006"/>
      <c r="BB17" s="17006"/>
      <c r="BC17" s="17006"/>
      <c r="BD17" s="17006"/>
      <c r="BE17" s="17006"/>
      <c r="BF17" s="17006"/>
      <c r="BG17" s="17006"/>
      <c r="BH17" s="17006"/>
      <c r="BI17" s="17006"/>
      <c r="BJ17" s="17006"/>
      <c r="BK17" s="17006"/>
      <c r="BL17" s="17006"/>
      <c r="BM17" s="17006"/>
      <c r="BN17" s="17006"/>
      <c r="BO17" s="17006"/>
      <c r="BP17" s="17006"/>
      <c r="BQ17" s="17006"/>
      <c r="BR17" s="17006"/>
      <c r="BS17" s="17006"/>
      <c r="BT17" s="17006"/>
      <c r="BU17" s="17006"/>
      <c r="BV17" s="17006"/>
      <c r="BW17" s="17006"/>
      <c r="BX17" s="17006"/>
      <c r="BY17" s="17006"/>
      <c r="BZ17" s="17006"/>
      <c r="CA17" s="17006"/>
      <c r="CB17" s="17006"/>
      <c r="CC17" s="17006"/>
      <c r="CD17" s="17006"/>
      <c r="CE17" s="17006"/>
      <c r="CF17" s="17006"/>
      <c r="CG17" s="17006"/>
      <c r="CH17" s="17006"/>
      <c r="CI17" s="17006"/>
      <c r="CJ17" s="17006"/>
      <c r="CK17" s="17006"/>
      <c r="CL17" s="17006"/>
      <c r="CM17" s="17006"/>
      <c r="CN17" s="17006"/>
      <c r="CO17" s="17006"/>
      <c r="CP17" s="17006"/>
      <c r="CQ17" s="17006"/>
      <c r="CR17" s="17006"/>
      <c r="CS17" s="17006"/>
      <c r="CT17" s="17006"/>
      <c r="CU17" s="17006"/>
      <c r="CV17" s="17006"/>
      <c r="CW17" s="17006"/>
      <c r="CX17" s="17006"/>
      <c r="CY17" s="17006"/>
      <c r="CZ17" s="17006"/>
      <c r="DA17" s="17006"/>
      <c r="DB17" s="17006"/>
      <c r="DC17" s="17006"/>
      <c r="DD17" s="17006"/>
      <c r="DE17" s="17006"/>
      <c r="DF17" s="17006"/>
      <c r="DG17" s="17006"/>
      <c r="DH17" s="17006"/>
      <c r="DI17" s="17006"/>
      <c r="DJ17" s="17006"/>
      <c r="DK17" s="17006"/>
      <c r="DL17" s="17006"/>
      <c r="DM17" s="17006"/>
      <c r="DN17" s="17006"/>
      <c r="DO17" s="17006"/>
      <c r="DP17" s="17006"/>
      <c r="DQ17" s="17006"/>
      <c r="DR17" s="17006"/>
      <c r="DS17" s="17006"/>
      <c r="DT17" s="17006"/>
      <c r="DU17" s="17006"/>
      <c r="DV17" s="17006"/>
      <c r="DW17" s="17006"/>
      <c r="DX17" s="17006"/>
      <c r="DY17" s="17006"/>
      <c r="DZ17" s="17006"/>
      <c r="EA17" s="17006"/>
      <c r="EB17" s="1608"/>
      <c r="EC17" s="1608"/>
      <c r="EE17" s="1073"/>
      <c r="EF17" s="1073" t="str">
        <f>IF(V17="","",V17)</f>
        <v>Добавить территорию для дифференциации</v>
      </c>
      <c r="EG17" s="1073"/>
      <c r="EH17" s="1073"/>
      <c r="EI17" s="802">
        <v>0</v>
      </c>
    </row>
    <row customHeight="1" ht="14.25" hidden="1">
      <c r="AF18" s="611"/>
      <c r="AO18" s="611"/>
      <c r="AP18" s="16741"/>
      <c r="AQ18" s="16741"/>
      <c r="AR18" s="16741"/>
      <c r="AS18" s="16741"/>
      <c r="AT18" s="16741"/>
      <c r="AU18" s="16741"/>
      <c r="AV18" s="16741"/>
      <c r="AW18" s="16741"/>
      <c r="AX18" s="16741"/>
      <c r="AY18" s="16741"/>
      <c r="AZ18" s="16741"/>
      <c r="BA18" s="16741"/>
      <c r="BB18" s="16741"/>
      <c r="BC18" s="16741"/>
      <c r="BD18" s="16741"/>
      <c r="BE18" s="16741"/>
      <c r="BF18" s="16741"/>
      <c r="BG18" s="16741"/>
      <c r="BH18" s="16741"/>
      <c r="BI18" s="16741"/>
      <c r="BJ18" s="16741"/>
      <c r="BK18" s="16741"/>
      <c r="BL18" s="16741"/>
      <c r="BM18" s="16741"/>
      <c r="BN18" s="16741"/>
      <c r="BO18" s="16741"/>
      <c r="BP18" s="16741"/>
      <c r="BQ18" s="16741"/>
      <c r="BR18" s="16741"/>
      <c r="BS18" s="16741"/>
      <c r="BT18" s="16741"/>
      <c r="BU18" s="16741"/>
      <c r="BV18" s="16741"/>
      <c r="BW18" s="16741"/>
      <c r="BX18" s="16741"/>
      <c r="BY18" s="16741"/>
      <c r="BZ18" s="16741"/>
      <c r="CA18" s="16741"/>
      <c r="CB18" s="16741"/>
      <c r="CC18" s="16741"/>
      <c r="CD18" s="16741"/>
      <c r="CE18" s="16741"/>
      <c r="CF18" s="16741"/>
      <c r="CG18" s="16741"/>
      <c r="CH18" s="16741"/>
      <c r="CI18" s="16741"/>
      <c r="CJ18" s="16741"/>
      <c r="CK18" s="16741"/>
      <c r="CL18" s="16741"/>
      <c r="CM18" s="16741"/>
      <c r="CN18" s="16741"/>
      <c r="CO18" s="16741"/>
      <c r="CP18" s="16741"/>
      <c r="CQ18" s="16741"/>
      <c r="CR18" s="16741"/>
      <c r="CS18" s="16741"/>
      <c r="CT18" s="16741"/>
      <c r="CU18" s="16741"/>
      <c r="CV18" s="16741"/>
      <c r="CW18" s="16741"/>
      <c r="CX18" s="16741"/>
      <c r="CY18" s="16741"/>
      <c r="CZ18" s="16741"/>
      <c r="DA18" s="16741"/>
      <c r="DB18" s="16741"/>
      <c r="DC18" s="16741"/>
      <c r="DD18" s="16741"/>
      <c r="DE18" s="16741"/>
      <c r="DF18" s="16741"/>
      <c r="DG18" s="16741"/>
      <c r="DH18" s="16741"/>
      <c r="DI18" s="16741"/>
      <c r="DJ18" s="16741"/>
      <c r="DK18" s="16741"/>
      <c r="DL18" s="16741"/>
      <c r="DM18" s="16741"/>
      <c r="DN18" s="16741"/>
      <c r="DO18" s="16741"/>
      <c r="DP18" s="16741"/>
      <c r="DQ18" s="16741"/>
      <c r="DR18" s="16741"/>
      <c r="DS18" s="16741"/>
      <c r="DT18" s="16741"/>
      <c r="DU18" s="16741"/>
      <c r="DV18" s="16741"/>
      <c r="DW18" s="16741"/>
      <c r="DX18" s="16741"/>
      <c r="DY18" s="16741"/>
      <c r="DZ18" s="16741"/>
      <c r="EA18" s="16741"/>
      <c r="EI18" s="1439">
        <v>0</v>
      </c>
    </row>
    <row customHeight="1" ht="14.25" hidden="1">
      <c r="AG19" s="1644"/>
      <c r="AH19" s="1644"/>
      <c r="AI19" s="1644"/>
      <c r="AJ19" s="1644"/>
      <c r="AK19" s="1645"/>
      <c r="AL19" s="2551"/>
      <c r="AM19" s="2552" t="s">
        <v>64</v>
      </c>
      <c r="AN19" s="2551"/>
      <c r="AO19" s="2552" t="s">
        <v>64</v>
      </c>
      <c r="AP19" s="16741"/>
      <c r="AQ19" s="16741"/>
      <c r="AR19" s="16741"/>
      <c r="AS19" s="16741"/>
      <c r="AT19" s="16741"/>
      <c r="AU19" s="16741"/>
      <c r="AV19" s="16741"/>
      <c r="AW19" s="16741"/>
      <c r="AX19" s="16741"/>
      <c r="AY19" s="16741"/>
      <c r="AZ19" s="16741"/>
      <c r="BA19" s="16741"/>
      <c r="BB19" s="16741"/>
      <c r="BC19" s="16741"/>
      <c r="BD19" s="16741"/>
      <c r="BE19" s="16741"/>
      <c r="BF19" s="16741"/>
      <c r="BG19" s="16741"/>
      <c r="BH19" s="16741"/>
      <c r="BI19" s="16741"/>
      <c r="BJ19" s="16741"/>
      <c r="BK19" s="16741"/>
      <c r="BL19" s="16741"/>
      <c r="BM19" s="16741"/>
      <c r="BN19" s="16741"/>
      <c r="BO19" s="16741"/>
      <c r="BP19" s="16741"/>
      <c r="BQ19" s="16741"/>
      <c r="BR19" s="16741"/>
      <c r="BS19" s="16741"/>
      <c r="BT19" s="16741"/>
      <c r="BU19" s="16741"/>
      <c r="BV19" s="16741"/>
      <c r="BW19" s="16741"/>
      <c r="BX19" s="16741"/>
      <c r="BY19" s="16741"/>
      <c r="BZ19" s="16741"/>
      <c r="CA19" s="16741"/>
      <c r="CB19" s="16741"/>
      <c r="CC19" s="16741"/>
      <c r="CD19" s="16741"/>
      <c r="CE19" s="16741"/>
      <c r="CF19" s="16741"/>
      <c r="CG19" s="16741"/>
      <c r="CH19" s="16741"/>
      <c r="CI19" s="16741"/>
      <c r="CJ19" s="16741"/>
      <c r="CK19" s="16741"/>
      <c r="CL19" s="16741"/>
      <c r="CM19" s="16741"/>
      <c r="CN19" s="16741"/>
      <c r="CO19" s="16741"/>
      <c r="CP19" s="16741"/>
      <c r="CQ19" s="16741"/>
      <c r="CR19" s="16741"/>
      <c r="CS19" s="16741"/>
      <c r="CT19" s="16741"/>
      <c r="CU19" s="16741"/>
      <c r="CV19" s="16741"/>
      <c r="CW19" s="16741"/>
      <c r="CX19" s="16741"/>
      <c r="CY19" s="16741"/>
      <c r="CZ19" s="16741"/>
      <c r="DA19" s="16741"/>
      <c r="DB19" s="16741"/>
      <c r="DC19" s="16741"/>
      <c r="DD19" s="16741"/>
      <c r="DE19" s="16741"/>
      <c r="DF19" s="16741"/>
      <c r="DG19" s="16741"/>
      <c r="DH19" s="16741"/>
      <c r="DI19" s="16741"/>
      <c r="DJ19" s="16741"/>
      <c r="DK19" s="16741"/>
      <c r="DL19" s="16741"/>
      <c r="DM19" s="16741"/>
      <c r="DN19" s="16741"/>
      <c r="DO19" s="16741"/>
      <c r="DP19" s="16741"/>
      <c r="DQ19" s="16741"/>
      <c r="DR19" s="16741"/>
      <c r="DS19" s="16741"/>
      <c r="DT19" s="16741"/>
      <c r="DU19" s="16741"/>
      <c r="DV19" s="16741"/>
      <c r="DW19" s="16741"/>
      <c r="DX19" s="16741"/>
      <c r="DY19" s="16741"/>
      <c r="DZ19" s="16741"/>
      <c r="EA19" s="16741"/>
      <c r="EI19" s="1439">
        <v>0</v>
      </c>
    </row>
    <row customHeight="1" ht="14.25" hidden="1">
      <c r="AG20" s="1644"/>
      <c r="AH20" s="1644"/>
      <c r="AI20" s="1644"/>
      <c r="AJ20" s="1644"/>
      <c r="AK20" s="1645"/>
      <c r="AL20" s="2551"/>
      <c r="AM20" s="2552"/>
      <c r="AN20" s="2551"/>
      <c r="AO20" s="2552"/>
      <c r="AP20" s="16741"/>
      <c r="AQ20" s="16741"/>
      <c r="AR20" s="16741"/>
      <c r="AS20" s="16741"/>
      <c r="AT20" s="16741"/>
      <c r="AU20" s="16741"/>
      <c r="AV20" s="16741"/>
      <c r="AW20" s="16741"/>
      <c r="AX20" s="16741"/>
      <c r="AY20" s="16741"/>
      <c r="AZ20" s="16741"/>
      <c r="BA20" s="16741"/>
      <c r="BB20" s="16741"/>
      <c r="BC20" s="16741"/>
      <c r="BD20" s="16741"/>
      <c r="BE20" s="16741"/>
      <c r="BF20" s="16741"/>
      <c r="BG20" s="16741"/>
      <c r="BH20" s="16741"/>
      <c r="BI20" s="16741"/>
      <c r="BJ20" s="16741"/>
      <c r="BK20" s="16741"/>
      <c r="BL20" s="16741"/>
      <c r="BM20" s="16741"/>
      <c r="BN20" s="16741"/>
      <c r="BO20" s="16741"/>
      <c r="BP20" s="16741"/>
      <c r="BQ20" s="16741"/>
      <c r="BR20" s="16741"/>
      <c r="BS20" s="16741"/>
      <c r="BT20" s="16741"/>
      <c r="BU20" s="16741"/>
      <c r="BV20" s="16741"/>
      <c r="BW20" s="16741"/>
      <c r="BX20" s="16741"/>
      <c r="BY20" s="16741"/>
      <c r="BZ20" s="16741"/>
      <c r="CA20" s="16741"/>
      <c r="CB20" s="16741"/>
      <c r="CC20" s="16741"/>
      <c r="CD20" s="16741"/>
      <c r="CE20" s="16741"/>
      <c r="CF20" s="16741"/>
      <c r="CG20" s="16741"/>
      <c r="CH20" s="16741"/>
      <c r="CI20" s="16741"/>
      <c r="CJ20" s="16741"/>
      <c r="CK20" s="16741"/>
      <c r="CL20" s="16741"/>
      <c r="CM20" s="16741"/>
      <c r="CN20" s="16741"/>
      <c r="CO20" s="16741"/>
      <c r="CP20" s="16741"/>
      <c r="CQ20" s="16741"/>
      <c r="CR20" s="16741"/>
      <c r="CS20" s="16741"/>
      <c r="CT20" s="16741"/>
      <c r="CU20" s="16741"/>
      <c r="CV20" s="16741"/>
      <c r="CW20" s="16741"/>
      <c r="CX20" s="16741"/>
      <c r="CY20" s="16741"/>
      <c r="CZ20" s="16741"/>
      <c r="DA20" s="16741"/>
      <c r="DB20" s="16741"/>
      <c r="DC20" s="16741"/>
      <c r="DD20" s="16741"/>
      <c r="DE20" s="16741"/>
      <c r="DF20" s="16741"/>
      <c r="DG20" s="16741"/>
      <c r="DH20" s="16741"/>
      <c r="DI20" s="16741"/>
      <c r="DJ20" s="16741"/>
      <c r="DK20" s="16741"/>
      <c r="DL20" s="16741"/>
      <c r="DM20" s="16741"/>
      <c r="DN20" s="16741"/>
      <c r="DO20" s="16741"/>
      <c r="DP20" s="16741"/>
      <c r="DQ20" s="16741"/>
      <c r="DR20" s="16741"/>
      <c r="DS20" s="16741"/>
      <c r="DT20" s="16741"/>
      <c r="DU20" s="16741"/>
      <c r="DV20" s="16741"/>
      <c r="DW20" s="16741"/>
      <c r="DX20" s="16741"/>
      <c r="DY20" s="16741"/>
      <c r="DZ20" s="16741"/>
      <c r="EA20" s="16741"/>
      <c r="EI20" s="1439">
        <v>0</v>
      </c>
    </row>
    <row customHeight="1" ht="14.25" hidden="1">
      <c r="AG21" s="1644"/>
      <c r="AH21" s="1644"/>
      <c r="AI21" s="1644"/>
      <c r="AJ21" s="1644"/>
      <c r="AK21" s="1645"/>
      <c r="AL21" s="2551"/>
      <c r="AM21" s="2552"/>
      <c r="AN21" s="2551"/>
      <c r="AO21" s="2552"/>
      <c r="AP21" s="16741"/>
      <c r="AQ21" s="16741"/>
      <c r="AR21" s="16741"/>
      <c r="AS21" s="16741"/>
      <c r="AT21" s="16741"/>
      <c r="AU21" s="16741"/>
      <c r="AV21" s="16741"/>
      <c r="AW21" s="16741"/>
      <c r="AX21" s="16741"/>
      <c r="AY21" s="16741"/>
      <c r="AZ21" s="16741"/>
      <c r="BA21" s="16741"/>
      <c r="BB21" s="16741"/>
      <c r="BC21" s="16741"/>
      <c r="BD21" s="16741"/>
      <c r="BE21" s="16741"/>
      <c r="BF21" s="16741"/>
      <c r="BG21" s="16741"/>
      <c r="BH21" s="16741"/>
      <c r="BI21" s="16741"/>
      <c r="BJ21" s="16741"/>
      <c r="BK21" s="16741"/>
      <c r="BL21" s="16741"/>
      <c r="BM21" s="16741"/>
      <c r="BN21" s="16741"/>
      <c r="BO21" s="16741"/>
      <c r="BP21" s="16741"/>
      <c r="BQ21" s="16741"/>
      <c r="BR21" s="16741"/>
      <c r="BS21" s="16741"/>
      <c r="BT21" s="16741"/>
      <c r="BU21" s="16741"/>
      <c r="BV21" s="16741"/>
      <c r="BW21" s="16741"/>
      <c r="BX21" s="16741"/>
      <c r="BY21" s="16741"/>
      <c r="BZ21" s="16741"/>
      <c r="CA21" s="16741"/>
      <c r="CB21" s="16741"/>
      <c r="CC21" s="16741"/>
      <c r="CD21" s="16741"/>
      <c r="CE21" s="16741"/>
      <c r="CF21" s="16741"/>
      <c r="CG21" s="16741"/>
      <c r="CH21" s="16741"/>
      <c r="CI21" s="16741"/>
      <c r="CJ21" s="16741"/>
      <c r="CK21" s="16741"/>
      <c r="CL21" s="16741"/>
      <c r="CM21" s="16741"/>
      <c r="CN21" s="16741"/>
      <c r="CO21" s="16741"/>
      <c r="CP21" s="16741"/>
      <c r="CQ21" s="16741"/>
      <c r="CR21" s="16741"/>
      <c r="CS21" s="16741"/>
      <c r="CT21" s="16741"/>
      <c r="CU21" s="16741"/>
      <c r="CV21" s="16741"/>
      <c r="CW21" s="16741"/>
      <c r="CX21" s="16741"/>
      <c r="CY21" s="16741"/>
      <c r="CZ21" s="16741"/>
      <c r="DA21" s="16741"/>
      <c r="DB21" s="16741"/>
      <c r="DC21" s="16741"/>
      <c r="DD21" s="16741"/>
      <c r="DE21" s="16741"/>
      <c r="DF21" s="16741"/>
      <c r="DG21" s="16741"/>
      <c r="DH21" s="16741"/>
      <c r="DI21" s="16741"/>
      <c r="DJ21" s="16741"/>
      <c r="DK21" s="16741"/>
      <c r="DL21" s="16741"/>
      <c r="DM21" s="16741"/>
      <c r="DN21" s="16741"/>
      <c r="DO21" s="16741"/>
      <c r="DP21" s="16741"/>
      <c r="DQ21" s="16741"/>
      <c r="DR21" s="16741"/>
      <c r="DS21" s="16741"/>
      <c r="DT21" s="16741"/>
      <c r="DU21" s="16741"/>
      <c r="DV21" s="16741"/>
      <c r="DW21" s="16741"/>
      <c r="DX21" s="16741"/>
      <c r="DY21" s="16741"/>
      <c r="DZ21" s="16741"/>
      <c r="EA21" s="16741"/>
      <c r="EI21" s="1439">
        <v>0</v>
      </c>
    </row>
    <row customHeight="1" ht="14.25" hidden="1">
      <c r="AG22" s="1644"/>
      <c r="AH22" s="1644"/>
      <c r="AI22" s="1644"/>
      <c r="AJ22" s="1644"/>
      <c r="AK22" s="612" t="str">
        <f>AL19&amp;"-"&amp;AN19</f>
        <v>-</v>
      </c>
      <c r="AL22" s="2552"/>
      <c r="AM22" s="2552"/>
      <c r="AN22" s="2552"/>
      <c r="AO22" s="2552"/>
      <c r="AP22" s="16741"/>
      <c r="AQ22" s="16741"/>
      <c r="AR22" s="16741"/>
      <c r="AS22" s="16741"/>
      <c r="AT22" s="16741"/>
      <c r="AU22" s="16741"/>
      <c r="AV22" s="16741"/>
      <c r="AW22" s="16741"/>
      <c r="AX22" s="16741"/>
      <c r="AY22" s="16741"/>
      <c r="AZ22" s="16741"/>
      <c r="BA22" s="16741"/>
      <c r="BB22" s="16741"/>
      <c r="BC22" s="16741"/>
      <c r="BD22" s="16741"/>
      <c r="BE22" s="16741"/>
      <c r="BF22" s="16741"/>
      <c r="BG22" s="16741"/>
      <c r="BH22" s="16741"/>
      <c r="BI22" s="16741"/>
      <c r="BJ22" s="16741"/>
      <c r="BK22" s="16741"/>
      <c r="BL22" s="16741"/>
      <c r="BM22" s="16741"/>
      <c r="BN22" s="16741"/>
      <c r="BO22" s="16741"/>
      <c r="BP22" s="16741"/>
      <c r="BQ22" s="16741"/>
      <c r="BR22" s="16741"/>
      <c r="BS22" s="16741"/>
      <c r="BT22" s="16741"/>
      <c r="BU22" s="16741"/>
      <c r="BV22" s="16741"/>
      <c r="BW22" s="16741"/>
      <c r="BX22" s="16741"/>
      <c r="BY22" s="16741"/>
      <c r="BZ22" s="16741"/>
      <c r="CA22" s="16741"/>
      <c r="CB22" s="16741"/>
      <c r="CC22" s="16741"/>
      <c r="CD22" s="16741"/>
      <c r="CE22" s="16741"/>
      <c r="CF22" s="16741"/>
      <c r="CG22" s="16741"/>
      <c r="CH22" s="16741"/>
      <c r="CI22" s="16741"/>
      <c r="CJ22" s="16741"/>
      <c r="CK22" s="16741"/>
      <c r="CL22" s="16741"/>
      <c r="CM22" s="16741"/>
      <c r="CN22" s="16741"/>
      <c r="CO22" s="16741"/>
      <c r="CP22" s="16741"/>
      <c r="CQ22" s="16741"/>
      <c r="CR22" s="16741"/>
      <c r="CS22" s="16741"/>
      <c r="CT22" s="16741"/>
      <c r="CU22" s="16741"/>
      <c r="CV22" s="16741"/>
      <c r="CW22" s="16741"/>
      <c r="CX22" s="16741"/>
      <c r="CY22" s="16741"/>
      <c r="CZ22" s="16741"/>
      <c r="DA22" s="16741"/>
      <c r="DB22" s="16741"/>
      <c r="DC22" s="16741"/>
      <c r="DD22" s="16741"/>
      <c r="DE22" s="16741"/>
      <c r="DF22" s="16741"/>
      <c r="DG22" s="16741"/>
      <c r="DH22" s="16741"/>
      <c r="DI22" s="16741"/>
      <c r="DJ22" s="16741"/>
      <c r="DK22" s="16741"/>
      <c r="DL22" s="16741"/>
      <c r="DM22" s="16741"/>
      <c r="DN22" s="16741"/>
      <c r="DO22" s="16741"/>
      <c r="DP22" s="16741"/>
      <c r="DQ22" s="16741"/>
      <c r="DR22" s="16741"/>
      <c r="DS22" s="16741"/>
      <c r="DT22" s="16741"/>
      <c r="DU22" s="16741"/>
      <c r="DV22" s="16741"/>
      <c r="DW22" s="16741"/>
      <c r="DX22" s="16741"/>
      <c r="DY22" s="16741"/>
      <c r="DZ22" s="16741"/>
      <c r="EA22" s="16741"/>
      <c r="EI22" s="1439">
        <v>0</v>
      </c>
    </row>
    <row customHeight="1" ht="14.25" hidden="1">
      <c r="AO23" s="611"/>
      <c r="AP23" s="16741"/>
      <c r="AQ23" s="16741"/>
      <c r="AR23" s="16741"/>
      <c r="AS23" s="16741"/>
      <c r="AT23" s="16741"/>
      <c r="AU23" s="16741"/>
      <c r="AV23" s="16741"/>
      <c r="AW23" s="16741"/>
      <c r="AX23" s="16741"/>
      <c r="AY23" s="16741"/>
      <c r="AZ23" s="16741"/>
      <c r="BA23" s="16741"/>
      <c r="BB23" s="16741"/>
      <c r="BC23" s="16741"/>
      <c r="BD23" s="16741"/>
      <c r="BE23" s="16741"/>
      <c r="BF23" s="16741"/>
      <c r="BG23" s="16741"/>
      <c r="BH23" s="16741"/>
      <c r="BI23" s="16741"/>
      <c r="BJ23" s="16741"/>
      <c r="BK23" s="16741"/>
      <c r="BL23" s="16741"/>
      <c r="BM23" s="16741"/>
      <c r="BN23" s="16741"/>
      <c r="BO23" s="16741"/>
      <c r="BP23" s="16741"/>
      <c r="BQ23" s="16741"/>
      <c r="BR23" s="16741"/>
      <c r="BS23" s="16741"/>
      <c r="BT23" s="16741"/>
      <c r="BU23" s="16741"/>
      <c r="BV23" s="16741"/>
      <c r="BW23" s="16741"/>
      <c r="BX23" s="16741"/>
      <c r="BY23" s="16741"/>
      <c r="BZ23" s="16741"/>
      <c r="CA23" s="16741"/>
      <c r="CB23" s="16741"/>
      <c r="CC23" s="16741"/>
      <c r="CD23" s="16741"/>
      <c r="CE23" s="16741"/>
      <c r="CF23" s="16741"/>
      <c r="CG23" s="16741"/>
      <c r="CH23" s="16741"/>
      <c r="CI23" s="16741"/>
      <c r="CJ23" s="16741"/>
      <c r="CK23" s="16741"/>
      <c r="CL23" s="16741"/>
      <c r="CM23" s="16741"/>
      <c r="CN23" s="16741"/>
      <c r="CO23" s="16741"/>
      <c r="CP23" s="16741"/>
      <c r="CQ23" s="16741"/>
      <c r="CR23" s="16741"/>
      <c r="CS23" s="16741"/>
      <c r="CT23" s="16741"/>
      <c r="CU23" s="16741"/>
      <c r="CV23" s="16741"/>
      <c r="CW23" s="16741"/>
      <c r="CX23" s="16741"/>
      <c r="CY23" s="16741"/>
      <c r="CZ23" s="16741"/>
      <c r="DA23" s="16741"/>
      <c r="DB23" s="16741"/>
      <c r="DC23" s="16741"/>
      <c r="DD23" s="16741"/>
      <c r="DE23" s="16741"/>
      <c r="DF23" s="16741"/>
      <c r="DG23" s="16741"/>
      <c r="DH23" s="16741"/>
      <c r="DI23" s="16741"/>
      <c r="DJ23" s="16741"/>
      <c r="DK23" s="16741"/>
      <c r="DL23" s="16741"/>
      <c r="DM23" s="16741"/>
      <c r="DN23" s="16741"/>
      <c r="DO23" s="16741"/>
      <c r="DP23" s="16741"/>
      <c r="DQ23" s="16741"/>
      <c r="DR23" s="16741"/>
      <c r="DS23" s="16741"/>
      <c r="DT23" s="16741"/>
      <c r="DU23" s="16741"/>
      <c r="DV23" s="16741"/>
      <c r="DW23" s="16741"/>
      <c r="DX23" s="16741"/>
      <c r="DY23" s="16741"/>
      <c r="DZ23" s="16741"/>
      <c r="EA23" s="16741"/>
      <c r="EI23" s="1439">
        <v>0</v>
      </c>
    </row>
    <row s="30620" customFormat="1" customHeight="1" ht="22.5" hidden="1">
      <c r="A24" s="1439"/>
      <c r="B24" s="1439"/>
      <c r="C24" s="1439"/>
      <c r="D24" s="1439"/>
      <c r="E24" s="1439"/>
      <c r="F24" s="1439"/>
      <c r="G24" s="1439"/>
      <c r="H24" s="1439"/>
      <c r="I24" s="1439"/>
      <c r="J24" s="1439"/>
      <c r="K24" s="1439"/>
      <c r="L24" s="1439"/>
      <c r="M24" s="1611"/>
      <c r="N24" s="1612"/>
      <c r="O24" s="1612"/>
      <c r="P24" s="1629" t="s">
        <v>474</v>
      </c>
      <c r="Q24" s="1646"/>
      <c r="R24" s="1655"/>
      <c r="S24" s="1655"/>
      <c r="T24" s="1655"/>
      <c r="U24" s="1013"/>
      <c r="AC24" s="1651"/>
      <c r="AE24" s="1651"/>
      <c r="AF24" s="1650"/>
      <c r="AL24" s="1651"/>
      <c r="AN24" s="1651"/>
      <c r="AO24" s="1650"/>
      <c r="AP24" s="17008"/>
      <c r="AQ24" s="17008"/>
      <c r="AR24" s="17008"/>
      <c r="AS24" s="17008"/>
      <c r="AT24" s="17008"/>
      <c r="AU24" s="17009"/>
      <c r="AV24" s="17008"/>
      <c r="AW24" s="17009"/>
      <c r="AX24" s="17008"/>
      <c r="AY24" s="17008"/>
      <c r="AZ24" s="17008"/>
      <c r="BA24" s="17008"/>
      <c r="BB24" s="17008"/>
      <c r="BC24" s="17008"/>
      <c r="BD24" s="17009"/>
      <c r="BE24" s="17008"/>
      <c r="BF24" s="17009"/>
      <c r="BG24" s="17008"/>
      <c r="BH24" s="17008"/>
      <c r="BI24" s="17008"/>
      <c r="BJ24" s="17008"/>
      <c r="BK24" s="17008"/>
      <c r="BL24" s="17008"/>
      <c r="BM24" s="17009"/>
      <c r="BN24" s="17008"/>
      <c r="BO24" s="17009"/>
      <c r="BP24" s="17008"/>
      <c r="BQ24" s="17008"/>
      <c r="BR24" s="17008"/>
      <c r="BS24" s="17008"/>
      <c r="BT24" s="17008"/>
      <c r="BU24" s="17008"/>
      <c r="BV24" s="17009"/>
      <c r="BW24" s="17008"/>
      <c r="BX24" s="17009"/>
      <c r="BY24" s="17008"/>
      <c r="BZ24" s="17008"/>
      <c r="CA24" s="17008"/>
      <c r="CB24" s="17008"/>
      <c r="CC24" s="17008"/>
      <c r="CD24" s="17008"/>
      <c r="CE24" s="17009"/>
      <c r="CF24" s="17008"/>
      <c r="CG24" s="17009"/>
      <c r="CH24" s="17008"/>
      <c r="CI24" s="17008"/>
      <c r="CJ24" s="17008"/>
      <c r="CK24" s="17008"/>
      <c r="CL24" s="17008"/>
      <c r="CM24" s="17008"/>
      <c r="CN24" s="17009"/>
      <c r="CO24" s="17008"/>
      <c r="CP24" s="17009"/>
      <c r="CQ24" s="17008"/>
      <c r="CR24" s="17008"/>
      <c r="CS24" s="17008"/>
      <c r="CT24" s="17008"/>
      <c r="CU24" s="17008"/>
      <c r="CV24" s="17008"/>
      <c r="CW24" s="17009"/>
      <c r="CX24" s="17008"/>
      <c r="CY24" s="17009"/>
      <c r="CZ24" s="17008"/>
      <c r="DA24" s="17008"/>
      <c r="DB24" s="17008"/>
      <c r="DC24" s="17008"/>
      <c r="DD24" s="17008"/>
      <c r="DE24" s="17008"/>
      <c r="DF24" s="17009"/>
      <c r="DG24" s="17008"/>
      <c r="DH24" s="17009"/>
      <c r="DI24" s="17008"/>
      <c r="DJ24" s="17008"/>
      <c r="DK24" s="17008"/>
      <c r="DL24" s="17008"/>
      <c r="DM24" s="17008"/>
      <c r="DN24" s="17008"/>
      <c r="DO24" s="17009"/>
      <c r="DP24" s="17008"/>
      <c r="DQ24" s="17009"/>
      <c r="DR24" s="17008"/>
      <c r="DS24" s="17008"/>
      <c r="DT24" s="17008"/>
      <c r="DU24" s="17008"/>
      <c r="DV24" s="17008"/>
      <c r="DW24" s="17008"/>
      <c r="DX24" s="17009"/>
      <c r="DY24" s="17008"/>
      <c r="DZ24" s="17009"/>
      <c r="EA24" s="17008"/>
      <c r="ED24" s="795"/>
      <c r="EE24" s="795"/>
      <c r="EF24" s="795"/>
      <c r="EG24" s="795"/>
      <c r="EH24" s="795"/>
      <c r="EI24" s="1444">
        <v>0</v>
      </c>
    </row>
    <row s="30620" customFormat="1" customHeight="1" ht="14.25" hidden="1">
      <c r="A25" s="1439"/>
      <c r="B25" s="1439"/>
      <c r="C25" s="1439"/>
      <c r="D25" s="1439"/>
      <c r="E25" s="1439"/>
      <c r="F25" s="1439"/>
      <c r="G25" s="1439"/>
      <c r="H25" s="1439"/>
      <c r="I25" s="1439"/>
      <c r="J25" s="1439"/>
      <c r="K25" s="1439"/>
      <c r="L25" s="1439"/>
      <c r="M25" s="1611"/>
      <c r="N25" s="1612"/>
      <c r="O25" s="1612"/>
      <c r="P25" s="1612"/>
      <c r="Q25" s="1646"/>
      <c r="R25" s="1655"/>
      <c r="S25" s="1655"/>
      <c r="T25" s="1655"/>
      <c r="U25" s="1013"/>
      <c r="AF25" s="1650"/>
      <c r="AO25" s="1650"/>
      <c r="AP25" s="17008"/>
      <c r="AQ25" s="17008"/>
      <c r="AR25" s="17008"/>
      <c r="AS25" s="17008"/>
      <c r="AT25" s="17008"/>
      <c r="AU25" s="17008"/>
      <c r="AV25" s="17008"/>
      <c r="AW25" s="17008"/>
      <c r="AX25" s="17008"/>
      <c r="AY25" s="17008"/>
      <c r="AZ25" s="17008"/>
      <c r="BA25" s="17008"/>
      <c r="BB25" s="17008"/>
      <c r="BC25" s="17008"/>
      <c r="BD25" s="17008"/>
      <c r="BE25" s="17008"/>
      <c r="BF25" s="17008"/>
      <c r="BG25" s="17008"/>
      <c r="BH25" s="17008"/>
      <c r="BI25" s="17008"/>
      <c r="BJ25" s="17008"/>
      <c r="BK25" s="17008"/>
      <c r="BL25" s="17008"/>
      <c r="BM25" s="17008"/>
      <c r="BN25" s="17008"/>
      <c r="BO25" s="17008"/>
      <c r="BP25" s="17008"/>
      <c r="BQ25" s="17008"/>
      <c r="BR25" s="17008"/>
      <c r="BS25" s="17008"/>
      <c r="BT25" s="17008"/>
      <c r="BU25" s="17008"/>
      <c r="BV25" s="17008"/>
      <c r="BW25" s="17008"/>
      <c r="BX25" s="17008"/>
      <c r="BY25" s="17008"/>
      <c r="BZ25" s="17008"/>
      <c r="CA25" s="17008"/>
      <c r="CB25" s="17008"/>
      <c r="CC25" s="17008"/>
      <c r="CD25" s="17008"/>
      <c r="CE25" s="17008"/>
      <c r="CF25" s="17008"/>
      <c r="CG25" s="17008"/>
      <c r="CH25" s="17008"/>
      <c r="CI25" s="17008"/>
      <c r="CJ25" s="17008"/>
      <c r="CK25" s="17008"/>
      <c r="CL25" s="17008"/>
      <c r="CM25" s="17008"/>
      <c r="CN25" s="17008"/>
      <c r="CO25" s="17008"/>
      <c r="CP25" s="17008"/>
      <c r="CQ25" s="17008"/>
      <c r="CR25" s="17008"/>
      <c r="CS25" s="17008"/>
      <c r="CT25" s="17008"/>
      <c r="CU25" s="17008"/>
      <c r="CV25" s="17008"/>
      <c r="CW25" s="17008"/>
      <c r="CX25" s="17008"/>
      <c r="CY25" s="17008"/>
      <c r="CZ25" s="17008"/>
      <c r="DA25" s="17008"/>
      <c r="DB25" s="17008"/>
      <c r="DC25" s="17008"/>
      <c r="DD25" s="17008"/>
      <c r="DE25" s="17008"/>
      <c r="DF25" s="17008"/>
      <c r="DG25" s="17008"/>
      <c r="DH25" s="17008"/>
      <c r="DI25" s="17008"/>
      <c r="DJ25" s="17008"/>
      <c r="DK25" s="17008"/>
      <c r="DL25" s="17008"/>
      <c r="DM25" s="17008"/>
      <c r="DN25" s="17008"/>
      <c r="DO25" s="17008"/>
      <c r="DP25" s="17008"/>
      <c r="DQ25" s="17008"/>
      <c r="DR25" s="17008"/>
      <c r="DS25" s="17008"/>
      <c r="DT25" s="17008"/>
      <c r="DU25" s="17008"/>
      <c r="DV25" s="17008"/>
      <c r="DW25" s="17008"/>
      <c r="DX25" s="17008"/>
      <c r="DY25" s="17008"/>
      <c r="DZ25" s="17008"/>
      <c r="EA25" s="17008"/>
      <c r="ED25" s="795"/>
      <c r="EE25" s="795"/>
      <c r="EF25" s="795"/>
      <c r="EG25" s="795"/>
      <c r="EH25" s="795"/>
      <c r="EI25" s="1444">
        <v>0</v>
      </c>
    </row>
    <row s="30620" customFormat="1" customHeight="1" ht="14.25" hidden="1">
      <c r="A26" s="1439"/>
      <c r="B26" s="1439"/>
      <c r="C26" s="1439"/>
      <c r="D26" s="1439"/>
      <c r="E26" s="1439"/>
      <c r="F26" s="1439"/>
      <c r="G26" s="1439"/>
      <c r="H26" s="1439"/>
      <c r="I26" s="1439"/>
      <c r="J26" s="1439"/>
      <c r="K26" s="1439"/>
      <c r="L26" s="1439"/>
      <c r="M26" s="1611"/>
      <c r="N26" s="1612"/>
      <c r="O26" s="1612"/>
      <c r="P26" s="1594" t="s">
        <v>475</v>
      </c>
      <c r="Q26" s="1646"/>
      <c r="R26" s="1655"/>
      <c r="S26" s="1655"/>
      <c r="T26" s="1655"/>
      <c r="U26" s="1013"/>
      <c r="V26" s="1444" t="s">
        <v>476</v>
      </c>
      <c r="AD26" s="470" t="s">
        <v>477</v>
      </c>
      <c r="AF26" s="470" t="s">
        <v>478</v>
      </c>
      <c r="AG26" s="1444" t="s">
        <v>476</v>
      </c>
      <c r="AM26" s="470" t="s">
        <v>479</v>
      </c>
      <c r="AO26" s="470" t="s">
        <v>478</v>
      </c>
      <c r="AP26" s="17008"/>
      <c r="AQ26" s="17008"/>
      <c r="AR26" s="17008"/>
      <c r="AS26" s="17008"/>
      <c r="AT26" s="17008"/>
      <c r="AU26" s="17008"/>
      <c r="AV26" s="17010" t="s">
        <v>477</v>
      </c>
      <c r="AW26" s="17008"/>
      <c r="AX26" s="17010" t="s">
        <v>478</v>
      </c>
      <c r="AY26" s="17008"/>
      <c r="AZ26" s="17008"/>
      <c r="BA26" s="17008"/>
      <c r="BB26" s="17008"/>
      <c r="BC26" s="17008"/>
      <c r="BD26" s="17008"/>
      <c r="BE26" s="17010" t="s">
        <v>477</v>
      </c>
      <c r="BF26" s="17008"/>
      <c r="BG26" s="17010" t="s">
        <v>478</v>
      </c>
      <c r="BH26" s="17008"/>
      <c r="BI26" s="17008"/>
      <c r="BJ26" s="17008"/>
      <c r="BK26" s="17008"/>
      <c r="BL26" s="17008"/>
      <c r="BM26" s="17008"/>
      <c r="BN26" s="17010" t="s">
        <v>477</v>
      </c>
      <c r="BO26" s="17008"/>
      <c r="BP26" s="17010" t="s">
        <v>478</v>
      </c>
      <c r="BQ26" s="17008"/>
      <c r="BR26" s="17008"/>
      <c r="BS26" s="17008"/>
      <c r="BT26" s="17008"/>
      <c r="BU26" s="17008"/>
      <c r="BV26" s="17008"/>
      <c r="BW26" s="17010" t="s">
        <v>477</v>
      </c>
      <c r="BX26" s="17008"/>
      <c r="BY26" s="17010" t="s">
        <v>478</v>
      </c>
      <c r="BZ26" s="17008"/>
      <c r="CA26" s="17008"/>
      <c r="CB26" s="17008"/>
      <c r="CC26" s="17008"/>
      <c r="CD26" s="17008"/>
      <c r="CE26" s="17008"/>
      <c r="CF26" s="17010" t="s">
        <v>477</v>
      </c>
      <c r="CG26" s="17008"/>
      <c r="CH26" s="17010" t="s">
        <v>478</v>
      </c>
      <c r="CI26" s="17008"/>
      <c r="CJ26" s="17008"/>
      <c r="CK26" s="17008"/>
      <c r="CL26" s="17008"/>
      <c r="CM26" s="17008"/>
      <c r="CN26" s="17008"/>
      <c r="CO26" s="17010" t="s">
        <v>477</v>
      </c>
      <c r="CP26" s="17008"/>
      <c r="CQ26" s="17010" t="s">
        <v>478</v>
      </c>
      <c r="CR26" s="17008"/>
      <c r="CS26" s="17008"/>
      <c r="CT26" s="17008"/>
      <c r="CU26" s="17008"/>
      <c r="CV26" s="17008"/>
      <c r="CW26" s="17008"/>
      <c r="CX26" s="17010" t="s">
        <v>477</v>
      </c>
      <c r="CY26" s="17008"/>
      <c r="CZ26" s="17010" t="s">
        <v>478</v>
      </c>
      <c r="DA26" s="17008"/>
      <c r="DB26" s="17008"/>
      <c r="DC26" s="17008"/>
      <c r="DD26" s="17008"/>
      <c r="DE26" s="17008"/>
      <c r="DF26" s="17008"/>
      <c r="DG26" s="17010" t="s">
        <v>477</v>
      </c>
      <c r="DH26" s="17008"/>
      <c r="DI26" s="17010" t="s">
        <v>478</v>
      </c>
      <c r="DJ26" s="17008"/>
      <c r="DK26" s="17008"/>
      <c r="DL26" s="17008"/>
      <c r="DM26" s="17008"/>
      <c r="DN26" s="17008"/>
      <c r="DO26" s="17008"/>
      <c r="DP26" s="17010" t="s">
        <v>477</v>
      </c>
      <c r="DQ26" s="17008"/>
      <c r="DR26" s="17010" t="s">
        <v>478</v>
      </c>
      <c r="DS26" s="17008"/>
      <c r="DT26" s="17008"/>
      <c r="DU26" s="17008"/>
      <c r="DV26" s="17008"/>
      <c r="DW26" s="17008"/>
      <c r="DX26" s="17008"/>
      <c r="DY26" s="17010" t="s">
        <v>477</v>
      </c>
      <c r="DZ26" s="17008"/>
      <c r="EA26" s="17010" t="s">
        <v>478</v>
      </c>
      <c r="ED26" s="795"/>
      <c r="EE26" s="795"/>
      <c r="EF26" s="795"/>
      <c r="EG26" s="795"/>
      <c r="EH26" s="795"/>
      <c r="EI26" s="1444">
        <v>0</v>
      </c>
    </row>
    <row customHeight="1" ht="14.25" hidden="1">
      <c r="P27" s="1594"/>
      <c r="AP27" s="16741"/>
      <c r="AQ27" s="16741"/>
      <c r="AR27" s="16741"/>
      <c r="AS27" s="16741"/>
      <c r="AT27" s="16741"/>
      <c r="AU27" s="16741"/>
      <c r="AV27" s="16741"/>
      <c r="AW27" s="16741"/>
      <c r="AX27" s="16741"/>
      <c r="AY27" s="16741"/>
      <c r="AZ27" s="16741"/>
      <c r="BA27" s="16741"/>
      <c r="BB27" s="16741"/>
      <c r="BC27" s="16741"/>
      <c r="BD27" s="16741"/>
      <c r="BE27" s="16741"/>
      <c r="BF27" s="16741"/>
      <c r="BG27" s="16741"/>
      <c r="BH27" s="16741"/>
      <c r="BI27" s="16741"/>
      <c r="BJ27" s="16741"/>
      <c r="BK27" s="16741"/>
      <c r="BL27" s="16741"/>
      <c r="BM27" s="16741"/>
      <c r="BN27" s="16741"/>
      <c r="BO27" s="16741"/>
      <c r="BP27" s="16741"/>
      <c r="BQ27" s="16741"/>
      <c r="BR27" s="16741"/>
      <c r="BS27" s="16741"/>
      <c r="BT27" s="16741"/>
      <c r="BU27" s="16741"/>
      <c r="BV27" s="16741"/>
      <c r="BW27" s="16741"/>
      <c r="BX27" s="16741"/>
      <c r="BY27" s="16741"/>
      <c r="BZ27" s="16741"/>
      <c r="CA27" s="16741"/>
      <c r="CB27" s="16741"/>
      <c r="CC27" s="16741"/>
      <c r="CD27" s="16741"/>
      <c r="CE27" s="16741"/>
      <c r="CF27" s="16741"/>
      <c r="CG27" s="16741"/>
      <c r="CH27" s="16741"/>
      <c r="CI27" s="16741"/>
      <c r="CJ27" s="16741"/>
      <c r="CK27" s="16741"/>
      <c r="CL27" s="16741"/>
      <c r="CM27" s="16741"/>
      <c r="CN27" s="16741"/>
      <c r="CO27" s="16741"/>
      <c r="CP27" s="16741"/>
      <c r="CQ27" s="16741"/>
      <c r="CR27" s="16741"/>
      <c r="CS27" s="16741"/>
      <c r="CT27" s="16741"/>
      <c r="CU27" s="16741"/>
      <c r="CV27" s="16741"/>
      <c r="CW27" s="16741"/>
      <c r="CX27" s="16741"/>
      <c r="CY27" s="16741"/>
      <c r="CZ27" s="16741"/>
      <c r="DA27" s="16741"/>
      <c r="DB27" s="16741"/>
      <c r="DC27" s="16741"/>
      <c r="DD27" s="16741"/>
      <c r="DE27" s="16741"/>
      <c r="DF27" s="16741"/>
      <c r="DG27" s="16741"/>
      <c r="DH27" s="16741"/>
      <c r="DI27" s="16741"/>
      <c r="DJ27" s="16741"/>
      <c r="DK27" s="16741"/>
      <c r="DL27" s="16741"/>
      <c r="DM27" s="16741"/>
      <c r="DN27" s="16741"/>
      <c r="DO27" s="16741"/>
      <c r="DP27" s="16741"/>
      <c r="DQ27" s="16741"/>
      <c r="DR27" s="16741"/>
      <c r="DS27" s="16741"/>
      <c r="DT27" s="16741"/>
      <c r="DU27" s="16741"/>
      <c r="DV27" s="16741"/>
      <c r="DW27" s="16741"/>
      <c r="DX27" s="16741"/>
      <c r="DY27" s="16741"/>
      <c r="DZ27" s="16741"/>
      <c r="EA27" s="16741"/>
      <c r="EI27" s="1439">
        <v>0</v>
      </c>
    </row>
    <row customHeight="1" ht="14.25" hidden="1">
      <c r="P28" s="1594"/>
      <c r="AP28" s="16741"/>
      <c r="AQ28" s="16741"/>
      <c r="AR28" s="16741"/>
      <c r="AS28" s="16741"/>
      <c r="AT28" s="16741"/>
      <c r="AU28" s="16741"/>
      <c r="AV28" s="16741"/>
      <c r="AW28" s="16741"/>
      <c r="AX28" s="16741"/>
      <c r="AY28" s="16741"/>
      <c r="AZ28" s="16741"/>
      <c r="BA28" s="16741"/>
      <c r="BB28" s="16741"/>
      <c r="BC28" s="16741"/>
      <c r="BD28" s="16741"/>
      <c r="BE28" s="16741"/>
      <c r="BF28" s="16741"/>
      <c r="BG28" s="16741"/>
      <c r="BH28" s="16741"/>
      <c r="BI28" s="16741"/>
      <c r="BJ28" s="16741"/>
      <c r="BK28" s="16741"/>
      <c r="BL28" s="16741"/>
      <c r="BM28" s="16741"/>
      <c r="BN28" s="16741"/>
      <c r="BO28" s="16741"/>
      <c r="BP28" s="16741"/>
      <c r="BQ28" s="16741"/>
      <c r="BR28" s="16741"/>
      <c r="BS28" s="16741"/>
      <c r="BT28" s="16741"/>
      <c r="BU28" s="16741"/>
      <c r="BV28" s="16741"/>
      <c r="BW28" s="16741"/>
      <c r="BX28" s="16741"/>
      <c r="BY28" s="16741"/>
      <c r="BZ28" s="16741"/>
      <c r="CA28" s="16741"/>
      <c r="CB28" s="16741"/>
      <c r="CC28" s="16741"/>
      <c r="CD28" s="16741"/>
      <c r="CE28" s="16741"/>
      <c r="CF28" s="16741"/>
      <c r="CG28" s="16741"/>
      <c r="CH28" s="16741"/>
      <c r="CI28" s="16741"/>
      <c r="CJ28" s="16741"/>
      <c r="CK28" s="16741"/>
      <c r="CL28" s="16741"/>
      <c r="CM28" s="16741"/>
      <c r="CN28" s="16741"/>
      <c r="CO28" s="16741"/>
      <c r="CP28" s="16741"/>
      <c r="CQ28" s="16741"/>
      <c r="CR28" s="16741"/>
      <c r="CS28" s="16741"/>
      <c r="CT28" s="16741"/>
      <c r="CU28" s="16741"/>
      <c r="CV28" s="16741"/>
      <c r="CW28" s="16741"/>
      <c r="CX28" s="16741"/>
      <c r="CY28" s="16741"/>
      <c r="CZ28" s="16741"/>
      <c r="DA28" s="16741"/>
      <c r="DB28" s="16741"/>
      <c r="DC28" s="16741"/>
      <c r="DD28" s="16741"/>
      <c r="DE28" s="16741"/>
      <c r="DF28" s="16741"/>
      <c r="DG28" s="16741"/>
      <c r="DH28" s="16741"/>
      <c r="DI28" s="16741"/>
      <c r="DJ28" s="16741"/>
      <c r="DK28" s="16741"/>
      <c r="DL28" s="16741"/>
      <c r="DM28" s="16741"/>
      <c r="DN28" s="16741"/>
      <c r="DO28" s="16741"/>
      <c r="DP28" s="16741"/>
      <c r="DQ28" s="16741"/>
      <c r="DR28" s="16741"/>
      <c r="DS28" s="16741"/>
      <c r="DT28" s="16741"/>
      <c r="DU28" s="16741"/>
      <c r="DV28" s="16741"/>
      <c r="DW28" s="16741"/>
      <c r="DX28" s="16741"/>
      <c r="DY28" s="16741"/>
      <c r="DZ28" s="16741"/>
      <c r="EA28" s="16741"/>
      <c r="EI28" s="1439">
        <v>0</v>
      </c>
    </row>
    <row customHeight="1" ht="14.699999999999998">
      <c r="R29" s="660"/>
      <c r="S29" s="660"/>
      <c r="T29" s="660"/>
      <c r="U29" s="1559"/>
      <c r="V29" s="647"/>
      <c r="W29" s="647"/>
      <c r="X29" s="793"/>
      <c r="Y29" s="793"/>
      <c r="Z29" s="793"/>
      <c r="AA29" s="793"/>
      <c r="AB29" s="793"/>
      <c r="AC29" s="793"/>
      <c r="AD29" s="793"/>
      <c r="AE29" s="793"/>
      <c r="AF29" s="793"/>
      <c r="AG29" s="793"/>
      <c r="AH29" s="793"/>
      <c r="AI29" s="793"/>
      <c r="AJ29" s="793"/>
      <c r="AK29" s="793"/>
      <c r="AL29" s="793"/>
      <c r="AM29" s="793"/>
      <c r="AN29" s="793"/>
      <c r="AO29" s="793"/>
      <c r="AP29" s="16741"/>
      <c r="AQ29" s="16741"/>
      <c r="AR29" s="16741"/>
      <c r="AS29" s="16741"/>
      <c r="AT29" s="16741"/>
      <c r="AU29" s="16741"/>
      <c r="AV29" s="16741"/>
      <c r="AW29" s="16741"/>
      <c r="AX29" s="16741"/>
      <c r="AY29" s="16741"/>
      <c r="AZ29" s="16741"/>
      <c r="BA29" s="16741"/>
      <c r="BB29" s="16741"/>
      <c r="BC29" s="16741"/>
      <c r="BD29" s="16741"/>
      <c r="BE29" s="16741"/>
      <c r="BF29" s="16741"/>
      <c r="BG29" s="16741"/>
      <c r="BH29" s="16741"/>
      <c r="BI29" s="16741"/>
      <c r="BJ29" s="16741"/>
      <c r="BK29" s="16741"/>
      <c r="BL29" s="16741"/>
      <c r="BM29" s="16741"/>
      <c r="BN29" s="16741"/>
      <c r="BO29" s="16741"/>
      <c r="BP29" s="16741"/>
      <c r="BQ29" s="16741"/>
      <c r="BR29" s="16741"/>
      <c r="BS29" s="16741"/>
      <c r="BT29" s="16741"/>
      <c r="BU29" s="16741"/>
      <c r="BV29" s="16741"/>
      <c r="BW29" s="16741"/>
      <c r="BX29" s="16741"/>
      <c r="BY29" s="16741"/>
      <c r="BZ29" s="16741"/>
      <c r="CA29" s="16741"/>
      <c r="CB29" s="16741"/>
      <c r="CC29" s="16741"/>
      <c r="CD29" s="16741"/>
      <c r="CE29" s="16741"/>
      <c r="CF29" s="16741"/>
      <c r="CG29" s="16741"/>
      <c r="CH29" s="16741"/>
      <c r="CI29" s="16741"/>
      <c r="CJ29" s="16741"/>
      <c r="CK29" s="16741"/>
      <c r="CL29" s="16741"/>
      <c r="CM29" s="16741"/>
      <c r="CN29" s="16741"/>
      <c r="CO29" s="16741"/>
      <c r="CP29" s="16741"/>
      <c r="CQ29" s="16741"/>
      <c r="CR29" s="16741"/>
      <c r="CS29" s="16741"/>
      <c r="CT29" s="16741"/>
      <c r="CU29" s="16741"/>
      <c r="CV29" s="16741"/>
      <c r="CW29" s="16741"/>
      <c r="CX29" s="16741"/>
      <c r="CY29" s="16741"/>
      <c r="CZ29" s="16741"/>
      <c r="DA29" s="16741"/>
      <c r="DB29" s="16741"/>
      <c r="DC29" s="16741"/>
      <c r="DD29" s="16741"/>
      <c r="DE29" s="16741"/>
      <c r="DF29" s="16741"/>
      <c r="DG29" s="16741"/>
      <c r="DH29" s="16741"/>
      <c r="DI29" s="16741"/>
      <c r="DJ29" s="16741"/>
      <c r="DK29" s="16741"/>
      <c r="DL29" s="16741"/>
      <c r="DM29" s="16741"/>
      <c r="DN29" s="16741"/>
      <c r="DO29" s="16741"/>
      <c r="DP29" s="16741"/>
      <c r="DQ29" s="16741"/>
      <c r="DR29" s="16741"/>
      <c r="DS29" s="16741"/>
      <c r="DT29" s="16741"/>
      <c r="DU29" s="16741"/>
      <c r="DV29" s="16741"/>
      <c r="DW29" s="16741"/>
      <c r="DX29" s="16741"/>
      <c r="DY29" s="16741"/>
      <c r="DZ29" s="16741"/>
      <c r="EA29" s="16741"/>
      <c r="EI29" s="1439">
        <v>14</v>
      </c>
    </row>
    <row customHeight="1" ht="56.699999999999996">
      <c r="R30" s="660"/>
      <c r="S30" s="660"/>
      <c r="T30" s="660"/>
      <c r="U30" s="2532"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32"/>
      <c r="W30" s="2532"/>
      <c r="X30" s="2532"/>
      <c r="Y30" s="2532"/>
      <c r="Z30" s="2532"/>
      <c r="AA30" s="2532"/>
      <c r="AB30" s="2532"/>
      <c r="AC30" s="2532"/>
      <c r="AD30" s="2532"/>
      <c r="AE30" s="2532"/>
      <c r="AF30" s="2532"/>
      <c r="AG30" s="2532"/>
      <c r="AH30" s="2532"/>
      <c r="AI30" s="2532"/>
      <c r="AJ30" s="2532"/>
      <c r="AK30" s="2532"/>
      <c r="AL30" s="2532"/>
      <c r="AM30" s="2532"/>
      <c r="AN30" s="2532"/>
      <c r="AO30" s="1527"/>
      <c r="AP30" s="17011"/>
      <c r="AQ30" s="17011"/>
      <c r="AR30" s="17011"/>
      <c r="AS30" s="17011"/>
      <c r="AT30" s="17011"/>
      <c r="AU30" s="17011"/>
      <c r="AV30" s="17011"/>
      <c r="AW30" s="17011"/>
      <c r="AX30" s="17011"/>
      <c r="AY30" s="17011"/>
      <c r="AZ30" s="17011"/>
      <c r="BA30" s="17011"/>
      <c r="BB30" s="17011"/>
      <c r="BC30" s="17011"/>
      <c r="BD30" s="17011"/>
      <c r="BE30" s="17011"/>
      <c r="BF30" s="17011"/>
      <c r="BG30" s="17011"/>
      <c r="BH30" s="17011"/>
      <c r="BI30" s="17011"/>
      <c r="BJ30" s="17011"/>
      <c r="BK30" s="17011"/>
      <c r="BL30" s="17011"/>
      <c r="BM30" s="17011"/>
      <c r="BN30" s="17011"/>
      <c r="BO30" s="17011"/>
      <c r="BP30" s="17011"/>
      <c r="BQ30" s="17011"/>
      <c r="BR30" s="17011"/>
      <c r="BS30" s="17011"/>
      <c r="BT30" s="17011"/>
      <c r="BU30" s="17011"/>
      <c r="BV30" s="17011"/>
      <c r="BW30" s="17011"/>
      <c r="BX30" s="17011"/>
      <c r="BY30" s="17011"/>
      <c r="BZ30" s="17011"/>
      <c r="CA30" s="17011"/>
      <c r="CB30" s="17011"/>
      <c r="CC30" s="17011"/>
      <c r="CD30" s="17011"/>
      <c r="CE30" s="17011"/>
      <c r="CF30" s="17011"/>
      <c r="CG30" s="17011"/>
      <c r="CH30" s="17011"/>
      <c r="CI30" s="17011"/>
      <c r="CJ30" s="17011"/>
      <c r="CK30" s="17011"/>
      <c r="CL30" s="17011"/>
      <c r="CM30" s="17011"/>
      <c r="CN30" s="17011"/>
      <c r="CO30" s="17011"/>
      <c r="CP30" s="17011"/>
      <c r="CQ30" s="17011"/>
      <c r="CR30" s="17011"/>
      <c r="CS30" s="17011"/>
      <c r="CT30" s="17011"/>
      <c r="CU30" s="17011"/>
      <c r="CV30" s="17011"/>
      <c r="CW30" s="17011"/>
      <c r="CX30" s="17011"/>
      <c r="CY30" s="17011"/>
      <c r="CZ30" s="17011"/>
      <c r="DA30" s="17011"/>
      <c r="DB30" s="17011"/>
      <c r="DC30" s="17011"/>
      <c r="DD30" s="17011"/>
      <c r="DE30" s="17011"/>
      <c r="DF30" s="17011"/>
      <c r="DG30" s="17011"/>
      <c r="DH30" s="17011"/>
      <c r="DI30" s="17011"/>
      <c r="DJ30" s="17011"/>
      <c r="DK30" s="17011"/>
      <c r="DL30" s="17011"/>
      <c r="DM30" s="17011"/>
      <c r="DN30" s="17011"/>
      <c r="DO30" s="17011"/>
      <c r="DP30" s="17011"/>
      <c r="DQ30" s="17011"/>
      <c r="DR30" s="17011"/>
      <c r="DS30" s="17011"/>
      <c r="DT30" s="17011"/>
      <c r="DU30" s="17011"/>
      <c r="DV30" s="17011"/>
      <c r="DW30" s="17011"/>
      <c r="DX30" s="17011"/>
      <c r="DY30" s="17011"/>
      <c r="DZ30" s="17011"/>
      <c r="EA30" s="17011"/>
      <c r="EI30" s="1439">
        <v>54</v>
      </c>
    </row>
    <row customHeight="1" ht="14.699999999999998">
      <c r="R31" s="660"/>
      <c r="S31" s="660"/>
      <c r="T31" s="660"/>
      <c r="U31" s="2533" t="str">
        <f>IF(org=0,"Не определено",org)</f>
        <v>АО "ДГК"</v>
      </c>
      <c r="V31" s="2533"/>
      <c r="W31" s="2533"/>
      <c r="X31" s="2533"/>
      <c r="Y31" s="2533"/>
      <c r="Z31" s="2533"/>
      <c r="AA31" s="2533"/>
      <c r="AB31" s="2533"/>
      <c r="AC31" s="2533"/>
      <c r="AD31" s="2533"/>
      <c r="AE31" s="2533"/>
      <c r="AF31" s="2533"/>
      <c r="AG31" s="2533"/>
      <c r="AH31" s="2533"/>
      <c r="AI31" s="2533"/>
      <c r="AJ31" s="2533"/>
      <c r="AK31" s="2533"/>
      <c r="AL31" s="2533"/>
      <c r="AM31" s="2533"/>
      <c r="AN31" s="2533"/>
      <c r="AO31" s="1527"/>
      <c r="AP31" s="17012"/>
      <c r="AQ31" s="17012"/>
      <c r="AR31" s="17012"/>
      <c r="AS31" s="17012"/>
      <c r="AT31" s="17012"/>
      <c r="AU31" s="17012"/>
      <c r="AV31" s="17012"/>
      <c r="AW31" s="17012"/>
      <c r="AX31" s="17012"/>
      <c r="AY31" s="17012"/>
      <c r="AZ31" s="17012"/>
      <c r="BA31" s="17012"/>
      <c r="BB31" s="17012"/>
      <c r="BC31" s="17012"/>
      <c r="BD31" s="17012"/>
      <c r="BE31" s="17012"/>
      <c r="BF31" s="17012"/>
      <c r="BG31" s="17012"/>
      <c r="BH31" s="17012"/>
      <c r="BI31" s="17012"/>
      <c r="BJ31" s="17012"/>
      <c r="BK31" s="17012"/>
      <c r="BL31" s="17012"/>
      <c r="BM31" s="17012"/>
      <c r="BN31" s="17012"/>
      <c r="BO31" s="17012"/>
      <c r="BP31" s="17012"/>
      <c r="BQ31" s="17012"/>
      <c r="BR31" s="17012"/>
      <c r="BS31" s="17012"/>
      <c r="BT31" s="17012"/>
      <c r="BU31" s="17012"/>
      <c r="BV31" s="17012"/>
      <c r="BW31" s="17012"/>
      <c r="BX31" s="17012"/>
      <c r="BY31" s="17012"/>
      <c r="BZ31" s="17012"/>
      <c r="CA31" s="17012"/>
      <c r="CB31" s="17012"/>
      <c r="CC31" s="17012"/>
      <c r="CD31" s="17012"/>
      <c r="CE31" s="17012"/>
      <c r="CF31" s="17012"/>
      <c r="CG31" s="17012"/>
      <c r="CH31" s="17012"/>
      <c r="CI31" s="17012"/>
      <c r="CJ31" s="17012"/>
      <c r="CK31" s="17012"/>
      <c r="CL31" s="17012"/>
      <c r="CM31" s="17012"/>
      <c r="CN31" s="17012"/>
      <c r="CO31" s="17012"/>
      <c r="CP31" s="17012"/>
      <c r="CQ31" s="17012"/>
      <c r="CR31" s="17012"/>
      <c r="CS31" s="17012"/>
      <c r="CT31" s="17012"/>
      <c r="CU31" s="17012"/>
      <c r="CV31" s="17012"/>
      <c r="CW31" s="17012"/>
      <c r="CX31" s="17012"/>
      <c r="CY31" s="17012"/>
      <c r="CZ31" s="17012"/>
      <c r="DA31" s="17012"/>
      <c r="DB31" s="17012"/>
      <c r="DC31" s="17012"/>
      <c r="DD31" s="17012"/>
      <c r="DE31" s="17012"/>
      <c r="DF31" s="17012"/>
      <c r="DG31" s="17012"/>
      <c r="DH31" s="17012"/>
      <c r="DI31" s="17012"/>
      <c r="DJ31" s="17012"/>
      <c r="DK31" s="17012"/>
      <c r="DL31" s="17012"/>
      <c r="DM31" s="17012"/>
      <c r="DN31" s="17012"/>
      <c r="DO31" s="17012"/>
      <c r="DP31" s="17012"/>
      <c r="DQ31" s="17012"/>
      <c r="DR31" s="17012"/>
      <c r="DS31" s="17012"/>
      <c r="DT31" s="17012"/>
      <c r="DU31" s="17012"/>
      <c r="DV31" s="17012"/>
      <c r="DW31" s="17012"/>
      <c r="DX31" s="17012"/>
      <c r="DY31" s="17012"/>
      <c r="DZ31" s="17012"/>
      <c r="EA31" s="17012"/>
      <c r="EI31" s="1439">
        <v>14</v>
      </c>
    </row>
    <row customHeight="1" ht="14.25">
      <c r="R32" s="660"/>
      <c r="S32" s="660"/>
      <c r="T32" s="660"/>
      <c r="U32" s="1559"/>
      <c r="V32" s="647"/>
      <c r="W32" s="647"/>
      <c r="X32" s="606"/>
      <c r="Y32" s="606"/>
      <c r="Z32" s="606"/>
      <c r="AA32" s="606"/>
      <c r="AB32" s="606"/>
      <c r="AC32" s="606"/>
      <c r="AD32" s="606"/>
      <c r="AE32" s="606"/>
      <c r="AF32" s="606"/>
      <c r="AG32" s="606"/>
      <c r="AH32" s="606"/>
      <c r="AI32" s="606"/>
      <c r="AJ32" s="606"/>
      <c r="AK32" s="606"/>
      <c r="AL32" s="606"/>
      <c r="AM32" s="606"/>
      <c r="AN32" s="606"/>
      <c r="AO32" s="606"/>
      <c r="AP32" s="17013"/>
      <c r="AQ32" s="17013"/>
      <c r="AR32" s="17013"/>
      <c r="AS32" s="17013"/>
      <c r="AT32" s="17013"/>
      <c r="AU32" s="17013"/>
      <c r="AV32" s="17013"/>
      <c r="AW32" s="17013"/>
      <c r="AX32" s="17013"/>
      <c r="AY32" s="17013"/>
      <c r="AZ32" s="17013"/>
      <c r="BA32" s="17013"/>
      <c r="BB32" s="17013"/>
      <c r="BC32" s="17013"/>
      <c r="BD32" s="17013"/>
      <c r="BE32" s="17013"/>
      <c r="BF32" s="17013"/>
      <c r="BG32" s="17013"/>
      <c r="BH32" s="17013"/>
      <c r="BI32" s="17013"/>
      <c r="BJ32" s="17013"/>
      <c r="BK32" s="17013"/>
      <c r="BL32" s="17013"/>
      <c r="BM32" s="17013"/>
      <c r="BN32" s="17013"/>
      <c r="BO32" s="17013"/>
      <c r="BP32" s="17013"/>
      <c r="BQ32" s="17013"/>
      <c r="BR32" s="17013"/>
      <c r="BS32" s="17013"/>
      <c r="BT32" s="17013"/>
      <c r="BU32" s="17013"/>
      <c r="BV32" s="17013"/>
      <c r="BW32" s="17013"/>
      <c r="BX32" s="17013"/>
      <c r="BY32" s="17013"/>
      <c r="BZ32" s="17013"/>
      <c r="CA32" s="17013"/>
      <c r="CB32" s="17013"/>
      <c r="CC32" s="17013"/>
      <c r="CD32" s="17013"/>
      <c r="CE32" s="17013"/>
      <c r="CF32" s="17013"/>
      <c r="CG32" s="17013"/>
      <c r="CH32" s="17013"/>
      <c r="CI32" s="17013"/>
      <c r="CJ32" s="17013"/>
      <c r="CK32" s="17013"/>
      <c r="CL32" s="17013"/>
      <c r="CM32" s="17013"/>
      <c r="CN32" s="17013"/>
      <c r="CO32" s="17013"/>
      <c r="CP32" s="17013"/>
      <c r="CQ32" s="17013"/>
      <c r="CR32" s="17013"/>
      <c r="CS32" s="17013"/>
      <c r="CT32" s="17013"/>
      <c r="CU32" s="17013"/>
      <c r="CV32" s="17013"/>
      <c r="CW32" s="17013"/>
      <c r="CX32" s="17013"/>
      <c r="CY32" s="17013"/>
      <c r="CZ32" s="17013"/>
      <c r="DA32" s="17013"/>
      <c r="DB32" s="17013"/>
      <c r="DC32" s="17013"/>
      <c r="DD32" s="17013"/>
      <c r="DE32" s="17013"/>
      <c r="DF32" s="17013"/>
      <c r="DG32" s="17013"/>
      <c r="DH32" s="17013"/>
      <c r="DI32" s="17013"/>
      <c r="DJ32" s="17013"/>
      <c r="DK32" s="17013"/>
      <c r="DL32" s="17013"/>
      <c r="DM32" s="17013"/>
      <c r="DN32" s="17013"/>
      <c r="DO32" s="17013"/>
      <c r="DP32" s="17013"/>
      <c r="DQ32" s="17013"/>
      <c r="DR32" s="17013"/>
      <c r="DS32" s="17013"/>
      <c r="DT32" s="17013"/>
      <c r="DU32" s="17013"/>
      <c r="DV32" s="17013"/>
      <c r="DW32" s="17013"/>
      <c r="DX32" s="17013"/>
      <c r="DY32" s="17013"/>
      <c r="DZ32" s="17013"/>
      <c r="EA32" s="17013"/>
      <c r="EB32" s="793"/>
      <c r="EI32" s="1439">
        <v>0</v>
      </c>
    </row>
    <row s="30764" customFormat="1" customHeight="1" ht="25.5">
      <c r="A33" s="1532"/>
      <c r="B33" s="1532"/>
      <c r="C33" s="1532"/>
      <c r="D33" s="1532"/>
      <c r="E33" s="1532"/>
      <c r="F33" s="1532"/>
      <c r="G33" s="1532"/>
      <c r="H33" s="1532"/>
      <c r="I33" s="1532"/>
      <c r="J33" s="1532"/>
      <c r="K33" s="1532"/>
      <c r="L33" s="1532"/>
      <c r="M33" s="1664"/>
      <c r="N33" s="1532"/>
      <c r="O33" s="1532"/>
      <c r="P33" s="1532"/>
      <c r="U33" s="2534" t="s">
        <v>42</v>
      </c>
      <c r="V33" s="2534"/>
      <c r="W33" s="1656"/>
      <c r="X33" s="2535" t="str">
        <f>IF(TITLE_NAME_OR_PR_CHANGE="",IF(TITLE_NAME_OR_PR="","",TITLE_NAME_OR_PR),TITLE_NAME_OR_PR_CHANGE)</f>
        <v>Комитет по ценам и тарифам Правительства Хабаровского края</v>
      </c>
      <c r="Y33" s="2535"/>
      <c r="Z33" s="2535"/>
      <c r="AA33" s="2535"/>
      <c r="AB33" s="2535"/>
      <c r="AC33" s="2535"/>
      <c r="AD33" s="2535"/>
      <c r="AE33" s="2535"/>
      <c r="AF33" s="610"/>
      <c r="AG33" s="2535" t="str">
        <f>IF(TITLE_NAME_OR_PR_CHANGE="",IF(TITLE_NAME_OR_PR="","",TITLE_NAME_OR_PR),TITLE_NAME_OR_PR_CHANGE)</f>
        <v>Комитет по ценам и тарифам Правительства Хабаровского края</v>
      </c>
      <c r="AH33" s="2535"/>
      <c r="AI33" s="2535"/>
      <c r="AJ33" s="2535"/>
      <c r="AK33" s="2535"/>
      <c r="AL33" s="2535"/>
      <c r="AM33" s="2535"/>
      <c r="AN33" s="2535"/>
      <c r="AO33" s="610"/>
      <c r="AP33" s="17014" t="str">
        <f>IF(TITLE_NAME_OR_PR_CHANGE="",IF(TITLE_NAME_OR_PR="","",TITLE_NAME_OR_PR),TITLE_NAME_OR_PR_CHANGE)</f>
        <v>Комитет по ценам и тарифам Правительства Хабаровского края</v>
      </c>
      <c r="AQ33" s="17014"/>
      <c r="AR33" s="17014"/>
      <c r="AS33" s="17014"/>
      <c r="AT33" s="17014"/>
      <c r="AU33" s="17014"/>
      <c r="AV33" s="17014"/>
      <c r="AW33" s="17014"/>
      <c r="AX33" s="16741"/>
      <c r="AY33" s="17014" t="str">
        <f>IF(TITLE_NAME_OR_PR_CHANGE="",IF(TITLE_NAME_OR_PR="","",TITLE_NAME_OR_PR),TITLE_NAME_OR_PR_CHANGE)</f>
        <v>Комитет по ценам и тарифам Правительства Хабаровского края</v>
      </c>
      <c r="AZ33" s="17014"/>
      <c r="BA33" s="17014"/>
      <c r="BB33" s="17014"/>
      <c r="BC33" s="17014"/>
      <c r="BD33" s="17014"/>
      <c r="BE33" s="17014"/>
      <c r="BF33" s="17014"/>
      <c r="BG33" s="16741"/>
      <c r="BH33" s="17014" t="str">
        <f>IF(TITLE_NAME_OR_PR_CHANGE="",IF(TITLE_NAME_OR_PR="","",TITLE_NAME_OR_PR),TITLE_NAME_OR_PR_CHANGE)</f>
        <v>Комитет по ценам и тарифам Правительства Хабаровского края</v>
      </c>
      <c r="BI33" s="17014"/>
      <c r="BJ33" s="17014"/>
      <c r="BK33" s="17014"/>
      <c r="BL33" s="17014"/>
      <c r="BM33" s="17014"/>
      <c r="BN33" s="17014"/>
      <c r="BO33" s="17014"/>
      <c r="BP33" s="16741"/>
      <c r="BQ33" s="17014" t="str">
        <f>IF(TITLE_NAME_OR_PR_CHANGE="",IF(TITLE_NAME_OR_PR="","",TITLE_NAME_OR_PR),TITLE_NAME_OR_PR_CHANGE)</f>
        <v>Комитет по ценам и тарифам Правительства Хабаровского края</v>
      </c>
      <c r="BR33" s="17014"/>
      <c r="BS33" s="17014"/>
      <c r="BT33" s="17014"/>
      <c r="BU33" s="17014"/>
      <c r="BV33" s="17014"/>
      <c r="BW33" s="17014"/>
      <c r="BX33" s="17014"/>
      <c r="BY33" s="16741"/>
      <c r="BZ33" s="17014" t="str">
        <f>IF(TITLE_NAME_OR_PR_CHANGE="",IF(TITLE_NAME_OR_PR="","",TITLE_NAME_OR_PR),TITLE_NAME_OR_PR_CHANGE)</f>
        <v>Комитет по ценам и тарифам Правительства Хабаровского края</v>
      </c>
      <c r="CA33" s="17014"/>
      <c r="CB33" s="17014"/>
      <c r="CC33" s="17014"/>
      <c r="CD33" s="17014"/>
      <c r="CE33" s="17014"/>
      <c r="CF33" s="17014"/>
      <c r="CG33" s="17014"/>
      <c r="CH33" s="16741"/>
      <c r="CI33" s="17014" t="str">
        <f>IF(TITLE_NAME_OR_PR_CHANGE="",IF(TITLE_NAME_OR_PR="","",TITLE_NAME_OR_PR),TITLE_NAME_OR_PR_CHANGE)</f>
        <v>Комитет по ценам и тарифам Правительства Хабаровского края</v>
      </c>
      <c r="CJ33" s="17014"/>
      <c r="CK33" s="17014"/>
      <c r="CL33" s="17014"/>
      <c r="CM33" s="17014"/>
      <c r="CN33" s="17014"/>
      <c r="CO33" s="17014"/>
      <c r="CP33" s="17014"/>
      <c r="CQ33" s="16741"/>
      <c r="CR33" s="17014" t="str">
        <f>IF(TITLE_NAME_OR_PR_CHANGE="",IF(TITLE_NAME_OR_PR="","",TITLE_NAME_OR_PR),TITLE_NAME_OR_PR_CHANGE)</f>
        <v>Комитет по ценам и тарифам Правительства Хабаровского края</v>
      </c>
      <c r="CS33" s="17014"/>
      <c r="CT33" s="17014"/>
      <c r="CU33" s="17014"/>
      <c r="CV33" s="17014"/>
      <c r="CW33" s="17014"/>
      <c r="CX33" s="17014"/>
      <c r="CY33" s="17014"/>
      <c r="CZ33" s="16741"/>
      <c r="DA33" s="17014" t="str">
        <f>IF(TITLE_NAME_OR_PR_CHANGE="",IF(TITLE_NAME_OR_PR="","",TITLE_NAME_OR_PR),TITLE_NAME_OR_PR_CHANGE)</f>
        <v>Комитет по ценам и тарифам Правительства Хабаровского края</v>
      </c>
      <c r="DB33" s="17014"/>
      <c r="DC33" s="17014"/>
      <c r="DD33" s="17014"/>
      <c r="DE33" s="17014"/>
      <c r="DF33" s="17014"/>
      <c r="DG33" s="17014"/>
      <c r="DH33" s="17014"/>
      <c r="DI33" s="16741"/>
      <c r="DJ33" s="17014" t="str">
        <f>IF(TITLE_NAME_OR_PR_CHANGE="",IF(TITLE_NAME_OR_PR="","",TITLE_NAME_OR_PR),TITLE_NAME_OR_PR_CHANGE)</f>
        <v>Комитет по ценам и тарифам Правительства Хабаровского края</v>
      </c>
      <c r="DK33" s="17014"/>
      <c r="DL33" s="17014"/>
      <c r="DM33" s="17014"/>
      <c r="DN33" s="17014"/>
      <c r="DO33" s="17014"/>
      <c r="DP33" s="17014"/>
      <c r="DQ33" s="17014"/>
      <c r="DR33" s="16741"/>
      <c r="DS33" s="17014" t="str">
        <f>IF(TITLE_NAME_OR_PR_CHANGE="",IF(TITLE_NAME_OR_PR="","",TITLE_NAME_OR_PR),TITLE_NAME_OR_PR_CHANGE)</f>
        <v>Комитет по ценам и тарифам Правительства Хабаровского края</v>
      </c>
      <c r="DT33" s="17014"/>
      <c r="DU33" s="17014"/>
      <c r="DV33" s="17014"/>
      <c r="DW33" s="17014"/>
      <c r="DX33" s="17014"/>
      <c r="DY33" s="17014"/>
      <c r="DZ33" s="17014"/>
      <c r="EA33" s="16741"/>
      <c r="EB33" s="610"/>
      <c r="EC33" s="564"/>
      <c r="ED33" s="652"/>
      <c r="EE33" s="652"/>
      <c r="EF33" s="652"/>
      <c r="EG33" s="652"/>
      <c r="EH33" s="652"/>
      <c r="EI33" s="702">
        <v>0</v>
      </c>
    </row>
    <row s="30764" customFormat="1" customHeight="1" ht="18.75">
      <c r="A34" s="1532"/>
      <c r="B34" s="1532"/>
      <c r="C34" s="1532"/>
      <c r="D34" s="1532"/>
      <c r="E34" s="1532"/>
      <c r="F34" s="1532"/>
      <c r="G34" s="1532"/>
      <c r="H34" s="1532"/>
      <c r="I34" s="1532"/>
      <c r="J34" s="1532"/>
      <c r="K34" s="1532"/>
      <c r="L34" s="1532"/>
      <c r="M34" s="1664"/>
      <c r="N34" s="1532"/>
      <c r="O34" s="1532"/>
      <c r="P34" s="1532"/>
      <c r="U34" s="2534" t="s">
        <v>480</v>
      </c>
      <c r="V34" s="2534"/>
      <c r="W34" s="1656"/>
      <c r="X34" s="2548" t="str">
        <f>IF(TITLE_DATE_PR_CHANGE="",IF(TITLE_DATE_PR="","",TITLE_DATE_PR),TITLE_DATE_PR_CHANGE)</f>
        <v>45645</v>
      </c>
      <c r="Y34" s="2548"/>
      <c r="Z34" s="2548"/>
      <c r="AA34" s="2548"/>
      <c r="AB34" s="2548"/>
      <c r="AC34" s="2548"/>
      <c r="AD34" s="2548"/>
      <c r="AE34" s="2548"/>
      <c r="AF34" s="610"/>
      <c r="AG34" s="2548" t="str">
        <f>IF(TITLE_DATE_PR_CHANGE="",IF(TITLE_DATE_PR="","",TITLE_DATE_PR),TITLE_DATE_PR_CHANGE)</f>
        <v>45645</v>
      </c>
      <c r="AH34" s="2548"/>
      <c r="AI34" s="2548"/>
      <c r="AJ34" s="2548"/>
      <c r="AK34" s="2548"/>
      <c r="AL34" s="2548"/>
      <c r="AM34" s="2548"/>
      <c r="AN34" s="2548"/>
      <c r="AO34" s="610"/>
      <c r="AP34" s="17015" t="str">
        <f>IF(TITLE_DATE_PR_CHANGE="",IF(TITLE_DATE_PR="","",TITLE_DATE_PR),TITLE_DATE_PR_CHANGE)</f>
        <v>45645</v>
      </c>
      <c r="AQ34" s="17015"/>
      <c r="AR34" s="17015"/>
      <c r="AS34" s="17015"/>
      <c r="AT34" s="17015"/>
      <c r="AU34" s="17015"/>
      <c r="AV34" s="17015"/>
      <c r="AW34" s="17015"/>
      <c r="AX34" s="16741"/>
      <c r="AY34" s="17015" t="str">
        <f>IF(TITLE_DATE_PR_CHANGE="",IF(TITLE_DATE_PR="","",TITLE_DATE_PR),TITLE_DATE_PR_CHANGE)</f>
        <v>45645</v>
      </c>
      <c r="AZ34" s="17015"/>
      <c r="BA34" s="17015"/>
      <c r="BB34" s="17015"/>
      <c r="BC34" s="17015"/>
      <c r="BD34" s="17015"/>
      <c r="BE34" s="17015"/>
      <c r="BF34" s="17015"/>
      <c r="BG34" s="16741"/>
      <c r="BH34" s="17015" t="str">
        <f>IF(TITLE_DATE_PR_CHANGE="",IF(TITLE_DATE_PR="","",TITLE_DATE_PR),TITLE_DATE_PR_CHANGE)</f>
        <v>45645</v>
      </c>
      <c r="BI34" s="17015"/>
      <c r="BJ34" s="17015"/>
      <c r="BK34" s="17015"/>
      <c r="BL34" s="17015"/>
      <c r="BM34" s="17015"/>
      <c r="BN34" s="17015"/>
      <c r="BO34" s="17015"/>
      <c r="BP34" s="16741"/>
      <c r="BQ34" s="17015" t="str">
        <f>IF(TITLE_DATE_PR_CHANGE="",IF(TITLE_DATE_PR="","",TITLE_DATE_PR),TITLE_DATE_PR_CHANGE)</f>
        <v>45645</v>
      </c>
      <c r="BR34" s="17015"/>
      <c r="BS34" s="17015"/>
      <c r="BT34" s="17015"/>
      <c r="BU34" s="17015"/>
      <c r="BV34" s="17015"/>
      <c r="BW34" s="17015"/>
      <c r="BX34" s="17015"/>
      <c r="BY34" s="16741"/>
      <c r="BZ34" s="17015" t="str">
        <f>IF(TITLE_DATE_PR_CHANGE="",IF(TITLE_DATE_PR="","",TITLE_DATE_PR),TITLE_DATE_PR_CHANGE)</f>
        <v>45645</v>
      </c>
      <c r="CA34" s="17015"/>
      <c r="CB34" s="17015"/>
      <c r="CC34" s="17015"/>
      <c r="CD34" s="17015"/>
      <c r="CE34" s="17015"/>
      <c r="CF34" s="17015"/>
      <c r="CG34" s="17015"/>
      <c r="CH34" s="16741"/>
      <c r="CI34" s="17015" t="str">
        <f>IF(TITLE_DATE_PR_CHANGE="",IF(TITLE_DATE_PR="","",TITLE_DATE_PR),TITLE_DATE_PR_CHANGE)</f>
        <v>45645</v>
      </c>
      <c r="CJ34" s="17015"/>
      <c r="CK34" s="17015"/>
      <c r="CL34" s="17015"/>
      <c r="CM34" s="17015"/>
      <c r="CN34" s="17015"/>
      <c r="CO34" s="17015"/>
      <c r="CP34" s="17015"/>
      <c r="CQ34" s="16741"/>
      <c r="CR34" s="17015" t="str">
        <f>IF(TITLE_DATE_PR_CHANGE="",IF(TITLE_DATE_PR="","",TITLE_DATE_PR),TITLE_DATE_PR_CHANGE)</f>
        <v>45645</v>
      </c>
      <c r="CS34" s="17015"/>
      <c r="CT34" s="17015"/>
      <c r="CU34" s="17015"/>
      <c r="CV34" s="17015"/>
      <c r="CW34" s="17015"/>
      <c r="CX34" s="17015"/>
      <c r="CY34" s="17015"/>
      <c r="CZ34" s="16741"/>
      <c r="DA34" s="17015" t="str">
        <f>IF(TITLE_DATE_PR_CHANGE="",IF(TITLE_DATE_PR="","",TITLE_DATE_PR),TITLE_DATE_PR_CHANGE)</f>
        <v>45645</v>
      </c>
      <c r="DB34" s="17015"/>
      <c r="DC34" s="17015"/>
      <c r="DD34" s="17015"/>
      <c r="DE34" s="17015"/>
      <c r="DF34" s="17015"/>
      <c r="DG34" s="17015"/>
      <c r="DH34" s="17015"/>
      <c r="DI34" s="16741"/>
      <c r="DJ34" s="17015" t="str">
        <f>IF(TITLE_DATE_PR_CHANGE="",IF(TITLE_DATE_PR="","",TITLE_DATE_PR),TITLE_DATE_PR_CHANGE)</f>
        <v>45645</v>
      </c>
      <c r="DK34" s="17015"/>
      <c r="DL34" s="17015"/>
      <c r="DM34" s="17015"/>
      <c r="DN34" s="17015"/>
      <c r="DO34" s="17015"/>
      <c r="DP34" s="17015"/>
      <c r="DQ34" s="17015"/>
      <c r="DR34" s="16741"/>
      <c r="DS34" s="17015" t="str">
        <f>IF(TITLE_DATE_PR_CHANGE="",IF(TITLE_DATE_PR="","",TITLE_DATE_PR),TITLE_DATE_PR_CHANGE)</f>
        <v>45645</v>
      </c>
      <c r="DT34" s="17015"/>
      <c r="DU34" s="17015"/>
      <c r="DV34" s="17015"/>
      <c r="DW34" s="17015"/>
      <c r="DX34" s="17015"/>
      <c r="DY34" s="17015"/>
      <c r="DZ34" s="17015"/>
      <c r="EA34" s="16741"/>
      <c r="EB34" s="610"/>
      <c r="EC34" s="564"/>
      <c r="ED34" s="652"/>
      <c r="EE34" s="652"/>
      <c r="EF34" s="652"/>
      <c r="EG34" s="652"/>
      <c r="EH34" s="652"/>
      <c r="EI34" s="702">
        <v>0</v>
      </c>
    </row>
    <row s="30764" customFormat="1" customHeight="1" ht="18.75">
      <c r="A35" s="1532"/>
      <c r="B35" s="1532"/>
      <c r="C35" s="1532"/>
      <c r="D35" s="1532"/>
      <c r="E35" s="1532"/>
      <c r="F35" s="1532"/>
      <c r="G35" s="1532"/>
      <c r="H35" s="1532"/>
      <c r="I35" s="1532"/>
      <c r="J35" s="1532"/>
      <c r="K35" s="1532"/>
      <c r="L35" s="1532"/>
      <c r="M35" s="1664"/>
      <c r="N35" s="1532"/>
      <c r="O35" s="1532"/>
      <c r="P35" s="1532"/>
      <c r="U35" s="2534" t="s">
        <v>481</v>
      </c>
      <c r="V35" s="2534"/>
      <c r="W35" s="1656"/>
      <c r="X35" s="2535" t="str">
        <f>IF(TITLE_NUMBER_PR_CHANGE="",IF(TITLE_NUMBER_PR="","",TITLE_NUMBER_PR),TITLE_NUMBER_PR_CHANGE)</f>
        <v>№ 40/8</v>
      </c>
      <c r="Y35" s="2535"/>
      <c r="Z35" s="2535"/>
      <c r="AA35" s="2535"/>
      <c r="AB35" s="2535"/>
      <c r="AC35" s="2535"/>
      <c r="AD35" s="2535"/>
      <c r="AE35" s="2535"/>
      <c r="AF35" s="610"/>
      <c r="AG35" s="2535" t="str">
        <f>IF(TITLE_NUMBER_PR_CHANGE="",IF(TITLE_NUMBER_PR="","",TITLE_NUMBER_PR),TITLE_NUMBER_PR_CHANGE)</f>
        <v>№ 40/8</v>
      </c>
      <c r="AH35" s="2535"/>
      <c r="AI35" s="2535"/>
      <c r="AJ35" s="2535"/>
      <c r="AK35" s="2535"/>
      <c r="AL35" s="2535"/>
      <c r="AM35" s="2535"/>
      <c r="AN35" s="2535"/>
      <c r="AO35" s="610"/>
      <c r="AP35" s="17014" t="str">
        <f>IF(TITLE_NUMBER_PR_CHANGE="",IF(TITLE_NUMBER_PR="","",TITLE_NUMBER_PR),TITLE_NUMBER_PR_CHANGE)</f>
        <v>№ 40/8</v>
      </c>
      <c r="AQ35" s="17014"/>
      <c r="AR35" s="17014"/>
      <c r="AS35" s="17014"/>
      <c r="AT35" s="17014"/>
      <c r="AU35" s="17014"/>
      <c r="AV35" s="17014"/>
      <c r="AW35" s="17014"/>
      <c r="AX35" s="16741"/>
      <c r="AY35" s="17014" t="str">
        <f>IF(TITLE_NUMBER_PR_CHANGE="",IF(TITLE_NUMBER_PR="","",TITLE_NUMBER_PR),TITLE_NUMBER_PR_CHANGE)</f>
        <v>№ 40/8</v>
      </c>
      <c r="AZ35" s="17014"/>
      <c r="BA35" s="17014"/>
      <c r="BB35" s="17014"/>
      <c r="BC35" s="17014"/>
      <c r="BD35" s="17014"/>
      <c r="BE35" s="17014"/>
      <c r="BF35" s="17014"/>
      <c r="BG35" s="16741"/>
      <c r="BH35" s="17014" t="str">
        <f>IF(TITLE_NUMBER_PR_CHANGE="",IF(TITLE_NUMBER_PR="","",TITLE_NUMBER_PR),TITLE_NUMBER_PR_CHANGE)</f>
        <v>№ 40/8</v>
      </c>
      <c r="BI35" s="17014"/>
      <c r="BJ35" s="17014"/>
      <c r="BK35" s="17014"/>
      <c r="BL35" s="17014"/>
      <c r="BM35" s="17014"/>
      <c r="BN35" s="17014"/>
      <c r="BO35" s="17014"/>
      <c r="BP35" s="16741"/>
      <c r="BQ35" s="17014" t="str">
        <f>IF(TITLE_NUMBER_PR_CHANGE="",IF(TITLE_NUMBER_PR="","",TITLE_NUMBER_PR),TITLE_NUMBER_PR_CHANGE)</f>
        <v>№ 40/8</v>
      </c>
      <c r="BR35" s="17014"/>
      <c r="BS35" s="17014"/>
      <c r="BT35" s="17014"/>
      <c r="BU35" s="17014"/>
      <c r="BV35" s="17014"/>
      <c r="BW35" s="17014"/>
      <c r="BX35" s="17014"/>
      <c r="BY35" s="16741"/>
      <c r="BZ35" s="17014" t="str">
        <f>IF(TITLE_NUMBER_PR_CHANGE="",IF(TITLE_NUMBER_PR="","",TITLE_NUMBER_PR),TITLE_NUMBER_PR_CHANGE)</f>
        <v>№ 40/8</v>
      </c>
      <c r="CA35" s="17014"/>
      <c r="CB35" s="17014"/>
      <c r="CC35" s="17014"/>
      <c r="CD35" s="17014"/>
      <c r="CE35" s="17014"/>
      <c r="CF35" s="17014"/>
      <c r="CG35" s="17014"/>
      <c r="CH35" s="16741"/>
      <c r="CI35" s="17014" t="str">
        <f>IF(TITLE_NUMBER_PR_CHANGE="",IF(TITLE_NUMBER_PR="","",TITLE_NUMBER_PR),TITLE_NUMBER_PR_CHANGE)</f>
        <v>№ 40/8</v>
      </c>
      <c r="CJ35" s="17014"/>
      <c r="CK35" s="17014"/>
      <c r="CL35" s="17014"/>
      <c r="CM35" s="17014"/>
      <c r="CN35" s="17014"/>
      <c r="CO35" s="17014"/>
      <c r="CP35" s="17014"/>
      <c r="CQ35" s="16741"/>
      <c r="CR35" s="17014" t="str">
        <f>IF(TITLE_NUMBER_PR_CHANGE="",IF(TITLE_NUMBER_PR="","",TITLE_NUMBER_PR),TITLE_NUMBER_PR_CHANGE)</f>
        <v>№ 40/8</v>
      </c>
      <c r="CS35" s="17014"/>
      <c r="CT35" s="17014"/>
      <c r="CU35" s="17014"/>
      <c r="CV35" s="17014"/>
      <c r="CW35" s="17014"/>
      <c r="CX35" s="17014"/>
      <c r="CY35" s="17014"/>
      <c r="CZ35" s="16741"/>
      <c r="DA35" s="17014" t="str">
        <f>IF(TITLE_NUMBER_PR_CHANGE="",IF(TITLE_NUMBER_PR="","",TITLE_NUMBER_PR),TITLE_NUMBER_PR_CHANGE)</f>
        <v>№ 40/8</v>
      </c>
      <c r="DB35" s="17014"/>
      <c r="DC35" s="17014"/>
      <c r="DD35" s="17014"/>
      <c r="DE35" s="17014"/>
      <c r="DF35" s="17014"/>
      <c r="DG35" s="17014"/>
      <c r="DH35" s="17014"/>
      <c r="DI35" s="16741"/>
      <c r="DJ35" s="17014" t="str">
        <f>IF(TITLE_NUMBER_PR_CHANGE="",IF(TITLE_NUMBER_PR="","",TITLE_NUMBER_PR),TITLE_NUMBER_PR_CHANGE)</f>
        <v>№ 40/8</v>
      </c>
      <c r="DK35" s="17014"/>
      <c r="DL35" s="17014"/>
      <c r="DM35" s="17014"/>
      <c r="DN35" s="17014"/>
      <c r="DO35" s="17014"/>
      <c r="DP35" s="17014"/>
      <c r="DQ35" s="17014"/>
      <c r="DR35" s="16741"/>
      <c r="DS35" s="17014" t="str">
        <f>IF(TITLE_NUMBER_PR_CHANGE="",IF(TITLE_NUMBER_PR="","",TITLE_NUMBER_PR),TITLE_NUMBER_PR_CHANGE)</f>
        <v>№ 40/8</v>
      </c>
      <c r="DT35" s="17014"/>
      <c r="DU35" s="17014"/>
      <c r="DV35" s="17014"/>
      <c r="DW35" s="17014"/>
      <c r="DX35" s="17014"/>
      <c r="DY35" s="17014"/>
      <c r="DZ35" s="17014"/>
      <c r="EA35" s="16741"/>
      <c r="EB35" s="610"/>
      <c r="EC35" s="564"/>
      <c r="ED35" s="652"/>
      <c r="EE35" s="652"/>
      <c r="EF35" s="652"/>
      <c r="EG35" s="652"/>
      <c r="EH35" s="652"/>
      <c r="EI35" s="702">
        <v>0</v>
      </c>
    </row>
    <row s="30764" customFormat="1" customHeight="1" ht="18.75">
      <c r="A36" s="1532"/>
      <c r="B36" s="1532"/>
      <c r="C36" s="1532"/>
      <c r="D36" s="1532"/>
      <c r="E36" s="1532"/>
      <c r="F36" s="1532"/>
      <c r="G36" s="1532"/>
      <c r="H36" s="1532"/>
      <c r="I36" s="1532"/>
      <c r="J36" s="1532"/>
      <c r="K36" s="1532"/>
      <c r="L36" s="1532"/>
      <c r="M36" s="1664"/>
      <c r="N36" s="1532"/>
      <c r="O36" s="1532"/>
      <c r="P36" s="1532"/>
      <c r="U36" s="2534" t="s">
        <v>44</v>
      </c>
      <c r="V36" s="2534"/>
      <c r="W36" s="1656"/>
      <c r="X36" s="2535" t="str">
        <f>IF(TITLE_IST_PUB_CHANGE="",IF(TITLE_IST_PUB="","",TITLE_IST_PUB),TITLE_IST_PUB_CHANGE)</f>
        <v>Официальный интернет - портал нормативных правовых актов Хабаровского края https://laws.khv.gov.ru/</v>
      </c>
      <c r="Y36" s="2535"/>
      <c r="Z36" s="2535"/>
      <c r="AA36" s="2535"/>
      <c r="AB36" s="2535"/>
      <c r="AC36" s="2535"/>
      <c r="AD36" s="2535"/>
      <c r="AE36" s="2535"/>
      <c r="AF36" s="610"/>
      <c r="AG36" s="2535" t="str">
        <f>IF(TITLE_IST_PUB_CHANGE="",IF(TITLE_IST_PUB="","",TITLE_IST_PUB),TITLE_IST_PUB_CHANGE)</f>
        <v>Официальный интернет - портал нормативных правовых актов Хабаровского края https://laws.khv.gov.ru/</v>
      </c>
      <c r="AH36" s="2535"/>
      <c r="AI36" s="2535"/>
      <c r="AJ36" s="2535"/>
      <c r="AK36" s="2535"/>
      <c r="AL36" s="2535"/>
      <c r="AM36" s="2535"/>
      <c r="AN36" s="2535"/>
      <c r="AO36" s="610"/>
      <c r="AP36" s="17014" t="str">
        <f>IF(TITLE_IST_PUB_CHANGE="",IF(TITLE_IST_PUB="","",TITLE_IST_PUB),TITLE_IST_PUB_CHANGE)</f>
        <v>Официальный интернет - портал нормативных правовых актов Хабаровского края https://laws.khv.gov.ru/</v>
      </c>
      <c r="AQ36" s="17014"/>
      <c r="AR36" s="17014"/>
      <c r="AS36" s="17014"/>
      <c r="AT36" s="17014"/>
      <c r="AU36" s="17014"/>
      <c r="AV36" s="17014"/>
      <c r="AW36" s="17014"/>
      <c r="AX36" s="16741"/>
      <c r="AY36" s="17014" t="str">
        <f>IF(TITLE_IST_PUB_CHANGE="",IF(TITLE_IST_PUB="","",TITLE_IST_PUB),TITLE_IST_PUB_CHANGE)</f>
        <v>Официальный интернет - портал нормативных правовых актов Хабаровского края https://laws.khv.gov.ru/</v>
      </c>
      <c r="AZ36" s="17014"/>
      <c r="BA36" s="17014"/>
      <c r="BB36" s="17014"/>
      <c r="BC36" s="17014"/>
      <c r="BD36" s="17014"/>
      <c r="BE36" s="17014"/>
      <c r="BF36" s="17014"/>
      <c r="BG36" s="16741"/>
      <c r="BH36" s="17014" t="str">
        <f>IF(TITLE_IST_PUB_CHANGE="",IF(TITLE_IST_PUB="","",TITLE_IST_PUB),TITLE_IST_PUB_CHANGE)</f>
        <v>Официальный интернет - портал нормативных правовых актов Хабаровского края https://laws.khv.gov.ru/</v>
      </c>
      <c r="BI36" s="17014"/>
      <c r="BJ36" s="17014"/>
      <c r="BK36" s="17014"/>
      <c r="BL36" s="17014"/>
      <c r="BM36" s="17014"/>
      <c r="BN36" s="17014"/>
      <c r="BO36" s="17014"/>
      <c r="BP36" s="16741"/>
      <c r="BQ36" s="17014" t="str">
        <f>IF(TITLE_IST_PUB_CHANGE="",IF(TITLE_IST_PUB="","",TITLE_IST_PUB),TITLE_IST_PUB_CHANGE)</f>
        <v>Официальный интернет - портал нормативных правовых актов Хабаровского края https://laws.khv.gov.ru/</v>
      </c>
      <c r="BR36" s="17014"/>
      <c r="BS36" s="17014"/>
      <c r="BT36" s="17014"/>
      <c r="BU36" s="17014"/>
      <c r="BV36" s="17014"/>
      <c r="BW36" s="17014"/>
      <c r="BX36" s="17014"/>
      <c r="BY36" s="16741"/>
      <c r="BZ36" s="17014" t="str">
        <f>IF(TITLE_IST_PUB_CHANGE="",IF(TITLE_IST_PUB="","",TITLE_IST_PUB),TITLE_IST_PUB_CHANGE)</f>
        <v>Официальный интернет - портал нормативных правовых актов Хабаровского края https://laws.khv.gov.ru/</v>
      </c>
      <c r="CA36" s="17014"/>
      <c r="CB36" s="17014"/>
      <c r="CC36" s="17014"/>
      <c r="CD36" s="17014"/>
      <c r="CE36" s="17014"/>
      <c r="CF36" s="17014"/>
      <c r="CG36" s="17014"/>
      <c r="CH36" s="16741"/>
      <c r="CI36" s="17014" t="str">
        <f>IF(TITLE_IST_PUB_CHANGE="",IF(TITLE_IST_PUB="","",TITLE_IST_PUB),TITLE_IST_PUB_CHANGE)</f>
        <v>Официальный интернет - портал нормативных правовых актов Хабаровского края https://laws.khv.gov.ru/</v>
      </c>
      <c r="CJ36" s="17014"/>
      <c r="CK36" s="17014"/>
      <c r="CL36" s="17014"/>
      <c r="CM36" s="17014"/>
      <c r="CN36" s="17014"/>
      <c r="CO36" s="17014"/>
      <c r="CP36" s="17014"/>
      <c r="CQ36" s="16741"/>
      <c r="CR36" s="17014" t="str">
        <f>IF(TITLE_IST_PUB_CHANGE="",IF(TITLE_IST_PUB="","",TITLE_IST_PUB),TITLE_IST_PUB_CHANGE)</f>
        <v>Официальный интернет - портал нормативных правовых актов Хабаровского края https://laws.khv.gov.ru/</v>
      </c>
      <c r="CS36" s="17014"/>
      <c r="CT36" s="17014"/>
      <c r="CU36" s="17014"/>
      <c r="CV36" s="17014"/>
      <c r="CW36" s="17014"/>
      <c r="CX36" s="17014"/>
      <c r="CY36" s="17014"/>
      <c r="CZ36" s="16741"/>
      <c r="DA36" s="17014" t="str">
        <f>IF(TITLE_IST_PUB_CHANGE="",IF(TITLE_IST_PUB="","",TITLE_IST_PUB),TITLE_IST_PUB_CHANGE)</f>
        <v>Официальный интернет - портал нормативных правовых актов Хабаровского края https://laws.khv.gov.ru/</v>
      </c>
      <c r="DB36" s="17014"/>
      <c r="DC36" s="17014"/>
      <c r="DD36" s="17014"/>
      <c r="DE36" s="17014"/>
      <c r="DF36" s="17014"/>
      <c r="DG36" s="17014"/>
      <c r="DH36" s="17014"/>
      <c r="DI36" s="16741"/>
      <c r="DJ36" s="17014" t="str">
        <f>IF(TITLE_IST_PUB_CHANGE="",IF(TITLE_IST_PUB="","",TITLE_IST_PUB),TITLE_IST_PUB_CHANGE)</f>
        <v>Официальный интернет - портал нормативных правовых актов Хабаровского края https://laws.khv.gov.ru/</v>
      </c>
      <c r="DK36" s="17014"/>
      <c r="DL36" s="17014"/>
      <c r="DM36" s="17014"/>
      <c r="DN36" s="17014"/>
      <c r="DO36" s="17014"/>
      <c r="DP36" s="17014"/>
      <c r="DQ36" s="17014"/>
      <c r="DR36" s="16741"/>
      <c r="DS36" s="17014" t="str">
        <f>IF(TITLE_IST_PUB_CHANGE="",IF(TITLE_IST_PUB="","",TITLE_IST_PUB),TITLE_IST_PUB_CHANGE)</f>
        <v>Официальный интернет - портал нормативных правовых актов Хабаровского края https://laws.khv.gov.ru/</v>
      </c>
      <c r="DT36" s="17014"/>
      <c r="DU36" s="17014"/>
      <c r="DV36" s="17014"/>
      <c r="DW36" s="17014"/>
      <c r="DX36" s="17014"/>
      <c r="DY36" s="17014"/>
      <c r="DZ36" s="17014"/>
      <c r="EA36" s="16741"/>
      <c r="EB36" s="610"/>
      <c r="EC36" s="564"/>
      <c r="ED36" s="652"/>
      <c r="EE36" s="652"/>
      <c r="EF36" s="652"/>
      <c r="EG36" s="652"/>
      <c r="EH36" s="652"/>
      <c r="EI36" s="702">
        <v>0</v>
      </c>
    </row>
    <row customHeight="1" ht="14.25" hidden="1">
      <c r="R37" s="660"/>
      <c r="S37" s="660"/>
      <c r="T37" s="660"/>
      <c r="U37" s="1559"/>
      <c r="V37" s="647"/>
      <c r="W37" s="647"/>
      <c r="X37" s="606"/>
      <c r="Y37" s="606"/>
      <c r="Z37" s="606"/>
      <c r="AA37" s="606"/>
      <c r="AB37" s="606"/>
      <c r="AC37" s="606"/>
      <c r="AD37" s="606"/>
      <c r="AE37" s="606"/>
      <c r="AF37" s="606"/>
      <c r="AG37" s="606"/>
      <c r="AH37" s="606"/>
      <c r="AI37" s="606"/>
      <c r="AJ37" s="606"/>
      <c r="AK37" s="606"/>
      <c r="AL37" s="606"/>
      <c r="AM37" s="606"/>
      <c r="AN37" s="606"/>
      <c r="AO37" s="606"/>
      <c r="AP37" s="17013"/>
      <c r="AQ37" s="17013"/>
      <c r="AR37" s="17013"/>
      <c r="AS37" s="17013"/>
      <c r="AT37" s="17013"/>
      <c r="AU37" s="17013"/>
      <c r="AV37" s="17013"/>
      <c r="AW37" s="17013"/>
      <c r="AX37" s="17013"/>
      <c r="AY37" s="17013"/>
      <c r="AZ37" s="17013"/>
      <c r="BA37" s="17013"/>
      <c r="BB37" s="17013"/>
      <c r="BC37" s="17013"/>
      <c r="BD37" s="17013"/>
      <c r="BE37" s="17013"/>
      <c r="BF37" s="17013"/>
      <c r="BG37" s="17013"/>
      <c r="BH37" s="17013"/>
      <c r="BI37" s="17013"/>
      <c r="BJ37" s="17013"/>
      <c r="BK37" s="17013"/>
      <c r="BL37" s="17013"/>
      <c r="BM37" s="17013"/>
      <c r="BN37" s="17013"/>
      <c r="BO37" s="17013"/>
      <c r="BP37" s="17013"/>
      <c r="BQ37" s="17013"/>
      <c r="BR37" s="17013"/>
      <c r="BS37" s="17013"/>
      <c r="BT37" s="17013"/>
      <c r="BU37" s="17013"/>
      <c r="BV37" s="17013"/>
      <c r="BW37" s="17013"/>
      <c r="BX37" s="17013"/>
      <c r="BY37" s="17013"/>
      <c r="BZ37" s="17013"/>
      <c r="CA37" s="17013"/>
      <c r="CB37" s="17013"/>
      <c r="CC37" s="17013"/>
      <c r="CD37" s="17013"/>
      <c r="CE37" s="17013"/>
      <c r="CF37" s="17013"/>
      <c r="CG37" s="17013"/>
      <c r="CH37" s="17013"/>
      <c r="CI37" s="17013"/>
      <c r="CJ37" s="17013"/>
      <c r="CK37" s="17013"/>
      <c r="CL37" s="17013"/>
      <c r="CM37" s="17013"/>
      <c r="CN37" s="17013"/>
      <c r="CO37" s="17013"/>
      <c r="CP37" s="17013"/>
      <c r="CQ37" s="17013"/>
      <c r="CR37" s="17013"/>
      <c r="CS37" s="17013"/>
      <c r="CT37" s="17013"/>
      <c r="CU37" s="17013"/>
      <c r="CV37" s="17013"/>
      <c r="CW37" s="17013"/>
      <c r="CX37" s="17013"/>
      <c r="CY37" s="17013"/>
      <c r="CZ37" s="17013"/>
      <c r="DA37" s="17013"/>
      <c r="DB37" s="17013"/>
      <c r="DC37" s="17013"/>
      <c r="DD37" s="17013"/>
      <c r="DE37" s="17013"/>
      <c r="DF37" s="17013"/>
      <c r="DG37" s="17013"/>
      <c r="DH37" s="17013"/>
      <c r="DI37" s="17013"/>
      <c r="DJ37" s="17013"/>
      <c r="DK37" s="17013"/>
      <c r="DL37" s="17013"/>
      <c r="DM37" s="17013"/>
      <c r="DN37" s="17013"/>
      <c r="DO37" s="17013"/>
      <c r="DP37" s="17013"/>
      <c r="DQ37" s="17013"/>
      <c r="DR37" s="17013"/>
      <c r="DS37" s="17013"/>
      <c r="DT37" s="17013"/>
      <c r="DU37" s="17013"/>
      <c r="DV37" s="17013"/>
      <c r="DW37" s="17013"/>
      <c r="DX37" s="17013"/>
      <c r="DY37" s="17013"/>
      <c r="DZ37" s="17013"/>
      <c r="EA37" s="17013"/>
      <c r="EB37" s="793"/>
      <c r="EI37" s="1439">
        <v>0</v>
      </c>
    </row>
    <row s="30764" customFormat="1" customHeight="1" ht="18.75" hidden="1">
      <c r="A38" s="1532"/>
      <c r="B38" s="1532"/>
      <c r="C38" s="1532"/>
      <c r="D38" s="1532"/>
      <c r="E38" s="1532"/>
      <c r="F38" s="1532"/>
      <c r="G38" s="1532"/>
      <c r="H38" s="1532"/>
      <c r="I38" s="1532"/>
      <c r="J38" s="1532"/>
      <c r="K38" s="1532"/>
      <c r="L38" s="1532"/>
      <c r="M38" s="1664"/>
      <c r="N38" s="1532"/>
      <c r="O38" s="1532"/>
      <c r="P38" s="1532"/>
      <c r="U38" s="2534" t="s">
        <v>482</v>
      </c>
      <c r="V38" s="2534"/>
      <c r="W38" s="1656"/>
      <c r="X38" s="2548" t="str">
        <f>IF(TITLE_DATE_PR_CHANGE="",IF(TITLE_DATE_PR="","",TITLE_DATE_PR),TITLE_DATE_PR_CHANGE)</f>
        <v>45645</v>
      </c>
      <c r="Y38" s="2548"/>
      <c r="Z38" s="2548"/>
      <c r="AA38" s="2548"/>
      <c r="AB38" s="2548"/>
      <c r="AC38" s="2548"/>
      <c r="AD38" s="2548"/>
      <c r="AE38" s="2548"/>
      <c r="AF38" s="610"/>
      <c r="AG38" s="2548" t="str">
        <f>IF(TITLE_DATE_PR_CHANGE="",IF(TITLE_DATE_PR="","",TITLE_DATE_PR),TITLE_DATE_PR_CHANGE)</f>
        <v>45645</v>
      </c>
      <c r="AH38" s="2548"/>
      <c r="AI38" s="2548"/>
      <c r="AJ38" s="2548"/>
      <c r="AK38" s="2548"/>
      <c r="AL38" s="2548"/>
      <c r="AM38" s="2548"/>
      <c r="AN38" s="2548"/>
      <c r="AO38" s="610"/>
      <c r="AP38" s="17015" t="str">
        <f>IF(TITLE_DATE_PR_CHANGE="",IF(TITLE_DATE_PR="","",TITLE_DATE_PR),TITLE_DATE_PR_CHANGE)</f>
        <v>45645</v>
      </c>
      <c r="AQ38" s="17015"/>
      <c r="AR38" s="17015"/>
      <c r="AS38" s="17015"/>
      <c r="AT38" s="17015"/>
      <c r="AU38" s="17015"/>
      <c r="AV38" s="17015"/>
      <c r="AW38" s="17015"/>
      <c r="AX38" s="16741"/>
      <c r="AY38" s="17015" t="str">
        <f>IF(TITLE_DATE_PR_CHANGE="",IF(TITLE_DATE_PR="","",TITLE_DATE_PR),TITLE_DATE_PR_CHANGE)</f>
        <v>45645</v>
      </c>
      <c r="AZ38" s="17015"/>
      <c r="BA38" s="17015"/>
      <c r="BB38" s="17015"/>
      <c r="BC38" s="17015"/>
      <c r="BD38" s="17015"/>
      <c r="BE38" s="17015"/>
      <c r="BF38" s="17015"/>
      <c r="BG38" s="16741"/>
      <c r="BH38" s="17015" t="str">
        <f>IF(TITLE_DATE_PR_CHANGE="",IF(TITLE_DATE_PR="","",TITLE_DATE_PR),TITLE_DATE_PR_CHANGE)</f>
        <v>45645</v>
      </c>
      <c r="BI38" s="17015"/>
      <c r="BJ38" s="17015"/>
      <c r="BK38" s="17015"/>
      <c r="BL38" s="17015"/>
      <c r="BM38" s="17015"/>
      <c r="BN38" s="17015"/>
      <c r="BO38" s="17015"/>
      <c r="BP38" s="16741"/>
      <c r="BQ38" s="17015" t="str">
        <f>IF(TITLE_DATE_PR_CHANGE="",IF(TITLE_DATE_PR="","",TITLE_DATE_PR),TITLE_DATE_PR_CHANGE)</f>
        <v>45645</v>
      </c>
      <c r="BR38" s="17015"/>
      <c r="BS38" s="17015"/>
      <c r="BT38" s="17015"/>
      <c r="BU38" s="17015"/>
      <c r="BV38" s="17015"/>
      <c r="BW38" s="17015"/>
      <c r="BX38" s="17015"/>
      <c r="BY38" s="16741"/>
      <c r="BZ38" s="17015" t="str">
        <f>IF(TITLE_DATE_PR_CHANGE="",IF(TITLE_DATE_PR="","",TITLE_DATE_PR),TITLE_DATE_PR_CHANGE)</f>
        <v>45645</v>
      </c>
      <c r="CA38" s="17015"/>
      <c r="CB38" s="17015"/>
      <c r="CC38" s="17015"/>
      <c r="CD38" s="17015"/>
      <c r="CE38" s="17015"/>
      <c r="CF38" s="17015"/>
      <c r="CG38" s="17015"/>
      <c r="CH38" s="16741"/>
      <c r="CI38" s="17015" t="str">
        <f>IF(TITLE_DATE_PR_CHANGE="",IF(TITLE_DATE_PR="","",TITLE_DATE_PR),TITLE_DATE_PR_CHANGE)</f>
        <v>45645</v>
      </c>
      <c r="CJ38" s="17015"/>
      <c r="CK38" s="17015"/>
      <c r="CL38" s="17015"/>
      <c r="CM38" s="17015"/>
      <c r="CN38" s="17015"/>
      <c r="CO38" s="17015"/>
      <c r="CP38" s="17015"/>
      <c r="CQ38" s="16741"/>
      <c r="CR38" s="17015" t="str">
        <f>IF(TITLE_DATE_PR_CHANGE="",IF(TITLE_DATE_PR="","",TITLE_DATE_PR),TITLE_DATE_PR_CHANGE)</f>
        <v>45645</v>
      </c>
      <c r="CS38" s="17015"/>
      <c r="CT38" s="17015"/>
      <c r="CU38" s="17015"/>
      <c r="CV38" s="17015"/>
      <c r="CW38" s="17015"/>
      <c r="CX38" s="17015"/>
      <c r="CY38" s="17015"/>
      <c r="CZ38" s="16741"/>
      <c r="DA38" s="17015" t="str">
        <f>IF(TITLE_DATE_PR_CHANGE="",IF(TITLE_DATE_PR="","",TITLE_DATE_PR),TITLE_DATE_PR_CHANGE)</f>
        <v>45645</v>
      </c>
      <c r="DB38" s="17015"/>
      <c r="DC38" s="17015"/>
      <c r="DD38" s="17015"/>
      <c r="DE38" s="17015"/>
      <c r="DF38" s="17015"/>
      <c r="DG38" s="17015"/>
      <c r="DH38" s="17015"/>
      <c r="DI38" s="16741"/>
      <c r="DJ38" s="17015" t="str">
        <f>IF(TITLE_DATE_PR_CHANGE="",IF(TITLE_DATE_PR="","",TITLE_DATE_PR),TITLE_DATE_PR_CHANGE)</f>
        <v>45645</v>
      </c>
      <c r="DK38" s="17015"/>
      <c r="DL38" s="17015"/>
      <c r="DM38" s="17015"/>
      <c r="DN38" s="17015"/>
      <c r="DO38" s="17015"/>
      <c r="DP38" s="17015"/>
      <c r="DQ38" s="17015"/>
      <c r="DR38" s="16741"/>
      <c r="DS38" s="17015" t="str">
        <f>IF(TITLE_DATE_PR_CHANGE="",IF(TITLE_DATE_PR="","",TITLE_DATE_PR),TITLE_DATE_PR_CHANGE)</f>
        <v>45645</v>
      </c>
      <c r="DT38" s="17015"/>
      <c r="DU38" s="17015"/>
      <c r="DV38" s="17015"/>
      <c r="DW38" s="17015"/>
      <c r="DX38" s="17015"/>
      <c r="DY38" s="17015"/>
      <c r="DZ38" s="17015"/>
      <c r="EA38" s="16741"/>
      <c r="EB38" s="610"/>
      <c r="EC38" s="564"/>
      <c r="ED38" s="652"/>
      <c r="EE38" s="652"/>
      <c r="EF38" s="652"/>
      <c r="EG38" s="652"/>
      <c r="EH38" s="652"/>
      <c r="EI38" s="702">
        <v>0</v>
      </c>
    </row>
    <row s="30764" customFormat="1" customHeight="1" ht="18.75" hidden="1">
      <c r="A39" s="1532"/>
      <c r="B39" s="1532"/>
      <c r="C39" s="1532"/>
      <c r="D39" s="1532"/>
      <c r="E39" s="1532"/>
      <c r="F39" s="1532"/>
      <c r="G39" s="1532"/>
      <c r="H39" s="1532"/>
      <c r="I39" s="1532"/>
      <c r="J39" s="1532"/>
      <c r="K39" s="1532"/>
      <c r="L39" s="1532"/>
      <c r="M39" s="1664"/>
      <c r="N39" s="1532"/>
      <c r="O39" s="1532"/>
      <c r="P39" s="1532"/>
      <c r="U39" s="2534" t="s">
        <v>483</v>
      </c>
      <c r="V39" s="2534"/>
      <c r="W39" s="1656"/>
      <c r="X39" s="2535" t="str">
        <f>IF(TITLE_NUMBER_PR_CHANGE="",IF(TITLE_NUMBER_PR="","",TITLE_NUMBER_PR),TITLE_NUMBER_PR_CHANGE)</f>
        <v>№ 40/8</v>
      </c>
      <c r="Y39" s="2535"/>
      <c r="Z39" s="2535"/>
      <c r="AA39" s="2535"/>
      <c r="AB39" s="2535"/>
      <c r="AC39" s="2535"/>
      <c r="AD39" s="2535"/>
      <c r="AE39" s="2535"/>
      <c r="AF39" s="610"/>
      <c r="AG39" s="2535" t="str">
        <f>IF(TITLE_NUMBER_PR_CHANGE="",IF(TITLE_NUMBER_PR="","",TITLE_NUMBER_PR),TITLE_NUMBER_PR_CHANGE)</f>
        <v>№ 40/8</v>
      </c>
      <c r="AH39" s="2535"/>
      <c r="AI39" s="2535"/>
      <c r="AJ39" s="2535"/>
      <c r="AK39" s="2535"/>
      <c r="AL39" s="2535"/>
      <c r="AM39" s="2535"/>
      <c r="AN39" s="2535"/>
      <c r="AO39" s="610"/>
      <c r="AP39" s="17014" t="str">
        <f>IF(TITLE_NUMBER_PR_CHANGE="",IF(TITLE_NUMBER_PR="","",TITLE_NUMBER_PR),TITLE_NUMBER_PR_CHANGE)</f>
        <v>№ 40/8</v>
      </c>
      <c r="AQ39" s="17014"/>
      <c r="AR39" s="17014"/>
      <c r="AS39" s="17014"/>
      <c r="AT39" s="17014"/>
      <c r="AU39" s="17014"/>
      <c r="AV39" s="17014"/>
      <c r="AW39" s="17014"/>
      <c r="AX39" s="16741"/>
      <c r="AY39" s="17014" t="str">
        <f>IF(TITLE_NUMBER_PR_CHANGE="",IF(TITLE_NUMBER_PR="","",TITLE_NUMBER_PR),TITLE_NUMBER_PR_CHANGE)</f>
        <v>№ 40/8</v>
      </c>
      <c r="AZ39" s="17014"/>
      <c r="BA39" s="17014"/>
      <c r="BB39" s="17014"/>
      <c r="BC39" s="17014"/>
      <c r="BD39" s="17014"/>
      <c r="BE39" s="17014"/>
      <c r="BF39" s="17014"/>
      <c r="BG39" s="16741"/>
      <c r="BH39" s="17014" t="str">
        <f>IF(TITLE_NUMBER_PR_CHANGE="",IF(TITLE_NUMBER_PR="","",TITLE_NUMBER_PR),TITLE_NUMBER_PR_CHANGE)</f>
        <v>№ 40/8</v>
      </c>
      <c r="BI39" s="17014"/>
      <c r="BJ39" s="17014"/>
      <c r="BK39" s="17014"/>
      <c r="BL39" s="17014"/>
      <c r="BM39" s="17014"/>
      <c r="BN39" s="17014"/>
      <c r="BO39" s="17014"/>
      <c r="BP39" s="16741"/>
      <c r="BQ39" s="17014" t="str">
        <f>IF(TITLE_NUMBER_PR_CHANGE="",IF(TITLE_NUMBER_PR="","",TITLE_NUMBER_PR),TITLE_NUMBER_PR_CHANGE)</f>
        <v>№ 40/8</v>
      </c>
      <c r="BR39" s="17014"/>
      <c r="BS39" s="17014"/>
      <c r="BT39" s="17014"/>
      <c r="BU39" s="17014"/>
      <c r="BV39" s="17014"/>
      <c r="BW39" s="17014"/>
      <c r="BX39" s="17014"/>
      <c r="BY39" s="16741"/>
      <c r="BZ39" s="17014" t="str">
        <f>IF(TITLE_NUMBER_PR_CHANGE="",IF(TITLE_NUMBER_PR="","",TITLE_NUMBER_PR),TITLE_NUMBER_PR_CHANGE)</f>
        <v>№ 40/8</v>
      </c>
      <c r="CA39" s="17014"/>
      <c r="CB39" s="17014"/>
      <c r="CC39" s="17014"/>
      <c r="CD39" s="17014"/>
      <c r="CE39" s="17014"/>
      <c r="CF39" s="17014"/>
      <c r="CG39" s="17014"/>
      <c r="CH39" s="16741"/>
      <c r="CI39" s="17014" t="str">
        <f>IF(TITLE_NUMBER_PR_CHANGE="",IF(TITLE_NUMBER_PR="","",TITLE_NUMBER_PR),TITLE_NUMBER_PR_CHANGE)</f>
        <v>№ 40/8</v>
      </c>
      <c r="CJ39" s="17014"/>
      <c r="CK39" s="17014"/>
      <c r="CL39" s="17014"/>
      <c r="CM39" s="17014"/>
      <c r="CN39" s="17014"/>
      <c r="CO39" s="17014"/>
      <c r="CP39" s="17014"/>
      <c r="CQ39" s="16741"/>
      <c r="CR39" s="17014" t="str">
        <f>IF(TITLE_NUMBER_PR_CHANGE="",IF(TITLE_NUMBER_PR="","",TITLE_NUMBER_PR),TITLE_NUMBER_PR_CHANGE)</f>
        <v>№ 40/8</v>
      </c>
      <c r="CS39" s="17014"/>
      <c r="CT39" s="17014"/>
      <c r="CU39" s="17014"/>
      <c r="CV39" s="17014"/>
      <c r="CW39" s="17014"/>
      <c r="CX39" s="17014"/>
      <c r="CY39" s="17014"/>
      <c r="CZ39" s="16741"/>
      <c r="DA39" s="17014" t="str">
        <f>IF(TITLE_NUMBER_PR_CHANGE="",IF(TITLE_NUMBER_PR="","",TITLE_NUMBER_PR),TITLE_NUMBER_PR_CHANGE)</f>
        <v>№ 40/8</v>
      </c>
      <c r="DB39" s="17014"/>
      <c r="DC39" s="17014"/>
      <c r="DD39" s="17014"/>
      <c r="DE39" s="17014"/>
      <c r="DF39" s="17014"/>
      <c r="DG39" s="17014"/>
      <c r="DH39" s="17014"/>
      <c r="DI39" s="16741"/>
      <c r="DJ39" s="17014" t="str">
        <f>IF(TITLE_NUMBER_PR_CHANGE="",IF(TITLE_NUMBER_PR="","",TITLE_NUMBER_PR),TITLE_NUMBER_PR_CHANGE)</f>
        <v>№ 40/8</v>
      </c>
      <c r="DK39" s="17014"/>
      <c r="DL39" s="17014"/>
      <c r="DM39" s="17014"/>
      <c r="DN39" s="17014"/>
      <c r="DO39" s="17014"/>
      <c r="DP39" s="17014"/>
      <c r="DQ39" s="17014"/>
      <c r="DR39" s="16741"/>
      <c r="DS39" s="17014" t="str">
        <f>IF(TITLE_NUMBER_PR_CHANGE="",IF(TITLE_NUMBER_PR="","",TITLE_NUMBER_PR),TITLE_NUMBER_PR_CHANGE)</f>
        <v>№ 40/8</v>
      </c>
      <c r="DT39" s="17014"/>
      <c r="DU39" s="17014"/>
      <c r="DV39" s="17014"/>
      <c r="DW39" s="17014"/>
      <c r="DX39" s="17014"/>
      <c r="DY39" s="17014"/>
      <c r="DZ39" s="17014"/>
      <c r="EA39" s="16741"/>
      <c r="EB39" s="610"/>
      <c r="EC39" s="564"/>
      <c r="ED39" s="652"/>
      <c r="EE39" s="652"/>
      <c r="EF39" s="652"/>
      <c r="EG39" s="652"/>
      <c r="EH39" s="652"/>
      <c r="EI39" s="702">
        <v>0</v>
      </c>
    </row>
    <row s="30764" customFormat="1" customHeight="1" ht="0">
      <c r="A40" s="1532"/>
      <c r="B40" s="1532"/>
      <c r="C40" s="1532"/>
      <c r="D40" s="1532"/>
      <c r="E40" s="1532"/>
      <c r="F40" s="1532"/>
      <c r="G40" s="1532"/>
      <c r="H40" s="1532"/>
      <c r="I40" s="1532"/>
      <c r="J40" s="1532"/>
      <c r="K40" s="1532"/>
      <c r="L40" s="1532"/>
      <c r="M40" s="1664"/>
      <c r="N40" s="1532"/>
      <c r="O40" s="1532"/>
      <c r="P40" s="1532"/>
      <c r="U40" s="607"/>
      <c r="V40" s="607"/>
      <c r="W40" s="1624"/>
      <c r="X40" s="610"/>
      <c r="Y40" s="610"/>
      <c r="Z40" s="610"/>
      <c r="AA40" s="610"/>
      <c r="AB40" s="610"/>
      <c r="AC40" s="610"/>
      <c r="AD40" s="610"/>
      <c r="AE40" s="610"/>
      <c r="AF40" s="562" t="s">
        <v>484</v>
      </c>
      <c r="AG40" s="610"/>
      <c r="AH40" s="610"/>
      <c r="AI40" s="610"/>
      <c r="AJ40" s="610"/>
      <c r="AK40" s="610"/>
      <c r="AL40" s="610"/>
      <c r="AM40" s="610"/>
      <c r="AN40" s="610"/>
      <c r="AO40" s="562" t="s">
        <v>484</v>
      </c>
      <c r="AP40" s="16741"/>
      <c r="AQ40" s="16741"/>
      <c r="AR40" s="16741"/>
      <c r="AS40" s="16741"/>
      <c r="AT40" s="16741"/>
      <c r="AU40" s="16741"/>
      <c r="AV40" s="16741"/>
      <c r="AW40" s="16741"/>
      <c r="AX40" s="17016" t="s">
        <v>484</v>
      </c>
      <c r="AY40" s="16741"/>
      <c r="AZ40" s="16741"/>
      <c r="BA40" s="16741"/>
      <c r="BB40" s="16741"/>
      <c r="BC40" s="16741"/>
      <c r="BD40" s="16741"/>
      <c r="BE40" s="16741"/>
      <c r="BF40" s="16741"/>
      <c r="BG40" s="17016" t="s">
        <v>484</v>
      </c>
      <c r="BH40" s="16741"/>
      <c r="BI40" s="16741"/>
      <c r="BJ40" s="16741"/>
      <c r="BK40" s="16741"/>
      <c r="BL40" s="16741"/>
      <c r="BM40" s="16741"/>
      <c r="BN40" s="16741"/>
      <c r="BO40" s="16741"/>
      <c r="BP40" s="17016" t="s">
        <v>484</v>
      </c>
      <c r="BQ40" s="16741"/>
      <c r="BR40" s="16741"/>
      <c r="BS40" s="16741"/>
      <c r="BT40" s="16741"/>
      <c r="BU40" s="16741"/>
      <c r="BV40" s="16741"/>
      <c r="BW40" s="16741"/>
      <c r="BX40" s="16741"/>
      <c r="BY40" s="17016" t="s">
        <v>484</v>
      </c>
      <c r="BZ40" s="16741"/>
      <c r="CA40" s="16741"/>
      <c r="CB40" s="16741"/>
      <c r="CC40" s="16741"/>
      <c r="CD40" s="16741"/>
      <c r="CE40" s="16741"/>
      <c r="CF40" s="16741"/>
      <c r="CG40" s="16741"/>
      <c r="CH40" s="17016" t="s">
        <v>484</v>
      </c>
      <c r="CI40" s="16741"/>
      <c r="CJ40" s="16741"/>
      <c r="CK40" s="16741"/>
      <c r="CL40" s="16741"/>
      <c r="CM40" s="16741"/>
      <c r="CN40" s="16741"/>
      <c r="CO40" s="16741"/>
      <c r="CP40" s="16741"/>
      <c r="CQ40" s="17016" t="s">
        <v>484</v>
      </c>
      <c r="CR40" s="16741"/>
      <c r="CS40" s="16741"/>
      <c r="CT40" s="16741"/>
      <c r="CU40" s="16741"/>
      <c r="CV40" s="16741"/>
      <c r="CW40" s="16741"/>
      <c r="CX40" s="16741"/>
      <c r="CY40" s="16741"/>
      <c r="CZ40" s="17016" t="s">
        <v>484</v>
      </c>
      <c r="DA40" s="16741"/>
      <c r="DB40" s="16741"/>
      <c r="DC40" s="16741"/>
      <c r="DD40" s="16741"/>
      <c r="DE40" s="16741"/>
      <c r="DF40" s="16741"/>
      <c r="DG40" s="16741"/>
      <c r="DH40" s="16741"/>
      <c r="DI40" s="17016" t="s">
        <v>484</v>
      </c>
      <c r="DJ40" s="16741"/>
      <c r="DK40" s="16741"/>
      <c r="DL40" s="16741"/>
      <c r="DM40" s="16741"/>
      <c r="DN40" s="16741"/>
      <c r="DO40" s="16741"/>
      <c r="DP40" s="16741"/>
      <c r="DQ40" s="16741"/>
      <c r="DR40" s="17016" t="s">
        <v>484</v>
      </c>
      <c r="DS40" s="16741"/>
      <c r="DT40" s="16741"/>
      <c r="DU40" s="16741"/>
      <c r="DV40" s="16741"/>
      <c r="DW40" s="16741"/>
      <c r="DX40" s="16741"/>
      <c r="DY40" s="16741"/>
      <c r="DZ40" s="16741"/>
      <c r="EA40" s="17016" t="s">
        <v>484</v>
      </c>
      <c r="ED40" s="652"/>
      <c r="EE40" s="652"/>
      <c r="EF40" s="652"/>
      <c r="EG40" s="652"/>
      <c r="EH40" s="652"/>
      <c r="EI40" s="702">
        <v>0</v>
      </c>
    </row>
    <row customHeight="1" ht="14.699999999999998">
      <c r="R41" s="660"/>
      <c r="S41" s="660"/>
      <c r="T41" s="660"/>
      <c r="U41" s="1559"/>
      <c r="V41" s="647"/>
      <c r="W41" s="1528"/>
      <c r="X41" s="2536"/>
      <c r="Y41" s="2536"/>
      <c r="Z41" s="2536"/>
      <c r="AA41" s="2536"/>
      <c r="AB41" s="2536"/>
      <c r="AC41" s="2536"/>
      <c r="AD41" s="2536"/>
      <c r="AE41" s="2536"/>
      <c r="AF41" s="2536"/>
      <c r="AG41" s="2536"/>
      <c r="AH41" s="2536"/>
      <c r="AI41" s="2536"/>
      <c r="AJ41" s="2536"/>
      <c r="AK41" s="2536"/>
      <c r="AL41" s="2536"/>
      <c r="AM41" s="2536"/>
      <c r="AN41" s="2536"/>
      <c r="AO41" s="2536"/>
      <c r="AP41" s="17017" t="s">
        <v>106</v>
      </c>
      <c r="AQ41" s="17017"/>
      <c r="AR41" s="17017"/>
      <c r="AS41" s="17017"/>
      <c r="AT41" s="17017"/>
      <c r="AU41" s="17017"/>
      <c r="AV41" s="17017"/>
      <c r="AW41" s="17017"/>
      <c r="AX41" s="17017"/>
      <c r="AY41" s="17017" t="s">
        <v>106</v>
      </c>
      <c r="AZ41" s="17017"/>
      <c r="BA41" s="17017"/>
      <c r="BB41" s="17017"/>
      <c r="BC41" s="17017"/>
      <c r="BD41" s="17017"/>
      <c r="BE41" s="17017"/>
      <c r="BF41" s="17017"/>
      <c r="BG41" s="17017"/>
      <c r="BH41" s="17017" t="s">
        <v>106</v>
      </c>
      <c r="BI41" s="17017"/>
      <c r="BJ41" s="17017"/>
      <c r="BK41" s="17017"/>
      <c r="BL41" s="17017"/>
      <c r="BM41" s="17017"/>
      <c r="BN41" s="17017"/>
      <c r="BO41" s="17017"/>
      <c r="BP41" s="17017"/>
      <c r="BQ41" s="17017" t="s">
        <v>106</v>
      </c>
      <c r="BR41" s="17017"/>
      <c r="BS41" s="17017"/>
      <c r="BT41" s="17017"/>
      <c r="BU41" s="17017"/>
      <c r="BV41" s="17017"/>
      <c r="BW41" s="17017"/>
      <c r="BX41" s="17017"/>
      <c r="BY41" s="17017"/>
      <c r="BZ41" s="17017" t="s">
        <v>106</v>
      </c>
      <c r="CA41" s="17017"/>
      <c r="CB41" s="17017"/>
      <c r="CC41" s="17017"/>
      <c r="CD41" s="17017"/>
      <c r="CE41" s="17017"/>
      <c r="CF41" s="17017"/>
      <c r="CG41" s="17017"/>
      <c r="CH41" s="17017"/>
      <c r="CI41" s="17017" t="s">
        <v>106</v>
      </c>
      <c r="CJ41" s="17017"/>
      <c r="CK41" s="17017"/>
      <c r="CL41" s="17017"/>
      <c r="CM41" s="17017"/>
      <c r="CN41" s="17017"/>
      <c r="CO41" s="17017"/>
      <c r="CP41" s="17017"/>
      <c r="CQ41" s="17017"/>
      <c r="CR41" s="17017" t="s">
        <v>106</v>
      </c>
      <c r="CS41" s="17017"/>
      <c r="CT41" s="17017"/>
      <c r="CU41" s="17017"/>
      <c r="CV41" s="17017"/>
      <c r="CW41" s="17017"/>
      <c r="CX41" s="17017"/>
      <c r="CY41" s="17017"/>
      <c r="CZ41" s="17017"/>
      <c r="DA41" s="17017" t="s">
        <v>106</v>
      </c>
      <c r="DB41" s="17017"/>
      <c r="DC41" s="17017"/>
      <c r="DD41" s="17017"/>
      <c r="DE41" s="17017"/>
      <c r="DF41" s="17017"/>
      <c r="DG41" s="17017"/>
      <c r="DH41" s="17017"/>
      <c r="DI41" s="17017"/>
      <c r="DJ41" s="17017" t="s">
        <v>106</v>
      </c>
      <c r="DK41" s="17017"/>
      <c r="DL41" s="17017"/>
      <c r="DM41" s="17017"/>
      <c r="DN41" s="17017"/>
      <c r="DO41" s="17017"/>
      <c r="DP41" s="17017"/>
      <c r="DQ41" s="17017"/>
      <c r="DR41" s="17017"/>
      <c r="DS41" s="17017" t="s">
        <v>106</v>
      </c>
      <c r="DT41" s="17017"/>
      <c r="DU41" s="17017"/>
      <c r="DV41" s="17017"/>
      <c r="DW41" s="17017"/>
      <c r="DX41" s="17017"/>
      <c r="DY41" s="17017"/>
      <c r="DZ41" s="17017"/>
      <c r="EA41" s="17017"/>
      <c r="EI41" s="1439">
        <v>14</v>
      </c>
    </row>
    <row customHeight="1" ht="15">
      <c r="R42" s="660"/>
      <c r="S42" s="660"/>
      <c r="T42" s="660"/>
      <c r="U42" s="2411" t="s">
        <v>360</v>
      </c>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17018" t="s">
        <v>360</v>
      </c>
      <c r="AQ42" s="17018"/>
      <c r="AR42" s="17018"/>
      <c r="AS42" s="17018"/>
      <c r="AT42" s="17018"/>
      <c r="AU42" s="17018"/>
      <c r="AV42" s="17018"/>
      <c r="AW42" s="17018"/>
      <c r="AX42" s="17018"/>
      <c r="AY42" s="17018" t="s">
        <v>360</v>
      </c>
      <c r="AZ42" s="17018"/>
      <c r="BA42" s="17018"/>
      <c r="BB42" s="17018"/>
      <c r="BC42" s="17018"/>
      <c r="BD42" s="17018"/>
      <c r="BE42" s="17018"/>
      <c r="BF42" s="17018"/>
      <c r="BG42" s="17018"/>
      <c r="BH42" s="17018" t="s">
        <v>360</v>
      </c>
      <c r="BI42" s="17018"/>
      <c r="BJ42" s="17018"/>
      <c r="BK42" s="17018"/>
      <c r="BL42" s="17018"/>
      <c r="BM42" s="17018"/>
      <c r="BN42" s="17018"/>
      <c r="BO42" s="17018"/>
      <c r="BP42" s="17018"/>
      <c r="BQ42" s="17018" t="s">
        <v>360</v>
      </c>
      <c r="BR42" s="17018"/>
      <c r="BS42" s="17018"/>
      <c r="BT42" s="17018"/>
      <c r="BU42" s="17018"/>
      <c r="BV42" s="17018"/>
      <c r="BW42" s="17018"/>
      <c r="BX42" s="17018"/>
      <c r="BY42" s="17018"/>
      <c r="BZ42" s="17018" t="s">
        <v>360</v>
      </c>
      <c r="CA42" s="17018"/>
      <c r="CB42" s="17018"/>
      <c r="CC42" s="17018"/>
      <c r="CD42" s="17018"/>
      <c r="CE42" s="17018"/>
      <c r="CF42" s="17018"/>
      <c r="CG42" s="17018"/>
      <c r="CH42" s="17018"/>
      <c r="CI42" s="17018" t="s">
        <v>360</v>
      </c>
      <c r="CJ42" s="17018"/>
      <c r="CK42" s="17018"/>
      <c r="CL42" s="17018"/>
      <c r="CM42" s="17018"/>
      <c r="CN42" s="17018"/>
      <c r="CO42" s="17018"/>
      <c r="CP42" s="17018"/>
      <c r="CQ42" s="17018"/>
      <c r="CR42" s="17018" t="s">
        <v>360</v>
      </c>
      <c r="CS42" s="17018"/>
      <c r="CT42" s="17018"/>
      <c r="CU42" s="17018"/>
      <c r="CV42" s="17018"/>
      <c r="CW42" s="17018"/>
      <c r="CX42" s="17018"/>
      <c r="CY42" s="17018"/>
      <c r="CZ42" s="17018"/>
      <c r="DA42" s="17018" t="s">
        <v>360</v>
      </c>
      <c r="DB42" s="17018"/>
      <c r="DC42" s="17018"/>
      <c r="DD42" s="17018"/>
      <c r="DE42" s="17018"/>
      <c r="DF42" s="17018"/>
      <c r="DG42" s="17018"/>
      <c r="DH42" s="17018"/>
      <c r="DI42" s="17018"/>
      <c r="DJ42" s="17018" t="s">
        <v>360</v>
      </c>
      <c r="DK42" s="17018"/>
      <c r="DL42" s="17018"/>
      <c r="DM42" s="17018"/>
      <c r="DN42" s="17018"/>
      <c r="DO42" s="17018"/>
      <c r="DP42" s="17018"/>
      <c r="DQ42" s="17018"/>
      <c r="DR42" s="17018"/>
      <c r="DS42" s="17018" t="s">
        <v>360</v>
      </c>
      <c r="DT42" s="17018"/>
      <c r="DU42" s="17018"/>
      <c r="DV42" s="17018"/>
      <c r="DW42" s="17018"/>
      <c r="DX42" s="17018"/>
      <c r="DY42" s="17018"/>
      <c r="DZ42" s="17018"/>
      <c r="EA42" s="17018"/>
      <c r="EB42" s="2411"/>
      <c r="EC42" s="2411"/>
      <c r="EI42" s="1439"/>
    </row>
    <row customHeight="1" ht="14.699999999999998">
      <c r="R43" s="660"/>
      <c r="S43" s="660"/>
      <c r="T43" s="660"/>
      <c r="U43" s="2557" t="s">
        <v>91</v>
      </c>
      <c r="V43" s="2493" t="s">
        <v>485</v>
      </c>
      <c r="W43" s="585"/>
      <c r="X43" s="2558" t="s">
        <v>486</v>
      </c>
      <c r="Y43" s="2575"/>
      <c r="Z43" s="2575"/>
      <c r="AA43" s="2575"/>
      <c r="AB43" s="2575"/>
      <c r="AC43" s="2559"/>
      <c r="AD43" s="2559"/>
      <c r="AE43" s="2560"/>
      <c r="AF43" s="2561" t="s">
        <v>487</v>
      </c>
      <c r="AG43" s="2558" t="s">
        <v>486</v>
      </c>
      <c r="AH43" s="2575"/>
      <c r="AI43" s="2575"/>
      <c r="AJ43" s="2575"/>
      <c r="AK43" s="2575"/>
      <c r="AL43" s="2559"/>
      <c r="AM43" s="2559"/>
      <c r="AN43" s="2560"/>
      <c r="AO43" s="2561" t="s">
        <v>488</v>
      </c>
      <c r="AP43" s="17019" t="s">
        <v>486</v>
      </c>
      <c r="AQ43" s="17020"/>
      <c r="AR43" s="17020"/>
      <c r="AS43" s="17020"/>
      <c r="AT43" s="17020"/>
      <c r="AU43" s="17021"/>
      <c r="AV43" s="17021"/>
      <c r="AW43" s="17022"/>
      <c r="AX43" s="17023" t="s">
        <v>487</v>
      </c>
      <c r="AY43" s="17019" t="s">
        <v>486</v>
      </c>
      <c r="AZ43" s="17020"/>
      <c r="BA43" s="17020"/>
      <c r="BB43" s="17020"/>
      <c r="BC43" s="17020"/>
      <c r="BD43" s="17021"/>
      <c r="BE43" s="17021"/>
      <c r="BF43" s="17022"/>
      <c r="BG43" s="17023" t="s">
        <v>487</v>
      </c>
      <c r="BH43" s="17019" t="s">
        <v>486</v>
      </c>
      <c r="BI43" s="17020"/>
      <c r="BJ43" s="17020"/>
      <c r="BK43" s="17020"/>
      <c r="BL43" s="17020"/>
      <c r="BM43" s="17021"/>
      <c r="BN43" s="17021"/>
      <c r="BO43" s="17022"/>
      <c r="BP43" s="17023" t="s">
        <v>487</v>
      </c>
      <c r="BQ43" s="17019" t="s">
        <v>486</v>
      </c>
      <c r="BR43" s="17020"/>
      <c r="BS43" s="17020"/>
      <c r="BT43" s="17020"/>
      <c r="BU43" s="17020"/>
      <c r="BV43" s="17021"/>
      <c r="BW43" s="17021"/>
      <c r="BX43" s="17022"/>
      <c r="BY43" s="17023" t="s">
        <v>487</v>
      </c>
      <c r="BZ43" s="17019" t="s">
        <v>486</v>
      </c>
      <c r="CA43" s="17020"/>
      <c r="CB43" s="17020"/>
      <c r="CC43" s="17020"/>
      <c r="CD43" s="17020"/>
      <c r="CE43" s="17021"/>
      <c r="CF43" s="17021"/>
      <c r="CG43" s="17022"/>
      <c r="CH43" s="17023" t="s">
        <v>487</v>
      </c>
      <c r="CI43" s="17019" t="s">
        <v>486</v>
      </c>
      <c r="CJ43" s="17020"/>
      <c r="CK43" s="17020"/>
      <c r="CL43" s="17020"/>
      <c r="CM43" s="17020"/>
      <c r="CN43" s="17021"/>
      <c r="CO43" s="17021"/>
      <c r="CP43" s="17022"/>
      <c r="CQ43" s="17023" t="s">
        <v>487</v>
      </c>
      <c r="CR43" s="17019" t="s">
        <v>486</v>
      </c>
      <c r="CS43" s="17020"/>
      <c r="CT43" s="17020"/>
      <c r="CU43" s="17020"/>
      <c r="CV43" s="17020"/>
      <c r="CW43" s="17021"/>
      <c r="CX43" s="17021"/>
      <c r="CY43" s="17022"/>
      <c r="CZ43" s="17023" t="s">
        <v>487</v>
      </c>
      <c r="DA43" s="17019" t="s">
        <v>486</v>
      </c>
      <c r="DB43" s="17020"/>
      <c r="DC43" s="17020"/>
      <c r="DD43" s="17020"/>
      <c r="DE43" s="17020"/>
      <c r="DF43" s="17021"/>
      <c r="DG43" s="17021"/>
      <c r="DH43" s="17022"/>
      <c r="DI43" s="17023" t="s">
        <v>487</v>
      </c>
      <c r="DJ43" s="17019" t="s">
        <v>486</v>
      </c>
      <c r="DK43" s="17020"/>
      <c r="DL43" s="17020"/>
      <c r="DM43" s="17020"/>
      <c r="DN43" s="17020"/>
      <c r="DO43" s="17021"/>
      <c r="DP43" s="17021"/>
      <c r="DQ43" s="17022"/>
      <c r="DR43" s="17023" t="s">
        <v>487</v>
      </c>
      <c r="DS43" s="17019" t="s">
        <v>486</v>
      </c>
      <c r="DT43" s="17020"/>
      <c r="DU43" s="17020"/>
      <c r="DV43" s="17020"/>
      <c r="DW43" s="17020"/>
      <c r="DX43" s="17021"/>
      <c r="DY43" s="17021"/>
      <c r="DZ43" s="17022"/>
      <c r="EA43" s="17023" t="s">
        <v>487</v>
      </c>
      <c r="EB43" s="2564" t="s">
        <v>489</v>
      </c>
      <c r="EC43" s="2411"/>
      <c r="EI43" s="1439">
        <v>14</v>
      </c>
    </row>
    <row customHeight="1" ht="35.699999999999996">
      <c r="R44" s="660"/>
      <c r="S44" s="660"/>
      <c r="T44" s="660"/>
      <c r="U44" s="2557"/>
      <c r="V44" s="2493"/>
      <c r="W44" s="1315"/>
      <c r="X44" s="2578" t="s">
        <v>526</v>
      </c>
      <c r="Y44" s="2596" t="s">
        <v>527</v>
      </c>
      <c r="Z44" s="2596"/>
      <c r="AA44" s="2596"/>
      <c r="AB44" s="2596"/>
      <c r="AC44" s="2578" t="s">
        <v>493</v>
      </c>
      <c r="AD44" s="2895"/>
      <c r="AE44" s="2598"/>
      <c r="AF44" s="2562"/>
      <c r="AG44" s="2578" t="s">
        <v>526</v>
      </c>
      <c r="AH44" s="2596" t="s">
        <v>527</v>
      </c>
      <c r="AI44" s="2596"/>
      <c r="AJ44" s="2596"/>
      <c r="AK44" s="2596"/>
      <c r="AL44" s="2578" t="s">
        <v>493</v>
      </c>
      <c r="AM44" s="2895"/>
      <c r="AN44" s="2598"/>
      <c r="AO44" s="2562"/>
      <c r="AP44" s="17027" t="s">
        <v>526</v>
      </c>
      <c r="AQ44" s="17018" t="s">
        <v>527</v>
      </c>
      <c r="AR44" s="17018"/>
      <c r="AS44" s="17018"/>
      <c r="AT44" s="17018"/>
      <c r="AU44" s="17027" t="s">
        <v>493</v>
      </c>
      <c r="AV44" s="17028"/>
      <c r="AW44" s="17029"/>
      <c r="AX44" s="17030"/>
      <c r="AY44" s="17027" t="s">
        <v>526</v>
      </c>
      <c r="AZ44" s="17018" t="s">
        <v>527</v>
      </c>
      <c r="BA44" s="17018"/>
      <c r="BB44" s="17018"/>
      <c r="BC44" s="17018"/>
      <c r="BD44" s="17027" t="s">
        <v>493</v>
      </c>
      <c r="BE44" s="17028"/>
      <c r="BF44" s="17029"/>
      <c r="BG44" s="17030"/>
      <c r="BH44" s="17027" t="s">
        <v>526</v>
      </c>
      <c r="BI44" s="17018" t="s">
        <v>527</v>
      </c>
      <c r="BJ44" s="17018"/>
      <c r="BK44" s="17018"/>
      <c r="BL44" s="17018"/>
      <c r="BM44" s="17027" t="s">
        <v>493</v>
      </c>
      <c r="BN44" s="17028"/>
      <c r="BO44" s="17029"/>
      <c r="BP44" s="17030"/>
      <c r="BQ44" s="17027" t="s">
        <v>526</v>
      </c>
      <c r="BR44" s="17018" t="s">
        <v>527</v>
      </c>
      <c r="BS44" s="17018"/>
      <c r="BT44" s="17018"/>
      <c r="BU44" s="17018"/>
      <c r="BV44" s="17027" t="s">
        <v>493</v>
      </c>
      <c r="BW44" s="17028"/>
      <c r="BX44" s="17029"/>
      <c r="BY44" s="17030"/>
      <c r="BZ44" s="17027" t="s">
        <v>526</v>
      </c>
      <c r="CA44" s="17018" t="s">
        <v>527</v>
      </c>
      <c r="CB44" s="17018"/>
      <c r="CC44" s="17018"/>
      <c r="CD44" s="17018"/>
      <c r="CE44" s="17027" t="s">
        <v>493</v>
      </c>
      <c r="CF44" s="17028"/>
      <c r="CG44" s="17029"/>
      <c r="CH44" s="17030"/>
      <c r="CI44" s="17027" t="s">
        <v>526</v>
      </c>
      <c r="CJ44" s="17018" t="s">
        <v>527</v>
      </c>
      <c r="CK44" s="17018"/>
      <c r="CL44" s="17018"/>
      <c r="CM44" s="17018"/>
      <c r="CN44" s="17027" t="s">
        <v>493</v>
      </c>
      <c r="CO44" s="17028"/>
      <c r="CP44" s="17029"/>
      <c r="CQ44" s="17030"/>
      <c r="CR44" s="17027" t="s">
        <v>526</v>
      </c>
      <c r="CS44" s="17018" t="s">
        <v>527</v>
      </c>
      <c r="CT44" s="17018"/>
      <c r="CU44" s="17018"/>
      <c r="CV44" s="17018"/>
      <c r="CW44" s="17027" t="s">
        <v>493</v>
      </c>
      <c r="CX44" s="17028"/>
      <c r="CY44" s="17029"/>
      <c r="CZ44" s="17030"/>
      <c r="DA44" s="17027" t="s">
        <v>526</v>
      </c>
      <c r="DB44" s="17018" t="s">
        <v>527</v>
      </c>
      <c r="DC44" s="17018"/>
      <c r="DD44" s="17018"/>
      <c r="DE44" s="17018"/>
      <c r="DF44" s="17027" t="s">
        <v>493</v>
      </c>
      <c r="DG44" s="17028"/>
      <c r="DH44" s="17029"/>
      <c r="DI44" s="17030"/>
      <c r="DJ44" s="17027" t="s">
        <v>526</v>
      </c>
      <c r="DK44" s="17018" t="s">
        <v>527</v>
      </c>
      <c r="DL44" s="17018"/>
      <c r="DM44" s="17018"/>
      <c r="DN44" s="17018"/>
      <c r="DO44" s="17027" t="s">
        <v>493</v>
      </c>
      <c r="DP44" s="17028"/>
      <c r="DQ44" s="17029"/>
      <c r="DR44" s="17030"/>
      <c r="DS44" s="17027" t="s">
        <v>526</v>
      </c>
      <c r="DT44" s="17018" t="s">
        <v>527</v>
      </c>
      <c r="DU44" s="17018"/>
      <c r="DV44" s="17018"/>
      <c r="DW44" s="17018"/>
      <c r="DX44" s="17027" t="s">
        <v>493</v>
      </c>
      <c r="DY44" s="17028"/>
      <c r="DZ44" s="17029"/>
      <c r="EA44" s="17030"/>
      <c r="EB44" s="2565"/>
      <c r="EC44" s="2411"/>
      <c r="EI44" s="1439">
        <v>34</v>
      </c>
    </row>
    <row customHeight="1" ht="14.699999999999998">
      <c r="R45" s="660"/>
      <c r="S45" s="660"/>
      <c r="T45" s="660"/>
      <c r="U45" s="2557"/>
      <c r="V45" s="2493"/>
      <c r="W45" s="1315"/>
      <c r="X45" s="2609"/>
      <c r="Y45" s="2601" t="s">
        <v>528</v>
      </c>
      <c r="Z45" s="2554" t="s">
        <v>529</v>
      </c>
      <c r="AA45" s="2604"/>
      <c r="AB45" s="2555"/>
      <c r="AC45" s="2579"/>
      <c r="AD45" s="2896"/>
      <c r="AE45" s="2600"/>
      <c r="AF45" s="2562"/>
      <c r="AG45" s="2609"/>
      <c r="AH45" s="2601" t="s">
        <v>528</v>
      </c>
      <c r="AI45" s="2554" t="s">
        <v>529</v>
      </c>
      <c r="AJ45" s="2604"/>
      <c r="AK45" s="2555"/>
      <c r="AL45" s="2579"/>
      <c r="AM45" s="2896"/>
      <c r="AN45" s="2600"/>
      <c r="AO45" s="2562"/>
      <c r="AP45" s="17036"/>
      <c r="AQ45" s="17037" t="s">
        <v>528</v>
      </c>
      <c r="AR45" s="17038" t="s">
        <v>529</v>
      </c>
      <c r="AS45" s="17039"/>
      <c r="AT45" s="17040"/>
      <c r="AU45" s="17041"/>
      <c r="AV45" s="17042"/>
      <c r="AW45" s="17043"/>
      <c r="AX45" s="17030"/>
      <c r="AY45" s="17036"/>
      <c r="AZ45" s="17037" t="s">
        <v>528</v>
      </c>
      <c r="BA45" s="17038" t="s">
        <v>529</v>
      </c>
      <c r="BB45" s="17039"/>
      <c r="BC45" s="17040"/>
      <c r="BD45" s="17041"/>
      <c r="BE45" s="17042"/>
      <c r="BF45" s="17043"/>
      <c r="BG45" s="17030"/>
      <c r="BH45" s="17036"/>
      <c r="BI45" s="17037" t="s">
        <v>528</v>
      </c>
      <c r="BJ45" s="17038" t="s">
        <v>529</v>
      </c>
      <c r="BK45" s="17039"/>
      <c r="BL45" s="17040"/>
      <c r="BM45" s="17041"/>
      <c r="BN45" s="17042"/>
      <c r="BO45" s="17043"/>
      <c r="BP45" s="17030"/>
      <c r="BQ45" s="17036"/>
      <c r="BR45" s="17037" t="s">
        <v>528</v>
      </c>
      <c r="BS45" s="17038" t="s">
        <v>529</v>
      </c>
      <c r="BT45" s="17039"/>
      <c r="BU45" s="17040"/>
      <c r="BV45" s="17041"/>
      <c r="BW45" s="17042"/>
      <c r="BX45" s="17043"/>
      <c r="BY45" s="17030"/>
      <c r="BZ45" s="17036"/>
      <c r="CA45" s="17037" t="s">
        <v>528</v>
      </c>
      <c r="CB45" s="17038" t="s">
        <v>529</v>
      </c>
      <c r="CC45" s="17039"/>
      <c r="CD45" s="17040"/>
      <c r="CE45" s="17041"/>
      <c r="CF45" s="17042"/>
      <c r="CG45" s="17043"/>
      <c r="CH45" s="17030"/>
      <c r="CI45" s="17036"/>
      <c r="CJ45" s="17037" t="s">
        <v>528</v>
      </c>
      <c r="CK45" s="17038" t="s">
        <v>529</v>
      </c>
      <c r="CL45" s="17039"/>
      <c r="CM45" s="17040"/>
      <c r="CN45" s="17041"/>
      <c r="CO45" s="17042"/>
      <c r="CP45" s="17043"/>
      <c r="CQ45" s="17030"/>
      <c r="CR45" s="17036"/>
      <c r="CS45" s="17037" t="s">
        <v>528</v>
      </c>
      <c r="CT45" s="17038" t="s">
        <v>529</v>
      </c>
      <c r="CU45" s="17039"/>
      <c r="CV45" s="17040"/>
      <c r="CW45" s="17041"/>
      <c r="CX45" s="17042"/>
      <c r="CY45" s="17043"/>
      <c r="CZ45" s="17030"/>
      <c r="DA45" s="17036"/>
      <c r="DB45" s="17037" t="s">
        <v>528</v>
      </c>
      <c r="DC45" s="17038" t="s">
        <v>529</v>
      </c>
      <c r="DD45" s="17039"/>
      <c r="DE45" s="17040"/>
      <c r="DF45" s="17041"/>
      <c r="DG45" s="17042"/>
      <c r="DH45" s="17043"/>
      <c r="DI45" s="17030"/>
      <c r="DJ45" s="17036"/>
      <c r="DK45" s="17037" t="s">
        <v>528</v>
      </c>
      <c r="DL45" s="17038" t="s">
        <v>529</v>
      </c>
      <c r="DM45" s="17039"/>
      <c r="DN45" s="17040"/>
      <c r="DO45" s="17041"/>
      <c r="DP45" s="17042"/>
      <c r="DQ45" s="17043"/>
      <c r="DR45" s="17030"/>
      <c r="DS45" s="17036"/>
      <c r="DT45" s="17037" t="s">
        <v>528</v>
      </c>
      <c r="DU45" s="17038" t="s">
        <v>529</v>
      </c>
      <c r="DV45" s="17039"/>
      <c r="DW45" s="17040"/>
      <c r="DX45" s="17041"/>
      <c r="DY45" s="17042"/>
      <c r="DZ45" s="17043"/>
      <c r="EA45" s="17030"/>
      <c r="EB45" s="2565"/>
      <c r="EC45" s="2411"/>
      <c r="EI45" s="1439">
        <v>14</v>
      </c>
    </row>
    <row customHeight="1" ht="27.299999999999997">
      <c r="R46" s="660"/>
      <c r="S46" s="660"/>
      <c r="T46" s="660"/>
      <c r="U46" s="2557"/>
      <c r="V46" s="2493"/>
      <c r="W46" s="1315"/>
      <c r="X46" s="2609"/>
      <c r="Y46" s="2602"/>
      <c r="Z46" s="2601" t="s">
        <v>530</v>
      </c>
      <c r="AA46" s="2554" t="s">
        <v>531</v>
      </c>
      <c r="AB46" s="2555"/>
      <c r="AC46" s="2601" t="s">
        <v>503</v>
      </c>
      <c r="AD46" s="2605" t="s">
        <v>504</v>
      </c>
      <c r="AE46" s="2606"/>
      <c r="AF46" s="2562"/>
      <c r="AG46" s="2609"/>
      <c r="AH46" s="2602"/>
      <c r="AI46" s="2601" t="s">
        <v>530</v>
      </c>
      <c r="AJ46" s="2554" t="s">
        <v>531</v>
      </c>
      <c r="AK46" s="2555"/>
      <c r="AL46" s="2601" t="s">
        <v>503</v>
      </c>
      <c r="AM46" s="2605" t="s">
        <v>504</v>
      </c>
      <c r="AN46" s="2606"/>
      <c r="AO46" s="2562"/>
      <c r="AP46" s="17036"/>
      <c r="AQ46" s="17047"/>
      <c r="AR46" s="17037" t="s">
        <v>530</v>
      </c>
      <c r="AS46" s="17038" t="s">
        <v>531</v>
      </c>
      <c r="AT46" s="17040"/>
      <c r="AU46" s="17037" t="s">
        <v>503</v>
      </c>
      <c r="AV46" s="17048" t="s">
        <v>504</v>
      </c>
      <c r="AW46" s="17049"/>
      <c r="AX46" s="17030"/>
      <c r="AY46" s="17036"/>
      <c r="AZ46" s="17047"/>
      <c r="BA46" s="17037" t="s">
        <v>530</v>
      </c>
      <c r="BB46" s="17038" t="s">
        <v>531</v>
      </c>
      <c r="BC46" s="17040"/>
      <c r="BD46" s="17037" t="s">
        <v>503</v>
      </c>
      <c r="BE46" s="17048" t="s">
        <v>504</v>
      </c>
      <c r="BF46" s="17049"/>
      <c r="BG46" s="17030"/>
      <c r="BH46" s="17036"/>
      <c r="BI46" s="17047"/>
      <c r="BJ46" s="17037" t="s">
        <v>530</v>
      </c>
      <c r="BK46" s="17038" t="s">
        <v>531</v>
      </c>
      <c r="BL46" s="17040"/>
      <c r="BM46" s="17037" t="s">
        <v>503</v>
      </c>
      <c r="BN46" s="17048" t="s">
        <v>504</v>
      </c>
      <c r="BO46" s="17049"/>
      <c r="BP46" s="17030"/>
      <c r="BQ46" s="17036"/>
      <c r="BR46" s="17047"/>
      <c r="BS46" s="17037" t="s">
        <v>530</v>
      </c>
      <c r="BT46" s="17038" t="s">
        <v>531</v>
      </c>
      <c r="BU46" s="17040"/>
      <c r="BV46" s="17037" t="s">
        <v>503</v>
      </c>
      <c r="BW46" s="17048" t="s">
        <v>504</v>
      </c>
      <c r="BX46" s="17049"/>
      <c r="BY46" s="17030"/>
      <c r="BZ46" s="17036"/>
      <c r="CA46" s="17047"/>
      <c r="CB46" s="17037" t="s">
        <v>530</v>
      </c>
      <c r="CC46" s="17038" t="s">
        <v>531</v>
      </c>
      <c r="CD46" s="17040"/>
      <c r="CE46" s="17037" t="s">
        <v>503</v>
      </c>
      <c r="CF46" s="17048" t="s">
        <v>504</v>
      </c>
      <c r="CG46" s="17049"/>
      <c r="CH46" s="17030"/>
      <c r="CI46" s="17036"/>
      <c r="CJ46" s="17047"/>
      <c r="CK46" s="17037" t="s">
        <v>530</v>
      </c>
      <c r="CL46" s="17038" t="s">
        <v>531</v>
      </c>
      <c r="CM46" s="17040"/>
      <c r="CN46" s="17037" t="s">
        <v>503</v>
      </c>
      <c r="CO46" s="17048" t="s">
        <v>504</v>
      </c>
      <c r="CP46" s="17049"/>
      <c r="CQ46" s="17030"/>
      <c r="CR46" s="17036"/>
      <c r="CS46" s="17047"/>
      <c r="CT46" s="17037" t="s">
        <v>530</v>
      </c>
      <c r="CU46" s="17038" t="s">
        <v>531</v>
      </c>
      <c r="CV46" s="17040"/>
      <c r="CW46" s="17037" t="s">
        <v>503</v>
      </c>
      <c r="CX46" s="17048" t="s">
        <v>504</v>
      </c>
      <c r="CY46" s="17049"/>
      <c r="CZ46" s="17030"/>
      <c r="DA46" s="17036"/>
      <c r="DB46" s="17047"/>
      <c r="DC46" s="17037" t="s">
        <v>530</v>
      </c>
      <c r="DD46" s="17038" t="s">
        <v>531</v>
      </c>
      <c r="DE46" s="17040"/>
      <c r="DF46" s="17037" t="s">
        <v>503</v>
      </c>
      <c r="DG46" s="17048" t="s">
        <v>504</v>
      </c>
      <c r="DH46" s="17049"/>
      <c r="DI46" s="17030"/>
      <c r="DJ46" s="17036"/>
      <c r="DK46" s="17047"/>
      <c r="DL46" s="17037" t="s">
        <v>530</v>
      </c>
      <c r="DM46" s="17038" t="s">
        <v>531</v>
      </c>
      <c r="DN46" s="17040"/>
      <c r="DO46" s="17037" t="s">
        <v>503</v>
      </c>
      <c r="DP46" s="17048" t="s">
        <v>504</v>
      </c>
      <c r="DQ46" s="17049"/>
      <c r="DR46" s="17030"/>
      <c r="DS46" s="17036"/>
      <c r="DT46" s="17047"/>
      <c r="DU46" s="17037" t="s">
        <v>530</v>
      </c>
      <c r="DV46" s="17038" t="s">
        <v>531</v>
      </c>
      <c r="DW46" s="17040"/>
      <c r="DX46" s="17037" t="s">
        <v>503</v>
      </c>
      <c r="DY46" s="17048" t="s">
        <v>504</v>
      </c>
      <c r="DZ46" s="17049"/>
      <c r="EA46" s="17030"/>
      <c r="EB46" s="2565"/>
      <c r="EC46" s="2411"/>
      <c r="EI46" s="1439">
        <v>26</v>
      </c>
    </row>
    <row customHeight="1" ht="65.25">
      <c r="A47" s="1543"/>
      <c r="B47" s="1543" t="s">
        <v>165</v>
      </c>
      <c r="C47" s="1543" t="s">
        <v>166</v>
      </c>
      <c r="D47" s="1543" t="s">
        <v>167</v>
      </c>
      <c r="E47" s="1594" t="s">
        <v>494</v>
      </c>
      <c r="F47" s="1594" t="s">
        <v>495</v>
      </c>
      <c r="G47" s="1594" t="s">
        <v>496</v>
      </c>
      <c r="H47" s="1594" t="s">
        <v>497</v>
      </c>
      <c r="I47" s="1594" t="s">
        <v>498</v>
      </c>
      <c r="J47" s="1594" t="s">
        <v>499</v>
      </c>
      <c r="K47" s="1594" t="s">
        <v>500</v>
      </c>
      <c r="L47" s="1594" t="s">
        <v>532</v>
      </c>
      <c r="M47" s="1594" t="s">
        <v>475</v>
      </c>
      <c r="R47" s="660"/>
      <c r="S47" s="660"/>
      <c r="T47" s="660"/>
      <c r="U47" s="2557"/>
      <c r="V47" s="2493"/>
      <c r="W47" s="586"/>
      <c r="X47" s="2579"/>
      <c r="Y47" s="2603"/>
      <c r="Z47" s="2603"/>
      <c r="AA47" s="1506" t="s">
        <v>533</v>
      </c>
      <c r="AB47" s="1506" t="s">
        <v>534</v>
      </c>
      <c r="AC47" s="2603"/>
      <c r="AD47" s="2607"/>
      <c r="AE47" s="2608"/>
      <c r="AF47" s="2563"/>
      <c r="AG47" s="2579"/>
      <c r="AH47" s="2603"/>
      <c r="AI47" s="2603"/>
      <c r="AJ47" s="1506" t="s">
        <v>533</v>
      </c>
      <c r="AK47" s="1506" t="s">
        <v>534</v>
      </c>
      <c r="AL47" s="2603"/>
      <c r="AM47" s="2607"/>
      <c r="AN47" s="2608"/>
      <c r="AO47" s="2563"/>
      <c r="AP47" s="17041"/>
      <c r="AQ47" s="17053"/>
      <c r="AR47" s="17053"/>
      <c r="AS47" s="17054" t="s">
        <v>533</v>
      </c>
      <c r="AT47" s="17054" t="s">
        <v>534</v>
      </c>
      <c r="AU47" s="17053"/>
      <c r="AV47" s="17055"/>
      <c r="AW47" s="17056"/>
      <c r="AX47" s="17057"/>
      <c r="AY47" s="17041"/>
      <c r="AZ47" s="17053"/>
      <c r="BA47" s="17053"/>
      <c r="BB47" s="17054" t="s">
        <v>533</v>
      </c>
      <c r="BC47" s="17054" t="s">
        <v>534</v>
      </c>
      <c r="BD47" s="17053"/>
      <c r="BE47" s="17055"/>
      <c r="BF47" s="17056"/>
      <c r="BG47" s="17057"/>
      <c r="BH47" s="17041"/>
      <c r="BI47" s="17053"/>
      <c r="BJ47" s="17053"/>
      <c r="BK47" s="17054" t="s">
        <v>533</v>
      </c>
      <c r="BL47" s="17054" t="s">
        <v>534</v>
      </c>
      <c r="BM47" s="17053"/>
      <c r="BN47" s="17055"/>
      <c r="BO47" s="17056"/>
      <c r="BP47" s="17057"/>
      <c r="BQ47" s="17041"/>
      <c r="BR47" s="17053"/>
      <c r="BS47" s="17053"/>
      <c r="BT47" s="17054" t="s">
        <v>533</v>
      </c>
      <c r="BU47" s="17054" t="s">
        <v>534</v>
      </c>
      <c r="BV47" s="17053"/>
      <c r="BW47" s="17055"/>
      <c r="BX47" s="17056"/>
      <c r="BY47" s="17057"/>
      <c r="BZ47" s="17041"/>
      <c r="CA47" s="17053"/>
      <c r="CB47" s="17053"/>
      <c r="CC47" s="17054" t="s">
        <v>533</v>
      </c>
      <c r="CD47" s="17054" t="s">
        <v>534</v>
      </c>
      <c r="CE47" s="17053"/>
      <c r="CF47" s="17055"/>
      <c r="CG47" s="17056"/>
      <c r="CH47" s="17057"/>
      <c r="CI47" s="17041"/>
      <c r="CJ47" s="17053"/>
      <c r="CK47" s="17053"/>
      <c r="CL47" s="17054" t="s">
        <v>533</v>
      </c>
      <c r="CM47" s="17054" t="s">
        <v>534</v>
      </c>
      <c r="CN47" s="17053"/>
      <c r="CO47" s="17055"/>
      <c r="CP47" s="17056"/>
      <c r="CQ47" s="17057"/>
      <c r="CR47" s="17041"/>
      <c r="CS47" s="17053"/>
      <c r="CT47" s="17053"/>
      <c r="CU47" s="17054" t="s">
        <v>533</v>
      </c>
      <c r="CV47" s="17054" t="s">
        <v>534</v>
      </c>
      <c r="CW47" s="17053"/>
      <c r="CX47" s="17055"/>
      <c r="CY47" s="17056"/>
      <c r="CZ47" s="17057"/>
      <c r="DA47" s="17041"/>
      <c r="DB47" s="17053"/>
      <c r="DC47" s="17053"/>
      <c r="DD47" s="17054" t="s">
        <v>533</v>
      </c>
      <c r="DE47" s="17054" t="s">
        <v>534</v>
      </c>
      <c r="DF47" s="17053"/>
      <c r="DG47" s="17055"/>
      <c r="DH47" s="17056"/>
      <c r="DI47" s="17057"/>
      <c r="DJ47" s="17041"/>
      <c r="DK47" s="17053"/>
      <c r="DL47" s="17053"/>
      <c r="DM47" s="17054" t="s">
        <v>533</v>
      </c>
      <c r="DN47" s="17054" t="s">
        <v>534</v>
      </c>
      <c r="DO47" s="17053"/>
      <c r="DP47" s="17055"/>
      <c r="DQ47" s="17056"/>
      <c r="DR47" s="17057"/>
      <c r="DS47" s="17041"/>
      <c r="DT47" s="17053"/>
      <c r="DU47" s="17053"/>
      <c r="DV47" s="17054" t="s">
        <v>533</v>
      </c>
      <c r="DW47" s="17054" t="s">
        <v>534</v>
      </c>
      <c r="DX47" s="17053"/>
      <c r="DY47" s="17055"/>
      <c r="DZ47" s="17056"/>
      <c r="EA47" s="17057"/>
      <c r="EB47" s="2566"/>
      <c r="EC47" s="2411"/>
      <c r="EI47" s="1439">
        <v>62</v>
      </c>
    </row>
    <row s="31261" customFormat="1" customHeight="1" ht="11.25" hidden="1">
      <c r="A48" s="1543"/>
      <c r="B48" s="1543"/>
      <c r="C48" s="1543"/>
      <c r="D48" s="1543"/>
      <c r="E48" s="1543"/>
      <c r="F48" s="1543"/>
      <c r="G48" s="1543"/>
      <c r="H48" s="1543"/>
      <c r="I48" s="1543"/>
      <c r="J48" s="1543"/>
      <c r="K48" s="1543"/>
      <c r="L48" s="1543"/>
      <c r="M48" s="1594"/>
      <c r="N48" s="1612"/>
      <c r="O48" s="1612"/>
      <c r="P48" s="1612"/>
      <c r="Q48" s="1530"/>
      <c r="R48" s="1531"/>
      <c r="S48" s="1538">
        <v>1</v>
      </c>
      <c r="T48" s="1538"/>
      <c r="U48" s="1561" t="s">
        <v>141</v>
      </c>
      <c r="V48" s="1539" t="s">
        <v>105</v>
      </c>
      <c r="W48" s="1529" t="str">
        <f>OFFSET(W48,0,-1)</f>
        <v>2</v>
      </c>
      <c r="X48" s="1619">
        <f>OFFSET(X48,0,-1)+1</f>
        <v>3</v>
      </c>
      <c r="Y48" s="1625"/>
      <c r="Z48" s="1625"/>
      <c r="AA48" s="1625">
        <f>OFFSET(AA48,0,-1)+1</f>
        <v>1</v>
      </c>
      <c r="AB48" s="1625">
        <f>OFFSET(AB48,0,-1)+1</f>
        <v>2</v>
      </c>
      <c r="AC48" s="1619">
        <f>OFFSET(AC48,0,-1)+1</f>
        <v>3</v>
      </c>
      <c r="AD48" s="2556">
        <f>OFFSET(AD48,0,-1)+1</f>
        <v>4</v>
      </c>
      <c r="AE48" s="2556"/>
      <c r="AF48" s="1619">
        <f>OFFSET(AF48,0,-2)+1</f>
        <v>5</v>
      </c>
      <c r="AG48" s="1619">
        <f>OFFSET(AG48,0,-1)+1</f>
        <v>6</v>
      </c>
      <c r="AH48" s="1619"/>
      <c r="AI48" s="1619"/>
      <c r="AJ48" s="1619">
        <f>OFFSET(AJ48,0,-1)+1</f>
        <v>1</v>
      </c>
      <c r="AK48" s="1619">
        <f>OFFSET(AK48,0,-1)+1</f>
        <v>2</v>
      </c>
      <c r="AL48" s="1619">
        <f>OFFSET(AL48,0,-1)+1</f>
        <v>3</v>
      </c>
      <c r="AM48" s="2556">
        <f>OFFSET(AM48,0,-1)+1</f>
        <v>4</v>
      </c>
      <c r="AN48" s="2556"/>
      <c r="AO48" s="1619">
        <f>OFFSET(AO48,0,-2)+1</f>
        <v>5</v>
      </c>
      <c r="AP48" s="17058">
        <f>OFFSET(AP48,0,-1)+1</f>
        <v>6</v>
      </c>
      <c r="AQ48" s="17059"/>
      <c r="AR48" s="17059"/>
      <c r="AS48" s="17059">
        <f>OFFSET(AS48,0,-1)+1</f>
        <v>1</v>
      </c>
      <c r="AT48" s="17059">
        <f>OFFSET(AT48,0,-1)+1</f>
        <v>2</v>
      </c>
      <c r="AU48" s="17058">
        <f>OFFSET(AU48,0,-1)+1</f>
        <v>3</v>
      </c>
      <c r="AV48" s="17058">
        <f>OFFSET(AV48,0,-1)+1</f>
        <v>4</v>
      </c>
      <c r="AW48" s="17058"/>
      <c r="AX48" s="17058">
        <f>OFFSET(AX48,0,-2)+1</f>
        <v>5</v>
      </c>
      <c r="AY48" s="17058">
        <f>OFFSET(AY48,0,-1)+1</f>
        <v>6</v>
      </c>
      <c r="AZ48" s="17059"/>
      <c r="BA48" s="17059"/>
      <c r="BB48" s="17059">
        <f>OFFSET(BB48,0,-1)+1</f>
        <v>1</v>
      </c>
      <c r="BC48" s="17059">
        <f>OFFSET(BC48,0,-1)+1</f>
        <v>2</v>
      </c>
      <c r="BD48" s="17058">
        <f>OFFSET(BD48,0,-1)+1</f>
        <v>3</v>
      </c>
      <c r="BE48" s="17058">
        <f>OFFSET(BE48,0,-1)+1</f>
        <v>4</v>
      </c>
      <c r="BF48" s="17058"/>
      <c r="BG48" s="17058">
        <f>OFFSET(BG48,0,-2)+1</f>
        <v>5</v>
      </c>
      <c r="BH48" s="17058">
        <f>OFFSET(BH48,0,-1)+1</f>
        <v>6</v>
      </c>
      <c r="BI48" s="17059"/>
      <c r="BJ48" s="17059"/>
      <c r="BK48" s="17059">
        <f>OFFSET(BK48,0,-1)+1</f>
        <v>1</v>
      </c>
      <c r="BL48" s="17059">
        <f>OFFSET(BL48,0,-1)+1</f>
        <v>2</v>
      </c>
      <c r="BM48" s="17058">
        <f>OFFSET(BM48,0,-1)+1</f>
        <v>3</v>
      </c>
      <c r="BN48" s="17058">
        <f>OFFSET(BN48,0,-1)+1</f>
        <v>4</v>
      </c>
      <c r="BO48" s="17058"/>
      <c r="BP48" s="17058">
        <f>OFFSET(BP48,0,-2)+1</f>
        <v>5</v>
      </c>
      <c r="BQ48" s="17058">
        <f>OFFSET(BQ48,0,-1)+1</f>
        <v>6</v>
      </c>
      <c r="BR48" s="17059"/>
      <c r="BS48" s="17059"/>
      <c r="BT48" s="17059">
        <f>OFFSET(BT48,0,-1)+1</f>
        <v>1</v>
      </c>
      <c r="BU48" s="17059">
        <f>OFFSET(BU48,0,-1)+1</f>
        <v>2</v>
      </c>
      <c r="BV48" s="17058">
        <f>OFFSET(BV48,0,-1)+1</f>
        <v>3</v>
      </c>
      <c r="BW48" s="17058">
        <f>OFFSET(BW48,0,-1)+1</f>
        <v>4</v>
      </c>
      <c r="BX48" s="17058"/>
      <c r="BY48" s="17058">
        <f>OFFSET(BY48,0,-2)+1</f>
        <v>5</v>
      </c>
      <c r="BZ48" s="17058">
        <f>OFFSET(BZ48,0,-1)+1</f>
        <v>6</v>
      </c>
      <c r="CA48" s="17059"/>
      <c r="CB48" s="17059"/>
      <c r="CC48" s="17059">
        <f>OFFSET(CC48,0,-1)+1</f>
        <v>1</v>
      </c>
      <c r="CD48" s="17059">
        <f>OFFSET(CD48,0,-1)+1</f>
        <v>2</v>
      </c>
      <c r="CE48" s="17058">
        <f>OFFSET(CE48,0,-1)+1</f>
        <v>3</v>
      </c>
      <c r="CF48" s="17058">
        <f>OFFSET(CF48,0,-1)+1</f>
        <v>4</v>
      </c>
      <c r="CG48" s="17058"/>
      <c r="CH48" s="17058">
        <f>OFFSET(CH48,0,-2)+1</f>
        <v>5</v>
      </c>
      <c r="CI48" s="17058">
        <f>OFFSET(CI48,0,-1)+1</f>
        <v>6</v>
      </c>
      <c r="CJ48" s="17059"/>
      <c r="CK48" s="17059"/>
      <c r="CL48" s="17059">
        <f>OFFSET(CL48,0,-1)+1</f>
        <v>1</v>
      </c>
      <c r="CM48" s="17059">
        <f>OFFSET(CM48,0,-1)+1</f>
        <v>2</v>
      </c>
      <c r="CN48" s="17058">
        <f>OFFSET(CN48,0,-1)+1</f>
        <v>3</v>
      </c>
      <c r="CO48" s="17058">
        <f>OFFSET(CO48,0,-1)+1</f>
        <v>4</v>
      </c>
      <c r="CP48" s="17058"/>
      <c r="CQ48" s="17058">
        <f>OFFSET(CQ48,0,-2)+1</f>
        <v>5</v>
      </c>
      <c r="CR48" s="17058">
        <f>OFFSET(CR48,0,-1)+1</f>
        <v>6</v>
      </c>
      <c r="CS48" s="17059"/>
      <c r="CT48" s="17059"/>
      <c r="CU48" s="17059">
        <f>OFFSET(CU48,0,-1)+1</f>
        <v>1</v>
      </c>
      <c r="CV48" s="17059">
        <f>OFFSET(CV48,0,-1)+1</f>
        <v>2</v>
      </c>
      <c r="CW48" s="17058">
        <f>OFFSET(CW48,0,-1)+1</f>
        <v>3</v>
      </c>
      <c r="CX48" s="17058">
        <f>OFFSET(CX48,0,-1)+1</f>
        <v>4</v>
      </c>
      <c r="CY48" s="17058"/>
      <c r="CZ48" s="17058">
        <f>OFFSET(CZ48,0,-2)+1</f>
        <v>5</v>
      </c>
      <c r="DA48" s="17058">
        <f>OFFSET(DA48,0,-1)+1</f>
        <v>6</v>
      </c>
      <c r="DB48" s="17059"/>
      <c r="DC48" s="17059"/>
      <c r="DD48" s="17059">
        <f>OFFSET(DD48,0,-1)+1</f>
        <v>1</v>
      </c>
      <c r="DE48" s="17059">
        <f>OFFSET(DE48,0,-1)+1</f>
        <v>2</v>
      </c>
      <c r="DF48" s="17058">
        <f>OFFSET(DF48,0,-1)+1</f>
        <v>3</v>
      </c>
      <c r="DG48" s="17058">
        <f>OFFSET(DG48,0,-1)+1</f>
        <v>4</v>
      </c>
      <c r="DH48" s="17058"/>
      <c r="DI48" s="17058">
        <f>OFFSET(DI48,0,-2)+1</f>
        <v>5</v>
      </c>
      <c r="DJ48" s="17058">
        <f>OFFSET(DJ48,0,-1)+1</f>
        <v>6</v>
      </c>
      <c r="DK48" s="17059"/>
      <c r="DL48" s="17059"/>
      <c r="DM48" s="17059">
        <f>OFFSET(DM48,0,-1)+1</f>
        <v>1</v>
      </c>
      <c r="DN48" s="17059">
        <f>OFFSET(DN48,0,-1)+1</f>
        <v>2</v>
      </c>
      <c r="DO48" s="17058">
        <f>OFFSET(DO48,0,-1)+1</f>
        <v>3</v>
      </c>
      <c r="DP48" s="17058">
        <f>OFFSET(DP48,0,-1)+1</f>
        <v>4</v>
      </c>
      <c r="DQ48" s="17058"/>
      <c r="DR48" s="17058">
        <f>OFFSET(DR48,0,-2)+1</f>
        <v>5</v>
      </c>
      <c r="DS48" s="17058">
        <f>OFFSET(DS48,0,-1)+1</f>
        <v>6</v>
      </c>
      <c r="DT48" s="17059"/>
      <c r="DU48" s="17059"/>
      <c r="DV48" s="17059">
        <f>OFFSET(DV48,0,-1)+1</f>
        <v>1</v>
      </c>
      <c r="DW48" s="17059">
        <f>OFFSET(DW48,0,-1)+1</f>
        <v>2</v>
      </c>
      <c r="DX48" s="17058">
        <f>OFFSET(DX48,0,-1)+1</f>
        <v>3</v>
      </c>
      <c r="DY48" s="17058">
        <f>OFFSET(DY48,0,-1)+1</f>
        <v>4</v>
      </c>
      <c r="DZ48" s="17058"/>
      <c r="EA48" s="17058">
        <f>OFFSET(EA48,0,-2)+1</f>
        <v>5</v>
      </c>
      <c r="EB48" s="1529">
        <f>OFFSET(EB48,0,-1)</f>
        <v>5</v>
      </c>
      <c r="EC48" s="1619">
        <f>OFFSET(EC48,0,-1)+1</f>
        <v>6</v>
      </c>
      <c r="ED48" s="795"/>
      <c r="EE48" s="795"/>
      <c r="EF48" s="795"/>
      <c r="EG48" s="795"/>
      <c r="EH48" s="795"/>
      <c r="EI48" s="780">
        <v>0</v>
      </c>
    </row>
    <row customHeight="1" ht="22.049999999999997">
      <c r="A49" s="1551" t="s">
        <v>209</v>
      </c>
      <c r="B49" s="1551"/>
      <c r="C49" s="1551"/>
      <c r="D49" s="1551"/>
      <c r="E49" s="2573">
        <v>1</v>
      </c>
      <c r="F49" s="1551"/>
      <c r="G49" s="1551"/>
      <c r="H49" s="1551"/>
      <c r="I49" s="1551"/>
      <c r="J49" s="1551"/>
      <c r="K49" s="1551"/>
      <c r="L49" s="1551"/>
      <c r="M49" s="1594"/>
      <c r="N49" s="972"/>
      <c r="O49" s="972"/>
      <c r="P49" s="972"/>
      <c r="Q49" s="645"/>
      <c r="R49" s="644"/>
      <c r="S49" s="644"/>
      <c r="T49" s="639"/>
      <c r="U49" s="1620">
        <f>INDEX(PT_DIFFERENTIATION_NUM_NTAR,MATCH(A49,PT_DIFFERENTIATION_NTAR_ID,0))</f>
        <v>1</v>
      </c>
      <c r="V49" s="582" t="s">
        <v>153</v>
      </c>
      <c r="W49" s="584"/>
      <c r="X49" s="2526"/>
      <c r="Y49" s="2527"/>
      <c r="Z49" s="2527"/>
      <c r="AA49" s="2527"/>
      <c r="AB49" s="2527"/>
      <c r="AC49" s="2527"/>
      <c r="AD49" s="2527"/>
      <c r="AE49" s="2527"/>
      <c r="AF49" s="2528"/>
      <c r="AG49" s="2526" t="str">
        <f>INDEX(PT_DIFFERENTIATION_NTAR,MATCH(A49,PT_DIFFERENTIATION_NTAR_ID,0))</f>
        <v>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v>
      </c>
      <c r="AH49" s="2527"/>
      <c r="AI49" s="2527"/>
      <c r="AJ49" s="2527"/>
      <c r="AK49" s="2527"/>
      <c r="AL49" s="2527"/>
      <c r="AM49" s="2527"/>
      <c r="AN49" s="2527"/>
      <c r="AO49" s="2527"/>
      <c r="AP49" s="16743"/>
      <c r="AQ49" s="16744"/>
      <c r="AR49" s="16744"/>
      <c r="AS49" s="16744"/>
      <c r="AT49" s="16744"/>
      <c r="AU49" s="16744"/>
      <c r="AV49" s="16744"/>
      <c r="AW49" s="16744"/>
      <c r="AX49" s="16745"/>
      <c r="AY49" s="16743"/>
      <c r="AZ49" s="16744"/>
      <c r="BA49" s="16744"/>
      <c r="BB49" s="16744"/>
      <c r="BC49" s="16744"/>
      <c r="BD49" s="16744"/>
      <c r="BE49" s="16744"/>
      <c r="BF49" s="16744"/>
      <c r="BG49" s="16745"/>
      <c r="BH49" s="16743"/>
      <c r="BI49" s="16744"/>
      <c r="BJ49" s="16744"/>
      <c r="BK49" s="16744"/>
      <c r="BL49" s="16744"/>
      <c r="BM49" s="16744"/>
      <c r="BN49" s="16744"/>
      <c r="BO49" s="16744"/>
      <c r="BP49" s="16745"/>
      <c r="BQ49" s="16743"/>
      <c r="BR49" s="16744"/>
      <c r="BS49" s="16744"/>
      <c r="BT49" s="16744"/>
      <c r="BU49" s="16744"/>
      <c r="BV49" s="16744"/>
      <c r="BW49" s="16744"/>
      <c r="BX49" s="16744"/>
      <c r="BY49" s="16745"/>
      <c r="BZ49" s="16743"/>
      <c r="CA49" s="16744"/>
      <c r="CB49" s="16744"/>
      <c r="CC49" s="16744"/>
      <c r="CD49" s="16744"/>
      <c r="CE49" s="16744"/>
      <c r="CF49" s="16744"/>
      <c r="CG49" s="16744"/>
      <c r="CH49" s="16745"/>
      <c r="CI49" s="16743"/>
      <c r="CJ49" s="16744"/>
      <c r="CK49" s="16744"/>
      <c r="CL49" s="16744"/>
      <c r="CM49" s="16744"/>
      <c r="CN49" s="16744"/>
      <c r="CO49" s="16744"/>
      <c r="CP49" s="16744"/>
      <c r="CQ49" s="16745"/>
      <c r="CR49" s="16743"/>
      <c r="CS49" s="16744"/>
      <c r="CT49" s="16744"/>
      <c r="CU49" s="16744"/>
      <c r="CV49" s="16744"/>
      <c r="CW49" s="16744"/>
      <c r="CX49" s="16744"/>
      <c r="CY49" s="16744"/>
      <c r="CZ49" s="16745"/>
      <c r="DA49" s="16743"/>
      <c r="DB49" s="16744"/>
      <c r="DC49" s="16744"/>
      <c r="DD49" s="16744"/>
      <c r="DE49" s="16744"/>
      <c r="DF49" s="16744"/>
      <c r="DG49" s="16744"/>
      <c r="DH49" s="16744"/>
      <c r="DI49" s="16745"/>
      <c r="DJ49" s="16743"/>
      <c r="DK49" s="16744"/>
      <c r="DL49" s="16744"/>
      <c r="DM49" s="16744"/>
      <c r="DN49" s="16744"/>
      <c r="DO49" s="16744"/>
      <c r="DP49" s="16744"/>
      <c r="DQ49" s="16744"/>
      <c r="DR49" s="16745"/>
      <c r="DS49" s="16743"/>
      <c r="DT49" s="16744"/>
      <c r="DU49" s="16744"/>
      <c r="DV49" s="16744"/>
      <c r="DW49" s="16744"/>
      <c r="DX49" s="16744"/>
      <c r="DY49" s="16744"/>
      <c r="DZ49" s="16744"/>
      <c r="EA49" s="16745"/>
      <c r="EB49" s="2528"/>
      <c r="EC49" s="154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EE49" s="784"/>
      <c r="EF49" s="784" t="str">
        <f>IF(V49="","",V49)</f>
        <v>Наименование тарифа</v>
      </c>
      <c r="EG49" s="784"/>
      <c r="EH49" s="784"/>
      <c r="EI49" s="1439">
        <v>21</v>
      </c>
    </row>
    <row customHeight="1" ht="22.049999999999997">
      <c r="A50" s="1551" t="s">
        <v>209</v>
      </c>
      <c r="B50" s="1551" t="s">
        <v>210</v>
      </c>
      <c r="C50" s="1551"/>
      <c r="D50" s="1551"/>
      <c r="E50" s="2574"/>
      <c r="F50" s="2573">
        <v>1</v>
      </c>
      <c r="G50" s="1551"/>
      <c r="H50" s="1551"/>
      <c r="I50" s="1551"/>
      <c r="J50" s="1551"/>
      <c r="K50" s="1551"/>
      <c r="L50" s="1551"/>
      <c r="M50" s="1594"/>
      <c r="N50" s="972"/>
      <c r="O50" s="972"/>
      <c r="P50" s="972"/>
      <c r="Q50" s="1616"/>
      <c r="R50" s="636"/>
      <c r="S50" s="793"/>
      <c r="T50" s="637"/>
      <c r="U50" s="1620" t="str">
        <f>INDEX(PT_DIFFERENTIATION_NUM_TER,MATCH(B50,PT_DIFFERENTIATION_TER_ID,0))</f>
        <v>1.1</v>
      </c>
      <c r="V50" s="592" t="s">
        <v>457</v>
      </c>
      <c r="W50" s="584"/>
      <c r="X50" s="2526"/>
      <c r="Y50" s="2527"/>
      <c r="Z50" s="2527"/>
      <c r="AA50" s="2527"/>
      <c r="AB50" s="2527"/>
      <c r="AC50" s="2527"/>
      <c r="AD50" s="2527"/>
      <c r="AE50" s="2527"/>
      <c r="AF50" s="2528"/>
      <c r="AG50" s="2526" t="str">
        <f>INDEX(PT_DIFFERENTIATION_TER,MATCH(B50,PT_DIFFERENTIATION_TER_ID,0))</f>
        <v>Территория 1</v>
      </c>
      <c r="AH50" s="2527"/>
      <c r="AI50" s="2527"/>
      <c r="AJ50" s="2527"/>
      <c r="AK50" s="2527"/>
      <c r="AL50" s="2527"/>
      <c r="AM50" s="2527"/>
      <c r="AN50" s="2527"/>
      <c r="AO50" s="2527"/>
      <c r="AP50" s="16743"/>
      <c r="AQ50" s="16744"/>
      <c r="AR50" s="16744"/>
      <c r="AS50" s="16744"/>
      <c r="AT50" s="16744"/>
      <c r="AU50" s="16744"/>
      <c r="AV50" s="16744"/>
      <c r="AW50" s="16744"/>
      <c r="AX50" s="16745"/>
      <c r="AY50" s="16743"/>
      <c r="AZ50" s="16744"/>
      <c r="BA50" s="16744"/>
      <c r="BB50" s="16744"/>
      <c r="BC50" s="16744"/>
      <c r="BD50" s="16744"/>
      <c r="BE50" s="16744"/>
      <c r="BF50" s="16744"/>
      <c r="BG50" s="16745"/>
      <c r="BH50" s="16743"/>
      <c r="BI50" s="16744"/>
      <c r="BJ50" s="16744"/>
      <c r="BK50" s="16744"/>
      <c r="BL50" s="16744"/>
      <c r="BM50" s="16744"/>
      <c r="BN50" s="16744"/>
      <c r="BO50" s="16744"/>
      <c r="BP50" s="16745"/>
      <c r="BQ50" s="16743"/>
      <c r="BR50" s="16744"/>
      <c r="BS50" s="16744"/>
      <c r="BT50" s="16744"/>
      <c r="BU50" s="16744"/>
      <c r="BV50" s="16744"/>
      <c r="BW50" s="16744"/>
      <c r="BX50" s="16744"/>
      <c r="BY50" s="16745"/>
      <c r="BZ50" s="16743"/>
      <c r="CA50" s="16744"/>
      <c r="CB50" s="16744"/>
      <c r="CC50" s="16744"/>
      <c r="CD50" s="16744"/>
      <c r="CE50" s="16744"/>
      <c r="CF50" s="16744"/>
      <c r="CG50" s="16744"/>
      <c r="CH50" s="16745"/>
      <c r="CI50" s="16743"/>
      <c r="CJ50" s="16744"/>
      <c r="CK50" s="16744"/>
      <c r="CL50" s="16744"/>
      <c r="CM50" s="16744"/>
      <c r="CN50" s="16744"/>
      <c r="CO50" s="16744"/>
      <c r="CP50" s="16744"/>
      <c r="CQ50" s="16745"/>
      <c r="CR50" s="16743"/>
      <c r="CS50" s="16744"/>
      <c r="CT50" s="16744"/>
      <c r="CU50" s="16744"/>
      <c r="CV50" s="16744"/>
      <c r="CW50" s="16744"/>
      <c r="CX50" s="16744"/>
      <c r="CY50" s="16744"/>
      <c r="CZ50" s="16745"/>
      <c r="DA50" s="16743"/>
      <c r="DB50" s="16744"/>
      <c r="DC50" s="16744"/>
      <c r="DD50" s="16744"/>
      <c r="DE50" s="16744"/>
      <c r="DF50" s="16744"/>
      <c r="DG50" s="16744"/>
      <c r="DH50" s="16744"/>
      <c r="DI50" s="16745"/>
      <c r="DJ50" s="16743"/>
      <c r="DK50" s="16744"/>
      <c r="DL50" s="16744"/>
      <c r="DM50" s="16744"/>
      <c r="DN50" s="16744"/>
      <c r="DO50" s="16744"/>
      <c r="DP50" s="16744"/>
      <c r="DQ50" s="16744"/>
      <c r="DR50" s="16745"/>
      <c r="DS50" s="16743"/>
      <c r="DT50" s="16744"/>
      <c r="DU50" s="16744"/>
      <c r="DV50" s="16744"/>
      <c r="DW50" s="16744"/>
      <c r="DX50" s="16744"/>
      <c r="DY50" s="16744"/>
      <c r="DZ50" s="16744"/>
      <c r="EA50" s="16745"/>
      <c r="EB50" s="2528"/>
      <c r="EC50" s="1542" t="s">
        <v>458</v>
      </c>
      <c r="EE50" s="784"/>
      <c r="EF50" s="784" t="str">
        <f>IF(V50="","",V50)</f>
        <v>Территория действия тарифа</v>
      </c>
      <c r="EG50" s="784"/>
      <c r="EH50" s="784"/>
      <c r="EI50" s="1439">
        <v>21</v>
      </c>
    </row>
    <row customHeight="1" ht="24">
      <c r="A51" s="1551" t="s">
        <v>209</v>
      </c>
      <c r="B51" s="1551" t="s">
        <v>210</v>
      </c>
      <c r="C51" s="1551" t="s">
        <v>211</v>
      </c>
      <c r="D51" s="1551"/>
      <c r="E51" s="2574"/>
      <c r="F51" s="2574"/>
      <c r="G51" s="2573">
        <v>1</v>
      </c>
      <c r="H51" s="1551"/>
      <c r="I51" s="1551"/>
      <c r="J51" s="1551"/>
      <c r="K51" s="1551"/>
      <c r="L51" s="1551"/>
      <c r="M51" s="1594"/>
      <c r="N51" s="972"/>
      <c r="O51" s="972"/>
      <c r="P51" s="972"/>
      <c r="Q51" s="638"/>
      <c r="R51" s="636"/>
      <c r="S51" s="793"/>
      <c r="T51" s="637"/>
      <c r="U51" s="1620" t="str">
        <f>INDEX(PT_DIFFERENTIATION_NUM_CS,MATCH(C51,PT_DIFFERENTIATION_CS_ID,0))</f>
        <v>1.1.1</v>
      </c>
      <c r="V51" s="593" t="s">
        <v>459</v>
      </c>
      <c r="W51" s="584"/>
      <c r="X51" s="2526"/>
      <c r="Y51" s="2527"/>
      <c r="Z51" s="2527"/>
      <c r="AA51" s="2527"/>
      <c r="AB51" s="2527"/>
      <c r="AC51" s="2527"/>
      <c r="AD51" s="2527"/>
      <c r="AE51" s="2527"/>
      <c r="AF51" s="2528"/>
      <c r="AG51" s="2526" t="str">
        <f>INDEX(PT_DIFFERENTIATION_CS,MATCH(C51,PT_DIFFERENTIATION_CS_ID,0))</f>
        <v>без дифференциации</v>
      </c>
      <c r="AH51" s="2527"/>
      <c r="AI51" s="2527"/>
      <c r="AJ51" s="2527"/>
      <c r="AK51" s="2527"/>
      <c r="AL51" s="2527"/>
      <c r="AM51" s="2527"/>
      <c r="AN51" s="2527"/>
      <c r="AO51" s="2527"/>
      <c r="AP51" s="16743"/>
      <c r="AQ51" s="16744"/>
      <c r="AR51" s="16744"/>
      <c r="AS51" s="16744"/>
      <c r="AT51" s="16744"/>
      <c r="AU51" s="16744"/>
      <c r="AV51" s="16744"/>
      <c r="AW51" s="16744"/>
      <c r="AX51" s="16745"/>
      <c r="AY51" s="16743"/>
      <c r="AZ51" s="16744"/>
      <c r="BA51" s="16744"/>
      <c r="BB51" s="16744"/>
      <c r="BC51" s="16744"/>
      <c r="BD51" s="16744"/>
      <c r="BE51" s="16744"/>
      <c r="BF51" s="16744"/>
      <c r="BG51" s="16745"/>
      <c r="BH51" s="16743"/>
      <c r="BI51" s="16744"/>
      <c r="BJ51" s="16744"/>
      <c r="BK51" s="16744"/>
      <c r="BL51" s="16744"/>
      <c r="BM51" s="16744"/>
      <c r="BN51" s="16744"/>
      <c r="BO51" s="16744"/>
      <c r="BP51" s="16745"/>
      <c r="BQ51" s="16743"/>
      <c r="BR51" s="16744"/>
      <c r="BS51" s="16744"/>
      <c r="BT51" s="16744"/>
      <c r="BU51" s="16744"/>
      <c r="BV51" s="16744"/>
      <c r="BW51" s="16744"/>
      <c r="BX51" s="16744"/>
      <c r="BY51" s="16745"/>
      <c r="BZ51" s="16743"/>
      <c r="CA51" s="16744"/>
      <c r="CB51" s="16744"/>
      <c r="CC51" s="16744"/>
      <c r="CD51" s="16744"/>
      <c r="CE51" s="16744"/>
      <c r="CF51" s="16744"/>
      <c r="CG51" s="16744"/>
      <c r="CH51" s="16745"/>
      <c r="CI51" s="16743"/>
      <c r="CJ51" s="16744"/>
      <c r="CK51" s="16744"/>
      <c r="CL51" s="16744"/>
      <c r="CM51" s="16744"/>
      <c r="CN51" s="16744"/>
      <c r="CO51" s="16744"/>
      <c r="CP51" s="16744"/>
      <c r="CQ51" s="16745"/>
      <c r="CR51" s="16743"/>
      <c r="CS51" s="16744"/>
      <c r="CT51" s="16744"/>
      <c r="CU51" s="16744"/>
      <c r="CV51" s="16744"/>
      <c r="CW51" s="16744"/>
      <c r="CX51" s="16744"/>
      <c r="CY51" s="16744"/>
      <c r="CZ51" s="16745"/>
      <c r="DA51" s="16743"/>
      <c r="DB51" s="16744"/>
      <c r="DC51" s="16744"/>
      <c r="DD51" s="16744"/>
      <c r="DE51" s="16744"/>
      <c r="DF51" s="16744"/>
      <c r="DG51" s="16744"/>
      <c r="DH51" s="16744"/>
      <c r="DI51" s="16745"/>
      <c r="DJ51" s="16743"/>
      <c r="DK51" s="16744"/>
      <c r="DL51" s="16744"/>
      <c r="DM51" s="16744"/>
      <c r="DN51" s="16744"/>
      <c r="DO51" s="16744"/>
      <c r="DP51" s="16744"/>
      <c r="DQ51" s="16744"/>
      <c r="DR51" s="16745"/>
      <c r="DS51" s="16743"/>
      <c r="DT51" s="16744"/>
      <c r="DU51" s="16744"/>
      <c r="DV51" s="16744"/>
      <c r="DW51" s="16744"/>
      <c r="DX51" s="16744"/>
      <c r="DY51" s="16744"/>
      <c r="DZ51" s="16744"/>
      <c r="EA51" s="16745"/>
      <c r="EB51" s="2528"/>
      <c r="EC51" s="1542" t="s">
        <v>460</v>
      </c>
      <c r="EE51" s="784"/>
      <c r="EF51" s="784" t="str">
        <f>IF(V51="","",V51)</f>
        <v>Наименование системы теплоснабжения </v>
      </c>
      <c r="EG51" s="784"/>
      <c r="EH51" s="784"/>
      <c r="EI51" s="1439">
        <v>23</v>
      </c>
    </row>
    <row customHeight="1" ht="22.049999999999997">
      <c r="A52" s="1551" t="s">
        <v>209</v>
      </c>
      <c r="B52" s="1551" t="s">
        <v>210</v>
      </c>
      <c r="C52" s="1551" t="s">
        <v>211</v>
      </c>
      <c r="D52" s="1551" t="s">
        <v>212</v>
      </c>
      <c r="E52" s="2574"/>
      <c r="F52" s="2574"/>
      <c r="G52" s="2574"/>
      <c r="H52" s="2594">
        <v>1</v>
      </c>
      <c r="I52" s="1551"/>
      <c r="J52" s="1551"/>
      <c r="K52" s="1551"/>
      <c r="L52" s="1551"/>
      <c r="M52" s="1594"/>
      <c r="N52" s="972"/>
      <c r="O52" s="972"/>
      <c r="P52" s="972"/>
      <c r="Q52" s="638"/>
      <c r="R52" s="636"/>
      <c r="S52" s="793"/>
      <c r="T52" s="637"/>
      <c r="U52" s="1620" t="str">
        <f>INDEX(PT_DIFFERENTIATION_NUM_IST_TE,MATCH(D52,PT_DIFFERENTIATION_IST_TE_ID,0))</f>
        <v>1.1.1.1</v>
      </c>
      <c r="V52" s="594" t="s">
        <v>461</v>
      </c>
      <c r="W52" s="584"/>
      <c r="X52" s="2526"/>
      <c r="Y52" s="2527"/>
      <c r="Z52" s="2527"/>
      <c r="AA52" s="2527"/>
      <c r="AB52" s="2527"/>
      <c r="AC52" s="2527"/>
      <c r="AD52" s="2527"/>
      <c r="AE52" s="2527"/>
      <c r="AF52" s="2528"/>
      <c r="AG52" s="2526" t="str">
        <f>INDEX(PT_DIFFERENTIATION_IST_TE,MATCH(D52,PT_DIFFERENTIATION_IST_TE_ID,0))</f>
        <v>без дифференциации</v>
      </c>
      <c r="AH52" s="2527"/>
      <c r="AI52" s="2527"/>
      <c r="AJ52" s="2527"/>
      <c r="AK52" s="2527"/>
      <c r="AL52" s="2527"/>
      <c r="AM52" s="2527"/>
      <c r="AN52" s="2527"/>
      <c r="AO52" s="2527"/>
      <c r="AP52" s="16743"/>
      <c r="AQ52" s="16744"/>
      <c r="AR52" s="16744"/>
      <c r="AS52" s="16744"/>
      <c r="AT52" s="16744"/>
      <c r="AU52" s="16744"/>
      <c r="AV52" s="16744"/>
      <c r="AW52" s="16744"/>
      <c r="AX52" s="16745"/>
      <c r="AY52" s="16743"/>
      <c r="AZ52" s="16744"/>
      <c r="BA52" s="16744"/>
      <c r="BB52" s="16744"/>
      <c r="BC52" s="16744"/>
      <c r="BD52" s="16744"/>
      <c r="BE52" s="16744"/>
      <c r="BF52" s="16744"/>
      <c r="BG52" s="16745"/>
      <c r="BH52" s="16743"/>
      <c r="BI52" s="16744"/>
      <c r="BJ52" s="16744"/>
      <c r="BK52" s="16744"/>
      <c r="BL52" s="16744"/>
      <c r="BM52" s="16744"/>
      <c r="BN52" s="16744"/>
      <c r="BO52" s="16744"/>
      <c r="BP52" s="16745"/>
      <c r="BQ52" s="16743"/>
      <c r="BR52" s="16744"/>
      <c r="BS52" s="16744"/>
      <c r="BT52" s="16744"/>
      <c r="BU52" s="16744"/>
      <c r="BV52" s="16744"/>
      <c r="BW52" s="16744"/>
      <c r="BX52" s="16744"/>
      <c r="BY52" s="16745"/>
      <c r="BZ52" s="16743"/>
      <c r="CA52" s="16744"/>
      <c r="CB52" s="16744"/>
      <c r="CC52" s="16744"/>
      <c r="CD52" s="16744"/>
      <c r="CE52" s="16744"/>
      <c r="CF52" s="16744"/>
      <c r="CG52" s="16744"/>
      <c r="CH52" s="16745"/>
      <c r="CI52" s="16743"/>
      <c r="CJ52" s="16744"/>
      <c r="CK52" s="16744"/>
      <c r="CL52" s="16744"/>
      <c r="CM52" s="16744"/>
      <c r="CN52" s="16744"/>
      <c r="CO52" s="16744"/>
      <c r="CP52" s="16744"/>
      <c r="CQ52" s="16745"/>
      <c r="CR52" s="16743"/>
      <c r="CS52" s="16744"/>
      <c r="CT52" s="16744"/>
      <c r="CU52" s="16744"/>
      <c r="CV52" s="16744"/>
      <c r="CW52" s="16744"/>
      <c r="CX52" s="16744"/>
      <c r="CY52" s="16744"/>
      <c r="CZ52" s="16745"/>
      <c r="DA52" s="16743"/>
      <c r="DB52" s="16744"/>
      <c r="DC52" s="16744"/>
      <c r="DD52" s="16744"/>
      <c r="DE52" s="16744"/>
      <c r="DF52" s="16744"/>
      <c r="DG52" s="16744"/>
      <c r="DH52" s="16744"/>
      <c r="DI52" s="16745"/>
      <c r="DJ52" s="16743"/>
      <c r="DK52" s="16744"/>
      <c r="DL52" s="16744"/>
      <c r="DM52" s="16744"/>
      <c r="DN52" s="16744"/>
      <c r="DO52" s="16744"/>
      <c r="DP52" s="16744"/>
      <c r="DQ52" s="16744"/>
      <c r="DR52" s="16745"/>
      <c r="DS52" s="16743"/>
      <c r="DT52" s="16744"/>
      <c r="DU52" s="16744"/>
      <c r="DV52" s="16744"/>
      <c r="DW52" s="16744"/>
      <c r="DX52" s="16744"/>
      <c r="DY52" s="16744"/>
      <c r="DZ52" s="16744"/>
      <c r="EA52" s="16745"/>
      <c r="EB52" s="2528"/>
      <c r="EC52" s="1542" t="s">
        <v>462</v>
      </c>
      <c r="EE52" s="784"/>
      <c r="EF52" s="784" t="str">
        <f>IF(V52="","",V52)</f>
        <v>Источник тепловой энергии  </v>
      </c>
      <c r="EG52" s="784"/>
      <c r="EH52" s="784"/>
      <c r="EI52" s="1439">
        <v>21</v>
      </c>
    </row>
    <row s="30621" customFormat="1" customHeight="1" ht="0">
      <c r="A53" s="1659" t="s">
        <v>209</v>
      </c>
      <c r="B53" s="1659" t="s">
        <v>210</v>
      </c>
      <c r="C53" s="1659" t="s">
        <v>211</v>
      </c>
      <c r="D53" s="1659" t="s">
        <v>212</v>
      </c>
      <c r="E53" s="2574"/>
      <c r="F53" s="2574"/>
      <c r="G53" s="2574"/>
      <c r="H53" s="2595"/>
      <c r="I53" s="2411" t="str">
        <f>U52&amp;".1"</f>
        <v>1.1.1.1.1</v>
      </c>
      <c r="J53" s="1659"/>
      <c r="K53" s="1659"/>
      <c r="L53" s="1659"/>
      <c r="M53" s="1665" t="s">
        <v>463</v>
      </c>
      <c r="N53" s="1530"/>
      <c r="O53" s="1530"/>
      <c r="P53" s="1530"/>
      <c r="Q53" s="2541">
        <v>1</v>
      </c>
      <c r="R53" s="1615"/>
      <c r="S53" s="1615"/>
      <c r="T53" s="640"/>
      <c r="U53" s="1326"/>
      <c r="V53" s="1667"/>
      <c r="W53" s="1668"/>
      <c r="X53" s="2580"/>
      <c r="Y53" s="2581"/>
      <c r="Z53" s="2581"/>
      <c r="AA53" s="2581"/>
      <c r="AB53" s="2581"/>
      <c r="AC53" s="2581"/>
      <c r="AD53" s="2581"/>
      <c r="AE53" s="2581"/>
      <c r="AF53" s="2582"/>
      <c r="AG53" s="2580"/>
      <c r="AH53" s="2581"/>
      <c r="AI53" s="2581"/>
      <c r="AJ53" s="2581"/>
      <c r="AK53" s="2581"/>
      <c r="AL53" s="2581"/>
      <c r="AM53" s="2581"/>
      <c r="AN53" s="2581"/>
      <c r="AO53" s="2581"/>
      <c r="AP53" s="16746"/>
      <c r="AQ53" s="16747"/>
      <c r="AR53" s="16747"/>
      <c r="AS53" s="16747"/>
      <c r="AT53" s="16747"/>
      <c r="AU53" s="16747"/>
      <c r="AV53" s="16747"/>
      <c r="AW53" s="16747"/>
      <c r="AX53" s="16748"/>
      <c r="AY53" s="16746"/>
      <c r="AZ53" s="16747"/>
      <c r="BA53" s="16747"/>
      <c r="BB53" s="16747"/>
      <c r="BC53" s="16747"/>
      <c r="BD53" s="16747"/>
      <c r="BE53" s="16747"/>
      <c r="BF53" s="16747"/>
      <c r="BG53" s="16748"/>
      <c r="BH53" s="16746"/>
      <c r="BI53" s="16747"/>
      <c r="BJ53" s="16747"/>
      <c r="BK53" s="16747"/>
      <c r="BL53" s="16747"/>
      <c r="BM53" s="16747"/>
      <c r="BN53" s="16747"/>
      <c r="BO53" s="16747"/>
      <c r="BP53" s="16748"/>
      <c r="BQ53" s="16746"/>
      <c r="BR53" s="16747"/>
      <c r="BS53" s="16747"/>
      <c r="BT53" s="16747"/>
      <c r="BU53" s="16747"/>
      <c r="BV53" s="16747"/>
      <c r="BW53" s="16747"/>
      <c r="BX53" s="16747"/>
      <c r="BY53" s="16748"/>
      <c r="BZ53" s="16746"/>
      <c r="CA53" s="16747"/>
      <c r="CB53" s="16747"/>
      <c r="CC53" s="16747"/>
      <c r="CD53" s="16747"/>
      <c r="CE53" s="16747"/>
      <c r="CF53" s="16747"/>
      <c r="CG53" s="16747"/>
      <c r="CH53" s="16748"/>
      <c r="CI53" s="16746"/>
      <c r="CJ53" s="16747"/>
      <c r="CK53" s="16747"/>
      <c r="CL53" s="16747"/>
      <c r="CM53" s="16747"/>
      <c r="CN53" s="16747"/>
      <c r="CO53" s="16747"/>
      <c r="CP53" s="16747"/>
      <c r="CQ53" s="16748"/>
      <c r="CR53" s="16746"/>
      <c r="CS53" s="16747"/>
      <c r="CT53" s="16747"/>
      <c r="CU53" s="16747"/>
      <c r="CV53" s="16747"/>
      <c r="CW53" s="16747"/>
      <c r="CX53" s="16747"/>
      <c r="CY53" s="16747"/>
      <c r="CZ53" s="16748"/>
      <c r="DA53" s="16746"/>
      <c r="DB53" s="16747"/>
      <c r="DC53" s="16747"/>
      <c r="DD53" s="16747"/>
      <c r="DE53" s="16747"/>
      <c r="DF53" s="16747"/>
      <c r="DG53" s="16747"/>
      <c r="DH53" s="16747"/>
      <c r="DI53" s="16748"/>
      <c r="DJ53" s="16746"/>
      <c r="DK53" s="16747"/>
      <c r="DL53" s="16747"/>
      <c r="DM53" s="16747"/>
      <c r="DN53" s="16747"/>
      <c r="DO53" s="16747"/>
      <c r="DP53" s="16747"/>
      <c r="DQ53" s="16747"/>
      <c r="DR53" s="16748"/>
      <c r="DS53" s="16746"/>
      <c r="DT53" s="16747"/>
      <c r="DU53" s="16747"/>
      <c r="DV53" s="16747"/>
      <c r="DW53" s="16747"/>
      <c r="DX53" s="16747"/>
      <c r="DY53" s="16747"/>
      <c r="DZ53" s="16747"/>
      <c r="EA53" s="16748"/>
      <c r="EB53" s="2582"/>
      <c r="EC53" s="1669"/>
      <c r="EE53" s="784"/>
      <c r="EF53" s="784" t="str">
        <f>IF(V53="","",V53)</f>
        <v/>
      </c>
      <c r="EG53" s="784"/>
      <c r="EH53" s="784"/>
      <c r="EI53" s="795">
        <v>0</v>
      </c>
    </row>
    <row customHeight="1" ht="22.049999999999997">
      <c r="A54" s="1551" t="s">
        <v>209</v>
      </c>
      <c r="B54" s="1551" t="s">
        <v>210</v>
      </c>
      <c r="C54" s="1551" t="s">
        <v>211</v>
      </c>
      <c r="D54" s="1551" t="s">
        <v>212</v>
      </c>
      <c r="E54" s="2574"/>
      <c r="F54" s="2574"/>
      <c r="G54" s="2574"/>
      <c r="H54" s="2595"/>
      <c r="I54" s="2385"/>
      <c r="J54" s="2411" t="str">
        <f>I53&amp;".1"</f>
        <v>1.1.1.1.1.1</v>
      </c>
      <c r="K54" s="1551"/>
      <c r="L54" s="1551"/>
      <c r="M54" s="1594" t="s">
        <v>466</v>
      </c>
      <c r="Q54" s="2541"/>
      <c r="R54" s="2541">
        <v>1</v>
      </c>
      <c r="S54" s="802"/>
      <c r="T54" s="641"/>
      <c r="U54" s="1620" t="str">
        <f>$J54</f>
        <v>1.1.1.1.1.1</v>
      </c>
      <c r="V54" s="570" t="s">
        <v>467</v>
      </c>
      <c r="W54" s="584"/>
      <c r="X54" s="2529"/>
      <c r="Y54" s="2530"/>
      <c r="Z54" s="2530"/>
      <c r="AA54" s="2530"/>
      <c r="AB54" s="2530"/>
      <c r="AC54" s="2519"/>
      <c r="AD54" s="2519"/>
      <c r="AE54" s="2519"/>
      <c r="AF54" s="2592"/>
      <c r="AG54" s="2529" t="s">
        <v>535</v>
      </c>
      <c r="AH54" s="2530"/>
      <c r="AI54" s="2530"/>
      <c r="AJ54" s="2530"/>
      <c r="AK54" s="2530"/>
      <c r="AL54" s="2530"/>
      <c r="AM54" s="2530"/>
      <c r="AN54" s="2530"/>
      <c r="AO54" s="2530"/>
      <c r="AP54" s="16750"/>
      <c r="AQ54" s="16751"/>
      <c r="AR54" s="16751"/>
      <c r="AS54" s="16751"/>
      <c r="AT54" s="16751"/>
      <c r="AU54" s="16752"/>
      <c r="AV54" s="16752"/>
      <c r="AW54" s="16752"/>
      <c r="AX54" s="16753"/>
      <c r="AY54" s="16750"/>
      <c r="AZ54" s="16751"/>
      <c r="BA54" s="16751"/>
      <c r="BB54" s="16751"/>
      <c r="BC54" s="16751"/>
      <c r="BD54" s="16752"/>
      <c r="BE54" s="16752"/>
      <c r="BF54" s="16752"/>
      <c r="BG54" s="16753"/>
      <c r="BH54" s="16750"/>
      <c r="BI54" s="16751"/>
      <c r="BJ54" s="16751"/>
      <c r="BK54" s="16751"/>
      <c r="BL54" s="16751"/>
      <c r="BM54" s="16752"/>
      <c r="BN54" s="16752"/>
      <c r="BO54" s="16752"/>
      <c r="BP54" s="16753"/>
      <c r="BQ54" s="16750"/>
      <c r="BR54" s="16751"/>
      <c r="BS54" s="16751"/>
      <c r="BT54" s="16751"/>
      <c r="BU54" s="16751"/>
      <c r="BV54" s="16752"/>
      <c r="BW54" s="16752"/>
      <c r="BX54" s="16752"/>
      <c r="BY54" s="16753"/>
      <c r="BZ54" s="16750"/>
      <c r="CA54" s="16751"/>
      <c r="CB54" s="16751"/>
      <c r="CC54" s="16751"/>
      <c r="CD54" s="16751"/>
      <c r="CE54" s="16752"/>
      <c r="CF54" s="16752"/>
      <c r="CG54" s="16752"/>
      <c r="CH54" s="16753"/>
      <c r="CI54" s="16750"/>
      <c r="CJ54" s="16751"/>
      <c r="CK54" s="16751"/>
      <c r="CL54" s="16751"/>
      <c r="CM54" s="16751"/>
      <c r="CN54" s="16752"/>
      <c r="CO54" s="16752"/>
      <c r="CP54" s="16752"/>
      <c r="CQ54" s="16753"/>
      <c r="CR54" s="16750"/>
      <c r="CS54" s="16751"/>
      <c r="CT54" s="16751"/>
      <c r="CU54" s="16751"/>
      <c r="CV54" s="16751"/>
      <c r="CW54" s="16752"/>
      <c r="CX54" s="16752"/>
      <c r="CY54" s="16752"/>
      <c r="CZ54" s="16753"/>
      <c r="DA54" s="16750"/>
      <c r="DB54" s="16751"/>
      <c r="DC54" s="16751"/>
      <c r="DD54" s="16751"/>
      <c r="DE54" s="16751"/>
      <c r="DF54" s="16752"/>
      <c r="DG54" s="16752"/>
      <c r="DH54" s="16752"/>
      <c r="DI54" s="16753"/>
      <c r="DJ54" s="16750"/>
      <c r="DK54" s="16751"/>
      <c r="DL54" s="16751"/>
      <c r="DM54" s="16751"/>
      <c r="DN54" s="16751"/>
      <c r="DO54" s="16752"/>
      <c r="DP54" s="16752"/>
      <c r="DQ54" s="16752"/>
      <c r="DR54" s="16753"/>
      <c r="DS54" s="16750"/>
      <c r="DT54" s="16751"/>
      <c r="DU54" s="16751"/>
      <c r="DV54" s="16751"/>
      <c r="DW54" s="16751"/>
      <c r="DX54" s="16752"/>
      <c r="DY54" s="16752"/>
      <c r="DZ54" s="16752"/>
      <c r="EA54" s="16753"/>
      <c r="EB54" s="2531"/>
      <c r="EC54" s="1542" t="s">
        <v>468</v>
      </c>
      <c r="EE54" s="784"/>
      <c r="EF54" s="784" t="str">
        <f>IF(V54="","",V54)</f>
        <v>Группа потребителей</v>
      </c>
      <c r="EG54" s="784"/>
      <c r="EH54" s="784"/>
      <c r="EI54" s="1439">
        <v>21</v>
      </c>
    </row>
    <row customHeight="1" ht="22.049999999999997">
      <c r="A55" s="1551" t="s">
        <v>209</v>
      </c>
      <c r="B55" s="1551" t="s">
        <v>210</v>
      </c>
      <c r="C55" s="1551" t="s">
        <v>211</v>
      </c>
      <c r="D55" s="1551" t="s">
        <v>212</v>
      </c>
      <c r="E55" s="2574"/>
      <c r="F55" s="2574"/>
      <c r="G55" s="2574"/>
      <c r="H55" s="2595"/>
      <c r="I55" s="2385"/>
      <c r="J55" s="2385"/>
      <c r="K55" s="2411" t="str">
        <f>J54&amp;".1"</f>
        <v>1.1.1.1.1.1.1</v>
      </c>
      <c r="L55" s="423"/>
      <c r="M55" s="1594" t="s">
        <v>469</v>
      </c>
      <c r="Q55" s="2541"/>
      <c r="R55" s="2541"/>
      <c r="S55" s="802">
        <v>1</v>
      </c>
      <c r="T55" s="641"/>
      <c r="U55" s="1620" t="str">
        <f>$K55</f>
        <v>1.1.1.1.1.1.1</v>
      </c>
      <c r="V55" s="1631" t="s">
        <v>508</v>
      </c>
      <c r="W55" s="584"/>
      <c r="X55" s="17062"/>
      <c r="Y55" s="17062"/>
      <c r="Z55" s="17062"/>
      <c r="AA55" s="17062"/>
      <c r="AB55" s="17063"/>
      <c r="AC55" s="17064"/>
      <c r="AD55" s="17065" t="s">
        <v>64</v>
      </c>
      <c r="AE55" s="17064"/>
      <c r="AF55" s="17065" t="s">
        <v>64</v>
      </c>
      <c r="AG55" s="1691"/>
      <c r="AH55" s="1035">
        <v>37.14</v>
      </c>
      <c r="AI55" s="1035">
        <v>1906.98</v>
      </c>
      <c r="AJ55" s="1035"/>
      <c r="AK55" s="1541"/>
      <c r="AL55" s="16759">
        <v>45292</v>
      </c>
      <c r="AM55" s="2391" t="s">
        <v>64</v>
      </c>
      <c r="AN55" s="16759">
        <v>45473</v>
      </c>
      <c r="AO55" s="2391" t="s">
        <v>64</v>
      </c>
      <c r="AP55" s="16757"/>
      <c r="AQ55" s="16757">
        <v>40.65</v>
      </c>
      <c r="AR55" s="16757">
        <v>2193.03</v>
      </c>
      <c r="AS55" s="16757"/>
      <c r="AT55" s="16758"/>
      <c r="AU55" s="16759">
        <v>45474</v>
      </c>
      <c r="AV55" s="16760" t="s">
        <v>64</v>
      </c>
      <c r="AW55" s="16759">
        <v>45657</v>
      </c>
      <c r="AX55" s="16760" t="s">
        <v>64</v>
      </c>
      <c r="AY55" s="16757"/>
      <c r="AZ55" s="16757">
        <v>40.65</v>
      </c>
      <c r="BA55" s="16757">
        <v>2193.03</v>
      </c>
      <c r="BB55" s="16757"/>
      <c r="BC55" s="16758"/>
      <c r="BD55" s="16759">
        <v>45658</v>
      </c>
      <c r="BE55" s="16760" t="s">
        <v>64</v>
      </c>
      <c r="BF55" s="16759">
        <v>45838</v>
      </c>
      <c r="BG55" s="16760" t="s">
        <v>64</v>
      </c>
      <c r="BH55" s="16757"/>
      <c r="BI55" s="16757">
        <v>45.61</v>
      </c>
      <c r="BJ55" s="16757">
        <v>2460.58</v>
      </c>
      <c r="BK55" s="16757"/>
      <c r="BL55" s="16758"/>
      <c r="BM55" s="16759">
        <v>45839</v>
      </c>
      <c r="BN55" s="16760" t="s">
        <v>64</v>
      </c>
      <c r="BO55" s="16759">
        <v>46022</v>
      </c>
      <c r="BP55" s="16760" t="s">
        <v>64</v>
      </c>
      <c r="BQ55" s="16757"/>
      <c r="BR55" s="16757">
        <v>41.74</v>
      </c>
      <c r="BS55" s="16757">
        <v>2301.63</v>
      </c>
      <c r="BT55" s="16757"/>
      <c r="BU55" s="16758"/>
      <c r="BV55" s="16759">
        <v>46023</v>
      </c>
      <c r="BW55" s="16760" t="s">
        <v>64</v>
      </c>
      <c r="BX55" s="16759">
        <v>46203</v>
      </c>
      <c r="BY55" s="16760" t="s">
        <v>64</v>
      </c>
      <c r="BZ55" s="17066"/>
      <c r="CA55" s="16757">
        <v>42.12</v>
      </c>
      <c r="CB55" s="16757">
        <v>2301.63</v>
      </c>
      <c r="CC55" s="16757"/>
      <c r="CD55" s="17067"/>
      <c r="CE55" s="16759">
        <v>46204</v>
      </c>
      <c r="CF55" s="16760" t="s">
        <v>64</v>
      </c>
      <c r="CG55" s="16759">
        <v>46387</v>
      </c>
      <c r="CH55" s="16760" t="s">
        <v>64</v>
      </c>
      <c r="CI55" s="17066"/>
      <c r="CJ55" s="16757">
        <v>42.12</v>
      </c>
      <c r="CK55" s="16757">
        <v>2301.63</v>
      </c>
      <c r="CL55" s="16757"/>
      <c r="CM55" s="17067"/>
      <c r="CN55" s="16759">
        <v>46388</v>
      </c>
      <c r="CO55" s="16760" t="s">
        <v>64</v>
      </c>
      <c r="CP55" s="16759">
        <v>46568</v>
      </c>
      <c r="CQ55" s="16760" t="s">
        <v>64</v>
      </c>
      <c r="CR55" s="17066"/>
      <c r="CS55" s="16757">
        <v>44.81</v>
      </c>
      <c r="CT55" s="16757">
        <v>2367.79</v>
      </c>
      <c r="CU55" s="16757"/>
      <c r="CV55" s="17067"/>
      <c r="CW55" s="16759">
        <v>46569</v>
      </c>
      <c r="CX55" s="16760" t="s">
        <v>64</v>
      </c>
      <c r="CY55" s="16759">
        <v>46752</v>
      </c>
      <c r="CZ55" s="16760" t="s">
        <v>64</v>
      </c>
      <c r="DA55" s="17066"/>
      <c r="DB55" s="16757">
        <v>44.81</v>
      </c>
      <c r="DC55" s="16757">
        <v>2367.79</v>
      </c>
      <c r="DD55" s="16757"/>
      <c r="DE55" s="17067"/>
      <c r="DF55" s="16759">
        <v>46753</v>
      </c>
      <c r="DG55" s="16760" t="s">
        <v>64</v>
      </c>
      <c r="DH55" s="16759">
        <v>46934</v>
      </c>
      <c r="DI55" s="16760" t="s">
        <v>64</v>
      </c>
      <c r="DJ55" s="17066"/>
      <c r="DK55" s="16757">
        <v>45.25</v>
      </c>
      <c r="DL55" s="16757">
        <v>2400.63</v>
      </c>
      <c r="DM55" s="16757"/>
      <c r="DN55" s="17067"/>
      <c r="DO55" s="16759">
        <v>46935</v>
      </c>
      <c r="DP55" s="16760" t="s">
        <v>64</v>
      </c>
      <c r="DQ55" s="16759">
        <v>47118</v>
      </c>
      <c r="DR55" s="16760" t="s">
        <v>19</v>
      </c>
      <c r="DS55" s="17062"/>
      <c r="DT55" s="17062"/>
      <c r="DU55" s="17062"/>
      <c r="DV55" s="17062"/>
      <c r="DW55" s="17063"/>
      <c r="DX55" s="17064"/>
      <c r="DY55" s="17065" t="s">
        <v>64</v>
      </c>
      <c r="DZ55" s="17064"/>
      <c r="EA55" s="17065" t="s">
        <v>64</v>
      </c>
      <c r="EB55" s="1632"/>
      <c r="EC55" s="1591" t="s">
        <v>523</v>
      </c>
      <c r="ED55" s="795">
        <f>STRCHECKDATE(X57:EB57)</f>
      </c>
      <c r="EE55" s="784"/>
      <c r="EF55" s="784" t="str">
        <f>IF(V55="","",V55)</f>
        <v>вода</v>
      </c>
      <c r="EG55" s="784"/>
      <c r="EH55" s="784"/>
      <c r="EI55" s="1439">
        <v>21</v>
      </c>
    </row>
    <row customHeight="1" ht="11.549999999999999">
      <c r="A56" s="1551" t="s">
        <v>209</v>
      </c>
      <c r="B56" s="1551" t="s">
        <v>210</v>
      </c>
      <c r="C56" s="1551" t="s">
        <v>211</v>
      </c>
      <c r="D56" s="1551" t="s">
        <v>212</v>
      </c>
      <c r="E56" s="2574"/>
      <c r="F56" s="2574"/>
      <c r="G56" s="2574"/>
      <c r="H56" s="2595"/>
      <c r="I56" s="2385"/>
      <c r="J56" s="2385"/>
      <c r="K56" s="2385"/>
      <c r="L56" s="2411" t="str">
        <f>K55&amp;".1"</f>
        <v>1.1.1.1.1.1.1.1</v>
      </c>
      <c r="M56" s="1594"/>
      <c r="Q56" s="2541"/>
      <c r="R56" s="2541"/>
      <c r="S56" s="802">
        <v>1</v>
      </c>
      <c r="T56" s="641"/>
      <c r="U56" s="1620" t="str">
        <f>$L56</f>
        <v>1.1.1.1.1.1.1.1</v>
      </c>
      <c r="V56" s="1675"/>
      <c r="W56" s="584"/>
      <c r="X56" s="17062"/>
      <c r="Y56" s="17062"/>
      <c r="Z56" s="17062"/>
      <c r="AA56" s="17062"/>
      <c r="AB56" s="17063"/>
      <c r="AC56" s="17064"/>
      <c r="AD56" s="17065"/>
      <c r="AE56" s="17064"/>
      <c r="AF56" s="17065"/>
      <c r="AG56" s="1691"/>
      <c r="AH56" s="1035"/>
      <c r="AI56" s="1035"/>
      <c r="AJ56" s="1035"/>
      <c r="AK56" s="1541"/>
      <c r="AL56" s="2593"/>
      <c r="AM56" s="2391"/>
      <c r="AN56" s="2593"/>
      <c r="AO56" s="2391"/>
      <c r="AP56" s="16764"/>
      <c r="AQ56" s="16757"/>
      <c r="AR56" s="16757"/>
      <c r="AS56" s="16757"/>
      <c r="AT56" s="16758"/>
      <c r="AU56" s="16765"/>
      <c r="AV56" s="16760"/>
      <c r="AW56" s="16765"/>
      <c r="AX56" s="16760"/>
      <c r="AY56" s="16764"/>
      <c r="AZ56" s="16757"/>
      <c r="BA56" s="16757"/>
      <c r="BB56" s="16757"/>
      <c r="BC56" s="16758"/>
      <c r="BD56" s="16765"/>
      <c r="BE56" s="16760"/>
      <c r="BF56" s="16765"/>
      <c r="BG56" s="16760"/>
      <c r="BH56" s="16764"/>
      <c r="BI56" s="16757"/>
      <c r="BJ56" s="16757"/>
      <c r="BK56" s="16757"/>
      <c r="BL56" s="16758"/>
      <c r="BM56" s="16765"/>
      <c r="BN56" s="16760"/>
      <c r="BO56" s="16765"/>
      <c r="BP56" s="16760"/>
      <c r="BQ56" s="16764"/>
      <c r="BR56" s="16757"/>
      <c r="BS56" s="16757"/>
      <c r="BT56" s="16757"/>
      <c r="BU56" s="16758"/>
      <c r="BV56" s="16765"/>
      <c r="BW56" s="16760"/>
      <c r="BX56" s="16765"/>
      <c r="BY56" s="16760"/>
      <c r="BZ56" s="17066"/>
      <c r="CA56" s="16757"/>
      <c r="CB56" s="16757"/>
      <c r="CC56" s="16757"/>
      <c r="CD56" s="17067"/>
      <c r="CE56" s="16765"/>
      <c r="CF56" s="16760"/>
      <c r="CG56" s="16765"/>
      <c r="CH56" s="16760"/>
      <c r="CI56" s="17066"/>
      <c r="CJ56" s="16757"/>
      <c r="CK56" s="16757"/>
      <c r="CL56" s="16757"/>
      <c r="CM56" s="17067"/>
      <c r="CN56" s="16765"/>
      <c r="CO56" s="16760"/>
      <c r="CP56" s="16765"/>
      <c r="CQ56" s="16760"/>
      <c r="CR56" s="17066"/>
      <c r="CS56" s="16757"/>
      <c r="CT56" s="16757"/>
      <c r="CU56" s="16757"/>
      <c r="CV56" s="17067"/>
      <c r="CW56" s="16765"/>
      <c r="CX56" s="16760"/>
      <c r="CY56" s="16765"/>
      <c r="CZ56" s="16760"/>
      <c r="DA56" s="17066"/>
      <c r="DB56" s="16757"/>
      <c r="DC56" s="16757"/>
      <c r="DD56" s="16757"/>
      <c r="DE56" s="17067"/>
      <c r="DF56" s="16765"/>
      <c r="DG56" s="16760"/>
      <c r="DH56" s="16765"/>
      <c r="DI56" s="16760"/>
      <c r="DJ56" s="17066"/>
      <c r="DK56" s="16757"/>
      <c r="DL56" s="16757"/>
      <c r="DM56" s="16757"/>
      <c r="DN56" s="17067"/>
      <c r="DO56" s="16765"/>
      <c r="DP56" s="16760"/>
      <c r="DQ56" s="16765"/>
      <c r="DR56" s="16760"/>
      <c r="DS56" s="17062"/>
      <c r="DT56" s="17062"/>
      <c r="DU56" s="17062"/>
      <c r="DV56" s="17062"/>
      <c r="DW56" s="17063"/>
      <c r="DX56" s="17064"/>
      <c r="DY56" s="17065"/>
      <c r="DZ56" s="17064"/>
      <c r="EA56" s="17065"/>
      <c r="EB56" s="1632"/>
      <c r="EC56" s="2537" t="s">
        <v>524</v>
      </c>
      <c r="ED56" s="795">
        <f>STRCHECKDATE(X58:EB58)</f>
      </c>
      <c r="EE56" s="784"/>
      <c r="EF56" s="784" t="str">
        <f>IF(V56="","",V56)</f>
        <v/>
      </c>
      <c r="EG56" s="784"/>
      <c r="EH56" s="784"/>
      <c r="EI56" s="1439">
        <v>11</v>
      </c>
    </row>
    <row customHeight="1" ht="0">
      <c r="A57" s="1551" t="s">
        <v>209</v>
      </c>
      <c r="B57" s="1551" t="s">
        <v>210</v>
      </c>
      <c r="C57" s="1551" t="s">
        <v>211</v>
      </c>
      <c r="D57" s="1551" t="s">
        <v>212</v>
      </c>
      <c r="E57" s="2574"/>
      <c r="F57" s="2574"/>
      <c r="G57" s="2574"/>
      <c r="H57" s="2595"/>
      <c r="I57" s="2385"/>
      <c r="J57" s="2385"/>
      <c r="K57" s="2385"/>
      <c r="L57" s="2411"/>
      <c r="M57" s="1594"/>
      <c r="Q57" s="2541"/>
      <c r="R57" s="2541"/>
      <c r="S57" s="802"/>
      <c r="T57" s="641"/>
      <c r="U57" s="1626"/>
      <c r="V57" s="584"/>
      <c r="W57" s="584"/>
      <c r="X57" s="17062"/>
      <c r="Y57" s="17062"/>
      <c r="Z57" s="17062"/>
      <c r="AA57" s="17062"/>
      <c r="AB57" s="17063"/>
      <c r="AC57" s="17064"/>
      <c r="AD57" s="17065"/>
      <c r="AE57" s="17064"/>
      <c r="AF57" s="17065"/>
      <c r="AG57" s="1666"/>
      <c r="AH57" s="609"/>
      <c r="AI57" s="609"/>
      <c r="AJ57" s="609"/>
      <c r="AK57" s="612" t="str">
        <f>AL55&amp;"-"&amp;AN55</f>
        <v>45292-45473</v>
      </c>
      <c r="AL57" s="2593"/>
      <c r="AM57" s="2391"/>
      <c r="AN57" s="2593"/>
      <c r="AO57" s="2391"/>
      <c r="AP57" s="16764"/>
      <c r="AQ57" s="16764"/>
      <c r="AR57" s="16764"/>
      <c r="AS57" s="16764"/>
      <c r="AT57" s="16768" t="str">
        <f>AU55&amp;"-"&amp;AW55</f>
        <v>45474-45657</v>
      </c>
      <c r="AU57" s="16765"/>
      <c r="AV57" s="16760"/>
      <c r="AW57" s="16765"/>
      <c r="AX57" s="16760"/>
      <c r="AY57" s="16764"/>
      <c r="AZ57" s="16764"/>
      <c r="BA57" s="16764"/>
      <c r="BB57" s="16764"/>
      <c r="BC57" s="16768" t="str">
        <f>BD55&amp;"-"&amp;BF55</f>
        <v>45658-45838</v>
      </c>
      <c r="BD57" s="16765"/>
      <c r="BE57" s="16760"/>
      <c r="BF57" s="16765"/>
      <c r="BG57" s="16760"/>
      <c r="BH57" s="16764"/>
      <c r="BI57" s="16764"/>
      <c r="BJ57" s="16764"/>
      <c r="BK57" s="16764"/>
      <c r="BL57" s="16768" t="str">
        <f>BM55&amp;"-"&amp;BO55</f>
        <v>45839-46022</v>
      </c>
      <c r="BM57" s="16765"/>
      <c r="BN57" s="16760"/>
      <c r="BO57" s="16765"/>
      <c r="BP57" s="16760"/>
      <c r="BQ57" s="16764"/>
      <c r="BR57" s="16764"/>
      <c r="BS57" s="16764"/>
      <c r="BT57" s="16764"/>
      <c r="BU57" s="16768" t="str">
        <f>BV55&amp;"-"&amp;BX55</f>
        <v>46023-46203</v>
      </c>
      <c r="BV57" s="16765"/>
      <c r="BW57" s="16760"/>
      <c r="BX57" s="16765"/>
      <c r="BY57" s="16760"/>
      <c r="BZ57" s="17068"/>
      <c r="CA57" s="16764"/>
      <c r="CB57" s="16764"/>
      <c r="CC57" s="16764"/>
      <c r="CD57" s="17069" t="str">
        <f>CE55&amp;"-"&amp;CG55</f>
        <v>46204-46387</v>
      </c>
      <c r="CE57" s="16765"/>
      <c r="CF57" s="16760"/>
      <c r="CG57" s="16765"/>
      <c r="CH57" s="16760"/>
      <c r="CI57" s="17068"/>
      <c r="CJ57" s="16764"/>
      <c r="CK57" s="16764"/>
      <c r="CL57" s="16764"/>
      <c r="CM57" s="17069" t="str">
        <f>CN55&amp;"-"&amp;CP55</f>
        <v>46388-46568</v>
      </c>
      <c r="CN57" s="16765"/>
      <c r="CO57" s="16760"/>
      <c r="CP57" s="16765"/>
      <c r="CQ57" s="16760"/>
      <c r="CR57" s="17068"/>
      <c r="CS57" s="16764"/>
      <c r="CT57" s="16764"/>
      <c r="CU57" s="16764"/>
      <c r="CV57" s="17069" t="str">
        <f>CW55&amp;"-"&amp;CY55</f>
        <v>46569-46752</v>
      </c>
      <c r="CW57" s="16765"/>
      <c r="CX57" s="16760"/>
      <c r="CY57" s="16765"/>
      <c r="CZ57" s="16760"/>
      <c r="DA57" s="17068"/>
      <c r="DB57" s="16764"/>
      <c r="DC57" s="16764"/>
      <c r="DD57" s="16764"/>
      <c r="DE57" s="17069" t="str">
        <f>DF55&amp;"-"&amp;DH55</f>
        <v>46753-46934</v>
      </c>
      <c r="DF57" s="16765"/>
      <c r="DG57" s="16760"/>
      <c r="DH57" s="16765"/>
      <c r="DI57" s="16760"/>
      <c r="DJ57" s="17068"/>
      <c r="DK57" s="16764"/>
      <c r="DL57" s="16764"/>
      <c r="DM57" s="16764"/>
      <c r="DN57" s="17069" t="str">
        <f>DO55&amp;"-"&amp;DQ55</f>
        <v>46935-47118</v>
      </c>
      <c r="DO57" s="16765"/>
      <c r="DP57" s="16760"/>
      <c r="DQ57" s="16765"/>
      <c r="DR57" s="16760"/>
      <c r="DS57" s="17062"/>
      <c r="DT57" s="17062"/>
      <c r="DU57" s="17062"/>
      <c r="DV57" s="17062"/>
      <c r="DW57" s="17063"/>
      <c r="DX57" s="17064"/>
      <c r="DY57" s="17065"/>
      <c r="DZ57" s="17064"/>
      <c r="EA57" s="17065"/>
      <c r="EB57" s="1633"/>
      <c r="EC57" s="2538"/>
      <c r="EE57" s="784"/>
      <c r="EF57" s="784" t="str">
        <f>IF(V57="","",V57)</f>
        <v/>
      </c>
      <c r="EG57" s="784"/>
      <c r="EH57" s="784"/>
      <c r="EI57" s="1439">
        <v>0</v>
      </c>
    </row>
    <row customHeight="1" ht="11.549999999999999">
      <c r="A58" s="1551" t="s">
        <v>209</v>
      </c>
      <c r="B58" s="1551" t="s">
        <v>210</v>
      </c>
      <c r="C58" s="1551" t="s">
        <v>211</v>
      </c>
      <c r="D58" s="1551" t="s">
        <v>212</v>
      </c>
      <c r="E58" s="2574"/>
      <c r="F58" s="2574"/>
      <c r="G58" s="2574"/>
      <c r="H58" s="2595"/>
      <c r="I58" s="2385"/>
      <c r="J58" s="2385"/>
      <c r="K58" s="2411"/>
      <c r="L58" s="1551"/>
      <c r="M58" s="1594"/>
      <c r="Q58" s="2541"/>
      <c r="R58" s="2541"/>
      <c r="S58" s="1615"/>
      <c r="T58" s="640"/>
      <c r="U58" s="1562"/>
      <c r="V58" s="572" t="s">
        <v>525</v>
      </c>
      <c r="W58" s="651"/>
      <c r="X58" s="17062"/>
      <c r="Y58" s="17062"/>
      <c r="Z58" s="17062"/>
      <c r="AA58" s="17062"/>
      <c r="AB58" s="17069" t="str">
        <f>AC55&amp;"-"&amp;AE55</f>
        <v>-</v>
      </c>
      <c r="AC58" s="17065"/>
      <c r="AD58" s="17065"/>
      <c r="AE58" s="17065"/>
      <c r="AF58" s="17065"/>
      <c r="AG58" s="651"/>
      <c r="AH58" s="651"/>
      <c r="AI58" s="651"/>
      <c r="AJ58" s="651"/>
      <c r="AK58" s="651"/>
      <c r="AL58" s="2593"/>
      <c r="AM58" s="2391"/>
      <c r="AN58" s="2593"/>
      <c r="AO58" s="2391"/>
      <c r="AP58" s="17070"/>
      <c r="AQ58" s="17071"/>
      <c r="AR58" s="17072"/>
      <c r="AS58" s="17073"/>
      <c r="AT58" s="17074"/>
      <c r="AU58" s="16765"/>
      <c r="AV58" s="16760"/>
      <c r="AW58" s="16765"/>
      <c r="AX58" s="16760"/>
      <c r="AY58" s="17075"/>
      <c r="AZ58" s="17076"/>
      <c r="BA58" s="17077"/>
      <c r="BB58" s="17078"/>
      <c r="BC58" s="17079"/>
      <c r="BD58" s="16765"/>
      <c r="BE58" s="16760"/>
      <c r="BF58" s="16765"/>
      <c r="BG58" s="16760"/>
      <c r="BH58" s="17080"/>
      <c r="BI58" s="17081"/>
      <c r="BJ58" s="17082"/>
      <c r="BK58" s="17083"/>
      <c r="BL58" s="17084"/>
      <c r="BM58" s="16765"/>
      <c r="BN58" s="16760"/>
      <c r="BO58" s="16765"/>
      <c r="BP58" s="16760"/>
      <c r="BQ58" s="17085"/>
      <c r="BR58" s="17086"/>
      <c r="BS58" s="17087"/>
      <c r="BT58" s="17088"/>
      <c r="BU58" s="17089"/>
      <c r="BV58" s="16765"/>
      <c r="BW58" s="16760"/>
      <c r="BX58" s="16765"/>
      <c r="BY58" s="16760"/>
      <c r="BZ58" s="17062"/>
      <c r="CA58" s="17062"/>
      <c r="CB58" s="17062"/>
      <c r="CC58" s="17062"/>
      <c r="CD58" s="17069" t="str">
        <f>CE55&amp;"-"&amp;CG55</f>
        <v>46204-46387</v>
      </c>
      <c r="CE58" s="17065"/>
      <c r="CF58" s="17065"/>
      <c r="CG58" s="17065"/>
      <c r="CH58" s="17065"/>
      <c r="CI58" s="17062"/>
      <c r="CJ58" s="17062"/>
      <c r="CK58" s="17062"/>
      <c r="CL58" s="17062"/>
      <c r="CM58" s="17069" t="str">
        <f>CN55&amp;"-"&amp;CP55</f>
        <v>46388-46568</v>
      </c>
      <c r="CN58" s="17065"/>
      <c r="CO58" s="17065"/>
      <c r="CP58" s="17065"/>
      <c r="CQ58" s="17065"/>
      <c r="CR58" s="17062"/>
      <c r="CS58" s="17062"/>
      <c r="CT58" s="17062"/>
      <c r="CU58" s="17062"/>
      <c r="CV58" s="17069" t="str">
        <f>CW55&amp;"-"&amp;CY55</f>
        <v>46569-46752</v>
      </c>
      <c r="CW58" s="17065"/>
      <c r="CX58" s="17065"/>
      <c r="CY58" s="17065"/>
      <c r="CZ58" s="17065"/>
      <c r="DA58" s="17062"/>
      <c r="DB58" s="17062"/>
      <c r="DC58" s="17062"/>
      <c r="DD58" s="17062"/>
      <c r="DE58" s="17069" t="str">
        <f>DF55&amp;"-"&amp;DH55</f>
        <v>46753-46934</v>
      </c>
      <c r="DF58" s="17065"/>
      <c r="DG58" s="17065"/>
      <c r="DH58" s="17065"/>
      <c r="DI58" s="17065"/>
      <c r="DJ58" s="17062"/>
      <c r="DK58" s="17062"/>
      <c r="DL58" s="17062"/>
      <c r="DM58" s="17062"/>
      <c r="DN58" s="17069" t="str">
        <f>DO55&amp;"-"&amp;DQ55</f>
        <v>46935-47118</v>
      </c>
      <c r="DO58" s="17065"/>
      <c r="DP58" s="17065"/>
      <c r="DQ58" s="17065"/>
      <c r="DR58" s="17065"/>
      <c r="DS58" s="17062"/>
      <c r="DT58" s="17062"/>
      <c r="DU58" s="17062"/>
      <c r="DV58" s="17062"/>
      <c r="DW58" s="17069" t="str">
        <f>DX55&amp;"-"&amp;DZ55</f>
        <v>-</v>
      </c>
      <c r="DX58" s="17065"/>
      <c r="DY58" s="17065"/>
      <c r="DZ58" s="17065"/>
      <c r="EA58" s="17065"/>
      <c r="EB58" s="608"/>
      <c r="EC58" s="2538"/>
      <c r="EE58" s="784"/>
      <c r="EF58" s="784" t="str">
        <f>IF(V58="","",V58)</f>
        <v>Добавить наименование поставщика</v>
      </c>
      <c r="EG58" s="784"/>
      <c r="EH58" s="784"/>
      <c r="EI58" s="1439">
        <v>11</v>
      </c>
    </row>
    <row customHeight="1" ht="11.549999999999999">
      <c r="A59" s="1551" t="s">
        <v>209</v>
      </c>
      <c r="B59" s="1551" t="s">
        <v>210</v>
      </c>
      <c r="C59" s="1551" t="s">
        <v>211</v>
      </c>
      <c r="D59" s="1551" t="s">
        <v>212</v>
      </c>
      <c r="E59" s="2574"/>
      <c r="F59" s="2574"/>
      <c r="G59" s="2574"/>
      <c r="H59" s="2595"/>
      <c r="I59" s="2385"/>
      <c r="J59" s="2411"/>
      <c r="K59" s="1551"/>
      <c r="L59" s="1551"/>
      <c r="M59" s="1594"/>
      <c r="Q59" s="2541"/>
      <c r="R59" s="2541"/>
      <c r="S59" s="1615"/>
      <c r="T59" s="640"/>
      <c r="U59" s="1562"/>
      <c r="V59" s="571" t="s">
        <v>471</v>
      </c>
      <c r="W59" s="651"/>
      <c r="X59" s="651"/>
      <c r="Y59" s="651"/>
      <c r="Z59" s="651"/>
      <c r="AA59" s="651"/>
      <c r="AB59" s="651"/>
      <c r="AC59" s="1692"/>
      <c r="AD59" s="1692"/>
      <c r="AE59" s="1692"/>
      <c r="AF59" s="1692"/>
      <c r="AG59" s="651"/>
      <c r="AH59" s="651"/>
      <c r="AI59" s="651"/>
      <c r="AJ59" s="651"/>
      <c r="AK59" s="651"/>
      <c r="AL59" s="651"/>
      <c r="AM59" s="651"/>
      <c r="AN59" s="651"/>
      <c r="AO59" s="651"/>
      <c r="AP59" s="17090"/>
      <c r="AQ59" s="17091"/>
      <c r="AR59" s="17092"/>
      <c r="AS59" s="17093"/>
      <c r="AT59" s="17094"/>
      <c r="AU59" s="17095"/>
      <c r="AV59" s="17096"/>
      <c r="AW59" s="17097"/>
      <c r="AX59" s="17098"/>
      <c r="AY59" s="17099"/>
      <c r="AZ59" s="17100"/>
      <c r="BA59" s="17101"/>
      <c r="BB59" s="17102"/>
      <c r="BC59" s="17103"/>
      <c r="BD59" s="17104"/>
      <c r="BE59" s="17105"/>
      <c r="BF59" s="17106"/>
      <c r="BG59" s="17107"/>
      <c r="BH59" s="17108"/>
      <c r="BI59" s="17109"/>
      <c r="BJ59" s="17110"/>
      <c r="BK59" s="17111"/>
      <c r="BL59" s="17112"/>
      <c r="BM59" s="17113"/>
      <c r="BN59" s="17114"/>
      <c r="BO59" s="17115"/>
      <c r="BP59" s="17116"/>
      <c r="BQ59" s="17117"/>
      <c r="BR59" s="17118"/>
      <c r="BS59" s="17119"/>
      <c r="BT59" s="17120"/>
      <c r="BU59" s="17121"/>
      <c r="BV59" s="17122"/>
      <c r="BW59" s="17123"/>
      <c r="BX59" s="17124"/>
      <c r="BY59" s="17125"/>
      <c r="BZ59" s="17126"/>
      <c r="CA59" s="17127"/>
      <c r="CB59" s="17128"/>
      <c r="CC59" s="17129"/>
      <c r="CD59" s="17130"/>
      <c r="CE59" s="17131"/>
      <c r="CF59" s="17132"/>
      <c r="CG59" s="17133"/>
      <c r="CH59" s="17134"/>
      <c r="CI59" s="17135"/>
      <c r="CJ59" s="17136"/>
      <c r="CK59" s="17137"/>
      <c r="CL59" s="17138"/>
      <c r="CM59" s="17139"/>
      <c r="CN59" s="17140"/>
      <c r="CO59" s="17141"/>
      <c r="CP59" s="17142"/>
      <c r="CQ59" s="17143"/>
      <c r="CR59" s="17144"/>
      <c r="CS59" s="17145"/>
      <c r="CT59" s="17146"/>
      <c r="CU59" s="17147"/>
      <c r="CV59" s="17148"/>
      <c r="CW59" s="17149"/>
      <c r="CX59" s="17150"/>
      <c r="CY59" s="17151"/>
      <c r="CZ59" s="17152"/>
      <c r="DA59" s="17153"/>
      <c r="DB59" s="17154"/>
      <c r="DC59" s="17155"/>
      <c r="DD59" s="17156"/>
      <c r="DE59" s="17157"/>
      <c r="DF59" s="17158"/>
      <c r="DG59" s="17159"/>
      <c r="DH59" s="17160"/>
      <c r="DI59" s="17161"/>
      <c r="DJ59" s="17162"/>
      <c r="DK59" s="17163"/>
      <c r="DL59" s="17164"/>
      <c r="DM59" s="17165"/>
      <c r="DN59" s="17166"/>
      <c r="DO59" s="17167"/>
      <c r="DP59" s="17168"/>
      <c r="DQ59" s="17169"/>
      <c r="DR59" s="17170"/>
      <c r="DS59" s="17171"/>
      <c r="DT59" s="17172"/>
      <c r="DU59" s="17173"/>
      <c r="DV59" s="17174"/>
      <c r="DW59" s="17175"/>
      <c r="DX59" s="17176"/>
      <c r="DY59" s="17177"/>
      <c r="DZ59" s="17178"/>
      <c r="EA59" s="17179"/>
      <c r="EB59" s="608"/>
      <c r="EC59" s="2539"/>
      <c r="EE59" s="784"/>
      <c r="EF59" s="784" t="str">
        <f>IF(V59="","",V59)</f>
        <v>Добавить вид теплоносителя (параметры теплоносителя)</v>
      </c>
      <c r="EG59" s="784"/>
      <c r="EH59" s="784"/>
      <c r="EI59" s="1439">
        <v>11</v>
      </c>
    </row>
    <row s="33978" customFormat="1" customHeight="1" ht="21">
      <c r="A60" s="17181"/>
      <c r="B60" s="17181"/>
      <c r="C60" s="17181"/>
      <c r="D60" s="17181"/>
      <c r="E60" s="17182"/>
      <c r="F60" s="17182"/>
      <c r="G60" s="17182"/>
      <c r="H60" s="17182"/>
      <c r="I60" s="17183"/>
      <c r="J60" s="17018" t="str">
        <f>I53&amp;".2"</f>
        <v>1.1.1.1.1.2</v>
      </c>
      <c r="K60" s="17181"/>
      <c r="L60" s="17181"/>
      <c r="M60" s="17184" t="s">
        <v>466</v>
      </c>
      <c r="N60" s="16741"/>
      <c r="O60" s="16741"/>
      <c r="P60" s="17185"/>
      <c r="Q60" s="17186"/>
      <c r="R60" s="17187" t="s">
        <v>106</v>
      </c>
      <c r="S60" s="17016"/>
      <c r="T60" s="17188"/>
      <c r="U60" s="17189" t="str">
        <f>$J60</f>
        <v>1.1.1.1.1.2</v>
      </c>
      <c r="V60" s="17190" t="s">
        <v>467</v>
      </c>
      <c r="W60" s="17191"/>
      <c r="X60" s="16750"/>
      <c r="Y60" s="16751"/>
      <c r="Z60" s="16751"/>
      <c r="AA60" s="16751"/>
      <c r="AB60" s="16751"/>
      <c r="AC60" s="16752"/>
      <c r="AD60" s="16752"/>
      <c r="AE60" s="16752"/>
      <c r="AF60" s="16753"/>
      <c r="AG60" s="16750" t="s">
        <v>510</v>
      </c>
      <c r="AH60" s="16751"/>
      <c r="AI60" s="16751"/>
      <c r="AJ60" s="16751"/>
      <c r="AK60" s="16751"/>
      <c r="AL60" s="16751"/>
      <c r="AM60" s="16751"/>
      <c r="AN60" s="16751"/>
      <c r="AO60" s="16751"/>
      <c r="AP60" s="16750"/>
      <c r="AQ60" s="16751"/>
      <c r="AR60" s="16751"/>
      <c r="AS60" s="16751"/>
      <c r="AT60" s="16751"/>
      <c r="AU60" s="16752"/>
      <c r="AV60" s="16752"/>
      <c r="AW60" s="16752"/>
      <c r="AX60" s="16753"/>
      <c r="AY60" s="16750"/>
      <c r="AZ60" s="16751"/>
      <c r="BA60" s="16751"/>
      <c r="BB60" s="16751"/>
      <c r="BC60" s="16751"/>
      <c r="BD60" s="16752"/>
      <c r="BE60" s="16752"/>
      <c r="BF60" s="16752"/>
      <c r="BG60" s="16753"/>
      <c r="BH60" s="16750"/>
      <c r="BI60" s="16751"/>
      <c r="BJ60" s="16751"/>
      <c r="BK60" s="16751"/>
      <c r="BL60" s="16751"/>
      <c r="BM60" s="16752"/>
      <c r="BN60" s="16752"/>
      <c r="BO60" s="16752"/>
      <c r="BP60" s="16753"/>
      <c r="BQ60" s="16750"/>
      <c r="BR60" s="16751"/>
      <c r="BS60" s="16751"/>
      <c r="BT60" s="16751"/>
      <c r="BU60" s="16751"/>
      <c r="BV60" s="16752"/>
      <c r="BW60" s="16752"/>
      <c r="BX60" s="16752"/>
      <c r="BY60" s="16753"/>
      <c r="BZ60" s="16750"/>
      <c r="CA60" s="16751"/>
      <c r="CB60" s="16751"/>
      <c r="CC60" s="16751"/>
      <c r="CD60" s="16751"/>
      <c r="CE60" s="16752"/>
      <c r="CF60" s="16752"/>
      <c r="CG60" s="16752"/>
      <c r="CH60" s="16753"/>
      <c r="CI60" s="16750"/>
      <c r="CJ60" s="16751"/>
      <c r="CK60" s="16751"/>
      <c r="CL60" s="16751"/>
      <c r="CM60" s="16751"/>
      <c r="CN60" s="16752"/>
      <c r="CO60" s="16752"/>
      <c r="CP60" s="16752"/>
      <c r="CQ60" s="16753"/>
      <c r="CR60" s="16750"/>
      <c r="CS60" s="16751"/>
      <c r="CT60" s="16751"/>
      <c r="CU60" s="16751"/>
      <c r="CV60" s="16751"/>
      <c r="CW60" s="16752"/>
      <c r="CX60" s="16752"/>
      <c r="CY60" s="16752"/>
      <c r="CZ60" s="16753"/>
      <c r="DA60" s="16750"/>
      <c r="DB60" s="16751"/>
      <c r="DC60" s="16751"/>
      <c r="DD60" s="16751"/>
      <c r="DE60" s="16751"/>
      <c r="DF60" s="16752"/>
      <c r="DG60" s="16752"/>
      <c r="DH60" s="16752"/>
      <c r="DI60" s="16753"/>
      <c r="DJ60" s="16750"/>
      <c r="DK60" s="16751"/>
      <c r="DL60" s="16751"/>
      <c r="DM60" s="16751"/>
      <c r="DN60" s="16751"/>
      <c r="DO60" s="16752"/>
      <c r="DP60" s="16752"/>
      <c r="DQ60" s="16752"/>
      <c r="DR60" s="16753"/>
      <c r="DS60" s="16750"/>
      <c r="DT60" s="16751"/>
      <c r="DU60" s="16751"/>
      <c r="DV60" s="16751"/>
      <c r="DW60" s="16751"/>
      <c r="DX60" s="16752"/>
      <c r="DY60" s="16752"/>
      <c r="DZ60" s="16752"/>
      <c r="EA60" s="16753"/>
      <c r="EB60" s="17192"/>
      <c r="EC60" s="17193" t="s">
        <v>468</v>
      </c>
      <c r="ED60" s="17016"/>
      <c r="EE60" s="17194"/>
      <c r="EF60" s="17194" t="str">
        <f>IF(V60="","",V60)</f>
        <v>Группа потребителей</v>
      </c>
      <c r="EG60" s="17194"/>
      <c r="EH60" s="17194"/>
      <c r="EI60" s="16741">
        <v>0</v>
      </c>
    </row>
    <row s="33993" customFormat="1" customHeight="1" ht="21">
      <c r="A61" s="17181"/>
      <c r="B61" s="17181"/>
      <c r="C61" s="17181"/>
      <c r="D61" s="17181"/>
      <c r="E61" s="17182"/>
      <c r="F61" s="17182"/>
      <c r="G61" s="17182"/>
      <c r="H61" s="17182"/>
      <c r="I61" s="17183"/>
      <c r="J61" s="17183" t="str">
        <f>I53&amp;".1"</f>
        <v>1.1.1.1.1.1</v>
      </c>
      <c r="K61" s="17018" t="str">
        <f>J60&amp;".1"</f>
        <v>1.1.1.1.1.2.1</v>
      </c>
      <c r="L61" s="17196"/>
      <c r="M61" s="17184" t="s">
        <v>469</v>
      </c>
      <c r="N61" s="16741"/>
      <c r="O61" s="16741"/>
      <c r="P61" s="16741"/>
      <c r="Q61" s="17186"/>
      <c r="R61" s="17186"/>
      <c r="S61" s="17186">
        <v>1</v>
      </c>
      <c r="T61" s="17188"/>
      <c r="U61" s="17189" t="str">
        <f>$K61</f>
        <v>1.1.1.1.1.2.1</v>
      </c>
      <c r="V61" s="17197" t="s">
        <v>508</v>
      </c>
      <c r="W61" s="17191"/>
      <c r="X61" s="17062"/>
      <c r="Y61" s="17062"/>
      <c r="Z61" s="17062"/>
      <c r="AA61" s="17062"/>
      <c r="AB61" s="17063"/>
      <c r="AC61" s="17064"/>
      <c r="AD61" s="17065" t="s">
        <v>64</v>
      </c>
      <c r="AE61" s="17064"/>
      <c r="AF61" s="17065" t="s">
        <v>64</v>
      </c>
      <c r="AG61" s="17066"/>
      <c r="AH61" s="16757">
        <v>44.57</v>
      </c>
      <c r="AI61" s="16757">
        <v>2288.38</v>
      </c>
      <c r="AJ61" s="16757"/>
      <c r="AK61" s="17067"/>
      <c r="AL61" s="16759">
        <v>45292</v>
      </c>
      <c r="AM61" s="16760" t="s">
        <v>64</v>
      </c>
      <c r="AN61" s="16759">
        <v>45473</v>
      </c>
      <c r="AO61" s="16760" t="s">
        <v>64</v>
      </c>
      <c r="AP61" s="16757"/>
      <c r="AQ61" s="16757">
        <v>48.78</v>
      </c>
      <c r="AR61" s="16757">
        <v>2631.64</v>
      </c>
      <c r="AS61" s="16757"/>
      <c r="AT61" s="16758"/>
      <c r="AU61" s="16759">
        <v>45474</v>
      </c>
      <c r="AV61" s="16760" t="s">
        <v>64</v>
      </c>
      <c r="AW61" s="16759">
        <v>45657</v>
      </c>
      <c r="AX61" s="16760" t="s">
        <v>64</v>
      </c>
      <c r="AY61" s="16757"/>
      <c r="AZ61" s="16757">
        <v>48.78</v>
      </c>
      <c r="BA61" s="16757">
        <v>2631.64</v>
      </c>
      <c r="BB61" s="16757"/>
      <c r="BC61" s="16758"/>
      <c r="BD61" s="16759">
        <v>45658</v>
      </c>
      <c r="BE61" s="16760" t="s">
        <v>64</v>
      </c>
      <c r="BF61" s="16759">
        <v>45838</v>
      </c>
      <c r="BG61" s="16760" t="s">
        <v>64</v>
      </c>
      <c r="BH61" s="16757"/>
      <c r="BI61" s="16757">
        <v>54.73</v>
      </c>
      <c r="BJ61" s="16757">
        <v>2952.7</v>
      </c>
      <c r="BK61" s="16757"/>
      <c r="BL61" s="16758"/>
      <c r="BM61" s="16759">
        <v>45839</v>
      </c>
      <c r="BN61" s="16760" t="s">
        <v>64</v>
      </c>
      <c r="BO61" s="16759">
        <v>46022</v>
      </c>
      <c r="BP61" s="16760" t="s">
        <v>64</v>
      </c>
      <c r="BQ61" s="16757"/>
      <c r="BR61" s="16757">
        <v>50.08</v>
      </c>
      <c r="BS61" s="16757">
        <v>2761.96</v>
      </c>
      <c r="BT61" s="16757"/>
      <c r="BU61" s="16758"/>
      <c r="BV61" s="16759">
        <v>46023</v>
      </c>
      <c r="BW61" s="16760" t="s">
        <v>64</v>
      </c>
      <c r="BX61" s="16759">
        <v>46203</v>
      </c>
      <c r="BY61" s="16760" t="s">
        <v>64</v>
      </c>
      <c r="BZ61" s="16757"/>
      <c r="CA61" s="16757">
        <v>50.54</v>
      </c>
      <c r="CB61" s="16757">
        <v>2761.96</v>
      </c>
      <c r="CC61" s="16757"/>
      <c r="CD61" s="16758"/>
      <c r="CE61" s="16759">
        <v>46204</v>
      </c>
      <c r="CF61" s="16760" t="s">
        <v>64</v>
      </c>
      <c r="CG61" s="16759">
        <v>46387</v>
      </c>
      <c r="CH61" s="16760" t="s">
        <v>64</v>
      </c>
      <c r="CI61" s="16757"/>
      <c r="CJ61" s="16757">
        <v>50.54</v>
      </c>
      <c r="CK61" s="16757">
        <v>2761.96</v>
      </c>
      <c r="CL61" s="16757"/>
      <c r="CM61" s="16758"/>
      <c r="CN61" s="16759">
        <v>46388</v>
      </c>
      <c r="CO61" s="16760" t="s">
        <v>64</v>
      </c>
      <c r="CP61" s="16759">
        <v>46568</v>
      </c>
      <c r="CQ61" s="16760" t="s">
        <v>64</v>
      </c>
      <c r="CR61" s="16757"/>
      <c r="CS61" s="16757">
        <v>53.77</v>
      </c>
      <c r="CT61" s="16757">
        <v>2841.34</v>
      </c>
      <c r="CU61" s="16757"/>
      <c r="CV61" s="16758"/>
      <c r="CW61" s="16759">
        <v>46569</v>
      </c>
      <c r="CX61" s="16760" t="s">
        <v>64</v>
      </c>
      <c r="CY61" s="16759">
        <v>46752</v>
      </c>
      <c r="CZ61" s="16760" t="s">
        <v>64</v>
      </c>
      <c r="DA61" s="16757"/>
      <c r="DB61" s="16757">
        <v>53.77</v>
      </c>
      <c r="DC61" s="16757">
        <v>2841.34</v>
      </c>
      <c r="DD61" s="16757"/>
      <c r="DE61" s="16758"/>
      <c r="DF61" s="16759">
        <v>46753</v>
      </c>
      <c r="DG61" s="16760" t="s">
        <v>64</v>
      </c>
      <c r="DH61" s="16759">
        <v>46934</v>
      </c>
      <c r="DI61" s="16760" t="s">
        <v>64</v>
      </c>
      <c r="DJ61" s="16757"/>
      <c r="DK61" s="16757">
        <v>54.3</v>
      </c>
      <c r="DL61" s="16757">
        <v>2880.76</v>
      </c>
      <c r="DM61" s="16757"/>
      <c r="DN61" s="16758"/>
      <c r="DO61" s="16759">
        <v>46935</v>
      </c>
      <c r="DP61" s="16760" t="s">
        <v>64</v>
      </c>
      <c r="DQ61" s="16759">
        <v>47118</v>
      </c>
      <c r="DR61" s="16760" t="s">
        <v>19</v>
      </c>
      <c r="DS61" s="17062"/>
      <c r="DT61" s="17062"/>
      <c r="DU61" s="17062"/>
      <c r="DV61" s="17062"/>
      <c r="DW61" s="17063"/>
      <c r="DX61" s="17064"/>
      <c r="DY61" s="17065" t="s">
        <v>64</v>
      </c>
      <c r="DZ61" s="17064"/>
      <c r="EA61" s="17065" t="s">
        <v>64</v>
      </c>
      <c r="EB61" s="16764"/>
      <c r="EC61" s="17198" t="s">
        <v>523</v>
      </c>
      <c r="ED61" s="17016">
        <f>STRCHECKDATE(X63:EB63)</f>
      </c>
      <c r="EE61" s="17194"/>
      <c r="EF61" s="17194" t="str">
        <f>IF(V61="","",V61)</f>
        <v>вода</v>
      </c>
      <c r="EG61" s="17194"/>
      <c r="EH61" s="17194"/>
      <c r="EI61" s="16741">
        <v>0</v>
      </c>
    </row>
    <row s="33997" customFormat="1" customHeight="1" ht="21">
      <c r="A62" s="17181"/>
      <c r="B62" s="17181"/>
      <c r="C62" s="17181"/>
      <c r="D62" s="17181"/>
      <c r="E62" s="17182"/>
      <c r="F62" s="17182"/>
      <c r="G62" s="17182"/>
      <c r="H62" s="17182"/>
      <c r="I62" s="17183"/>
      <c r="J62" s="17183" t="str">
        <f>I53&amp;".1"</f>
        <v>1.1.1.1.1.1</v>
      </c>
      <c r="K62" s="17183"/>
      <c r="L62" s="17018" t="str">
        <f>K61&amp;".1"</f>
        <v>1.1.1.1.1.2.1.1</v>
      </c>
      <c r="M62" s="17184"/>
      <c r="N62" s="16741"/>
      <c r="O62" s="16741"/>
      <c r="P62" s="16741"/>
      <c r="Q62" s="17186"/>
      <c r="R62" s="17186"/>
      <c r="S62" s="17186"/>
      <c r="T62" s="17188"/>
      <c r="U62" s="17189" t="str">
        <f>$L62</f>
        <v>1.1.1.1.1.2.1.1</v>
      </c>
      <c r="V62" s="17200"/>
      <c r="W62" s="17191"/>
      <c r="X62" s="17062"/>
      <c r="Y62" s="17062"/>
      <c r="Z62" s="17062"/>
      <c r="AA62" s="17062"/>
      <c r="AB62" s="17063"/>
      <c r="AC62" s="17064"/>
      <c r="AD62" s="17065"/>
      <c r="AE62" s="17064"/>
      <c r="AF62" s="17065"/>
      <c r="AG62" s="17066"/>
      <c r="AH62" s="16757"/>
      <c r="AI62" s="16757"/>
      <c r="AJ62" s="16757"/>
      <c r="AK62" s="17067"/>
      <c r="AL62" s="16765"/>
      <c r="AM62" s="16760"/>
      <c r="AN62" s="16765"/>
      <c r="AO62" s="16760"/>
      <c r="AP62" s="16764"/>
      <c r="AQ62" s="16757"/>
      <c r="AR62" s="16757"/>
      <c r="AS62" s="16757"/>
      <c r="AT62" s="16758"/>
      <c r="AU62" s="16765"/>
      <c r="AV62" s="16760"/>
      <c r="AW62" s="16765"/>
      <c r="AX62" s="16760"/>
      <c r="AY62" s="16764"/>
      <c r="AZ62" s="16757"/>
      <c r="BA62" s="16757"/>
      <c r="BB62" s="16757"/>
      <c r="BC62" s="16758"/>
      <c r="BD62" s="16765"/>
      <c r="BE62" s="16760"/>
      <c r="BF62" s="16765"/>
      <c r="BG62" s="16760"/>
      <c r="BH62" s="16764"/>
      <c r="BI62" s="16757"/>
      <c r="BJ62" s="16757"/>
      <c r="BK62" s="16757"/>
      <c r="BL62" s="16758"/>
      <c r="BM62" s="16765"/>
      <c r="BN62" s="16760"/>
      <c r="BO62" s="16765"/>
      <c r="BP62" s="16760"/>
      <c r="BQ62" s="16764"/>
      <c r="BR62" s="16757"/>
      <c r="BS62" s="16757"/>
      <c r="BT62" s="16757"/>
      <c r="BU62" s="16758"/>
      <c r="BV62" s="16765"/>
      <c r="BW62" s="16760"/>
      <c r="BX62" s="16765"/>
      <c r="BY62" s="16760"/>
      <c r="BZ62" s="16764"/>
      <c r="CA62" s="16757"/>
      <c r="CB62" s="16757"/>
      <c r="CC62" s="16757"/>
      <c r="CD62" s="16758"/>
      <c r="CE62" s="16765"/>
      <c r="CF62" s="16760"/>
      <c r="CG62" s="16765"/>
      <c r="CH62" s="16760"/>
      <c r="CI62" s="16764"/>
      <c r="CJ62" s="16757"/>
      <c r="CK62" s="16757"/>
      <c r="CL62" s="16757"/>
      <c r="CM62" s="16758"/>
      <c r="CN62" s="16765"/>
      <c r="CO62" s="16760"/>
      <c r="CP62" s="16765"/>
      <c r="CQ62" s="16760"/>
      <c r="CR62" s="16764"/>
      <c r="CS62" s="16757"/>
      <c r="CT62" s="16757"/>
      <c r="CU62" s="16757"/>
      <c r="CV62" s="16758"/>
      <c r="CW62" s="16765"/>
      <c r="CX62" s="16760"/>
      <c r="CY62" s="16765"/>
      <c r="CZ62" s="16760"/>
      <c r="DA62" s="16764"/>
      <c r="DB62" s="16757"/>
      <c r="DC62" s="16757"/>
      <c r="DD62" s="16757"/>
      <c r="DE62" s="16758"/>
      <c r="DF62" s="16765"/>
      <c r="DG62" s="16760"/>
      <c r="DH62" s="16765"/>
      <c r="DI62" s="16760"/>
      <c r="DJ62" s="16764"/>
      <c r="DK62" s="16757"/>
      <c r="DL62" s="16757"/>
      <c r="DM62" s="16757"/>
      <c r="DN62" s="16758"/>
      <c r="DO62" s="16765"/>
      <c r="DP62" s="16760"/>
      <c r="DQ62" s="16765"/>
      <c r="DR62" s="16760"/>
      <c r="DS62" s="17062"/>
      <c r="DT62" s="17062"/>
      <c r="DU62" s="17062"/>
      <c r="DV62" s="17062"/>
      <c r="DW62" s="17063"/>
      <c r="DX62" s="17064"/>
      <c r="DY62" s="17065"/>
      <c r="DZ62" s="17064"/>
      <c r="EA62" s="17065"/>
      <c r="EB62" s="16764"/>
      <c r="EC62" s="17201" t="s">
        <v>524</v>
      </c>
      <c r="ED62" s="17016"/>
      <c r="EE62" s="17194"/>
      <c r="EF62" s="17194"/>
      <c r="EG62" s="17194"/>
      <c r="EH62" s="17194"/>
      <c r="EI62" s="16741">
        <v>0</v>
      </c>
    </row>
    <row s="34000" customFormat="1" customHeight="1" ht="14.25">
      <c r="A63" s="17181"/>
      <c r="B63" s="17181"/>
      <c r="C63" s="17181"/>
      <c r="D63" s="17181"/>
      <c r="E63" s="17182"/>
      <c r="F63" s="17182"/>
      <c r="G63" s="17182"/>
      <c r="H63" s="17182"/>
      <c r="I63" s="17183"/>
      <c r="J63" s="17183" t="str">
        <f>I53&amp;".1"</f>
        <v>1.1.1.1.1.1</v>
      </c>
      <c r="K63" s="17183"/>
      <c r="L63" s="17018"/>
      <c r="M63" s="17184"/>
      <c r="N63" s="16741"/>
      <c r="O63" s="16741"/>
      <c r="P63" s="16741"/>
      <c r="Q63" s="17186"/>
      <c r="R63" s="17186"/>
      <c r="S63" s="17186"/>
      <c r="T63" s="17188"/>
      <c r="U63" s="17203"/>
      <c r="V63" s="17191"/>
      <c r="W63" s="17191"/>
      <c r="X63" s="17062"/>
      <c r="Y63" s="17062"/>
      <c r="Z63" s="17062"/>
      <c r="AA63" s="17062"/>
      <c r="AB63" s="17063"/>
      <c r="AC63" s="17064"/>
      <c r="AD63" s="17065"/>
      <c r="AE63" s="17064"/>
      <c r="AF63" s="17065"/>
      <c r="AG63" s="17068"/>
      <c r="AH63" s="16764"/>
      <c r="AI63" s="16764"/>
      <c r="AJ63" s="16764"/>
      <c r="AK63" s="17069" t="str">
        <f>AL61&amp;"-"&amp;AN61</f>
        <v>45292-45473</v>
      </c>
      <c r="AL63" s="16765"/>
      <c r="AM63" s="16760"/>
      <c r="AN63" s="16765"/>
      <c r="AO63" s="16760"/>
      <c r="AP63" s="16764"/>
      <c r="AQ63" s="16764"/>
      <c r="AR63" s="16764"/>
      <c r="AS63" s="16764"/>
      <c r="AT63" s="16768" t="str">
        <f>AU61&amp;"-"&amp;AW61</f>
        <v>45474-45657</v>
      </c>
      <c r="AU63" s="16765"/>
      <c r="AV63" s="16760"/>
      <c r="AW63" s="16765"/>
      <c r="AX63" s="16760"/>
      <c r="AY63" s="16764"/>
      <c r="AZ63" s="16764"/>
      <c r="BA63" s="16764"/>
      <c r="BB63" s="16764"/>
      <c r="BC63" s="16768" t="str">
        <f>BD61&amp;"-"&amp;BF61</f>
        <v>45658-45838</v>
      </c>
      <c r="BD63" s="16765"/>
      <c r="BE63" s="16760"/>
      <c r="BF63" s="16765"/>
      <c r="BG63" s="16760"/>
      <c r="BH63" s="16764"/>
      <c r="BI63" s="16764"/>
      <c r="BJ63" s="16764"/>
      <c r="BK63" s="16764"/>
      <c r="BL63" s="16768" t="str">
        <f>BM61&amp;"-"&amp;BO61</f>
        <v>45839-46022</v>
      </c>
      <c r="BM63" s="16765"/>
      <c r="BN63" s="16760"/>
      <c r="BO63" s="16765"/>
      <c r="BP63" s="16760"/>
      <c r="BQ63" s="16764"/>
      <c r="BR63" s="16764"/>
      <c r="BS63" s="16764"/>
      <c r="BT63" s="16764"/>
      <c r="BU63" s="16768" t="str">
        <f>BV61&amp;"-"&amp;BX61</f>
        <v>46023-46203</v>
      </c>
      <c r="BV63" s="16765"/>
      <c r="BW63" s="16760"/>
      <c r="BX63" s="16765"/>
      <c r="BY63" s="16760"/>
      <c r="BZ63" s="16764"/>
      <c r="CA63" s="16764"/>
      <c r="CB63" s="16764"/>
      <c r="CC63" s="16764"/>
      <c r="CD63" s="16768" t="str">
        <f>CE61&amp;"-"&amp;CG61</f>
        <v>46204-46387</v>
      </c>
      <c r="CE63" s="16765"/>
      <c r="CF63" s="16760"/>
      <c r="CG63" s="16765"/>
      <c r="CH63" s="16760"/>
      <c r="CI63" s="16764"/>
      <c r="CJ63" s="16764"/>
      <c r="CK63" s="16764"/>
      <c r="CL63" s="16764"/>
      <c r="CM63" s="16768" t="str">
        <f>CN61&amp;"-"&amp;CP61</f>
        <v>46388-46568</v>
      </c>
      <c r="CN63" s="16765"/>
      <c r="CO63" s="16760"/>
      <c r="CP63" s="16765"/>
      <c r="CQ63" s="16760"/>
      <c r="CR63" s="16764"/>
      <c r="CS63" s="16764"/>
      <c r="CT63" s="16764"/>
      <c r="CU63" s="16764"/>
      <c r="CV63" s="16768" t="str">
        <f>CW61&amp;"-"&amp;CY61</f>
        <v>46569-46752</v>
      </c>
      <c r="CW63" s="16765"/>
      <c r="CX63" s="16760"/>
      <c r="CY63" s="16765"/>
      <c r="CZ63" s="16760"/>
      <c r="DA63" s="16764"/>
      <c r="DB63" s="16764"/>
      <c r="DC63" s="16764"/>
      <c r="DD63" s="16764"/>
      <c r="DE63" s="16768" t="str">
        <f>DF61&amp;"-"&amp;DH61</f>
        <v>46753-46934</v>
      </c>
      <c r="DF63" s="16765"/>
      <c r="DG63" s="16760"/>
      <c r="DH63" s="16765"/>
      <c r="DI63" s="16760"/>
      <c r="DJ63" s="16764"/>
      <c r="DK63" s="16764"/>
      <c r="DL63" s="16764"/>
      <c r="DM63" s="16764"/>
      <c r="DN63" s="16768" t="str">
        <f>DO61&amp;"-"&amp;DQ61</f>
        <v>46935-47118</v>
      </c>
      <c r="DO63" s="16765"/>
      <c r="DP63" s="16760"/>
      <c r="DQ63" s="16765"/>
      <c r="DR63" s="16760"/>
      <c r="DS63" s="17062"/>
      <c r="DT63" s="17062"/>
      <c r="DU63" s="17062"/>
      <c r="DV63" s="17062"/>
      <c r="DW63" s="17063"/>
      <c r="DX63" s="17064"/>
      <c r="DY63" s="17065"/>
      <c r="DZ63" s="17064"/>
      <c r="EA63" s="17065"/>
      <c r="EB63" s="16764"/>
      <c r="EC63" s="17204"/>
      <c r="ED63" s="17016"/>
      <c r="EE63" s="17194"/>
      <c r="EF63" s="17194" t="str">
        <f>IF(V63="","",V63)</f>
        <v/>
      </c>
      <c r="EG63" s="17194"/>
      <c r="EH63" s="17194"/>
      <c r="EI63" s="16741">
        <v>0</v>
      </c>
    </row>
    <row s="34003" customFormat="1" customHeight="1" ht="11.25">
      <c r="A64" s="17181"/>
      <c r="B64" s="17181"/>
      <c r="C64" s="17181"/>
      <c r="D64" s="17181"/>
      <c r="E64" s="17182"/>
      <c r="F64" s="17182"/>
      <c r="G64" s="17182"/>
      <c r="H64" s="17182"/>
      <c r="I64" s="17183"/>
      <c r="J64" s="17183" t="str">
        <f>I53&amp;".1"</f>
        <v>1.1.1.1.1.1</v>
      </c>
      <c r="K64" s="17018"/>
      <c r="L64" s="17181"/>
      <c r="M64" s="17184"/>
      <c r="N64" s="16741"/>
      <c r="O64" s="16741"/>
      <c r="P64" s="16741"/>
      <c r="Q64" s="17186"/>
      <c r="R64" s="17186"/>
      <c r="S64" s="17186"/>
      <c r="T64" s="17188"/>
      <c r="U64" s="17206"/>
      <c r="V64" s="17207" t="s">
        <v>525</v>
      </c>
      <c r="W64" s="17208"/>
      <c r="X64" s="17062"/>
      <c r="Y64" s="17062"/>
      <c r="Z64" s="17062"/>
      <c r="AA64" s="17062"/>
      <c r="AB64" s="17069" t="str">
        <f>AC61&amp;"-"&amp;AE61</f>
        <v>-</v>
      </c>
      <c r="AC64" s="17065"/>
      <c r="AD64" s="17065"/>
      <c r="AE64" s="17065"/>
      <c r="AF64" s="17065"/>
      <c r="AG64" s="17209"/>
      <c r="AH64" s="17210"/>
      <c r="AI64" s="17211"/>
      <c r="AJ64" s="17212"/>
      <c r="AK64" s="17213"/>
      <c r="AL64" s="16765"/>
      <c r="AM64" s="16760"/>
      <c r="AN64" s="16765"/>
      <c r="AO64" s="16760"/>
      <c r="AP64" s="17214"/>
      <c r="AQ64" s="17215"/>
      <c r="AR64" s="17216"/>
      <c r="AS64" s="17217"/>
      <c r="AT64" s="17218"/>
      <c r="AU64" s="16765"/>
      <c r="AV64" s="16760"/>
      <c r="AW64" s="16765"/>
      <c r="AX64" s="16760"/>
      <c r="AY64" s="17219"/>
      <c r="AZ64" s="17220"/>
      <c r="BA64" s="17221"/>
      <c r="BB64" s="17222"/>
      <c r="BC64" s="17223"/>
      <c r="BD64" s="16765"/>
      <c r="BE64" s="16760"/>
      <c r="BF64" s="16765"/>
      <c r="BG64" s="16760"/>
      <c r="BH64" s="17224"/>
      <c r="BI64" s="17225"/>
      <c r="BJ64" s="17226"/>
      <c r="BK64" s="17227"/>
      <c r="BL64" s="17228"/>
      <c r="BM64" s="16765"/>
      <c r="BN64" s="16760"/>
      <c r="BO64" s="16765"/>
      <c r="BP64" s="16760"/>
      <c r="BQ64" s="17229"/>
      <c r="BR64" s="17230"/>
      <c r="BS64" s="17231"/>
      <c r="BT64" s="17232"/>
      <c r="BU64" s="17233"/>
      <c r="BV64" s="16765"/>
      <c r="BW64" s="16760"/>
      <c r="BX64" s="16765"/>
      <c r="BY64" s="16760"/>
      <c r="BZ64" s="17234"/>
      <c r="CA64" s="17235"/>
      <c r="CB64" s="17236"/>
      <c r="CC64" s="17237"/>
      <c r="CD64" s="17238"/>
      <c r="CE64" s="16765"/>
      <c r="CF64" s="16760"/>
      <c r="CG64" s="16765"/>
      <c r="CH64" s="16760"/>
      <c r="CI64" s="17239"/>
      <c r="CJ64" s="17240"/>
      <c r="CK64" s="17241"/>
      <c r="CL64" s="17242"/>
      <c r="CM64" s="17243"/>
      <c r="CN64" s="16765"/>
      <c r="CO64" s="16760"/>
      <c r="CP64" s="16765"/>
      <c r="CQ64" s="16760"/>
      <c r="CR64" s="17244"/>
      <c r="CS64" s="17245"/>
      <c r="CT64" s="17246"/>
      <c r="CU64" s="17247"/>
      <c r="CV64" s="17248"/>
      <c r="CW64" s="16765"/>
      <c r="CX64" s="16760"/>
      <c r="CY64" s="16765"/>
      <c r="CZ64" s="16760"/>
      <c r="DA64" s="17249"/>
      <c r="DB64" s="17250"/>
      <c r="DC64" s="17251"/>
      <c r="DD64" s="17252"/>
      <c r="DE64" s="17253"/>
      <c r="DF64" s="16765"/>
      <c r="DG64" s="16760"/>
      <c r="DH64" s="16765"/>
      <c r="DI64" s="16760"/>
      <c r="DJ64" s="17254"/>
      <c r="DK64" s="17255"/>
      <c r="DL64" s="17256"/>
      <c r="DM64" s="17257"/>
      <c r="DN64" s="17258"/>
      <c r="DO64" s="16765"/>
      <c r="DP64" s="16760"/>
      <c r="DQ64" s="16765"/>
      <c r="DR64" s="16760"/>
      <c r="DS64" s="17062"/>
      <c r="DT64" s="17062"/>
      <c r="DU64" s="17062"/>
      <c r="DV64" s="17062"/>
      <c r="DW64" s="17069" t="str">
        <f>DX61&amp;"-"&amp;DZ61</f>
        <v>-</v>
      </c>
      <c r="DX64" s="17065"/>
      <c r="DY64" s="17065"/>
      <c r="DZ64" s="17065"/>
      <c r="EA64" s="17065"/>
      <c r="EB64" s="17259"/>
      <c r="EC64" s="17204"/>
      <c r="ED64" s="17016"/>
      <c r="EE64" s="17194"/>
      <c r="EF64" s="17194"/>
      <c r="EG64" s="17194"/>
      <c r="EH64" s="17194"/>
      <c r="EI64" s="16741">
        <v>0</v>
      </c>
    </row>
    <row s="34058" customFormat="1" customHeight="1" ht="15">
      <c r="A65" s="17181"/>
      <c r="B65" s="17181"/>
      <c r="C65" s="17181"/>
      <c r="D65" s="17181"/>
      <c r="E65" s="17182"/>
      <c r="F65" s="17182"/>
      <c r="G65" s="17182"/>
      <c r="H65" s="17182"/>
      <c r="I65" s="17183"/>
      <c r="J65" s="17018" t="str">
        <f>I53&amp;".1"</f>
        <v>1.1.1.1.1.1</v>
      </c>
      <c r="K65" s="17181"/>
      <c r="L65" s="17181"/>
      <c r="M65" s="17184"/>
      <c r="N65" s="16741"/>
      <c r="O65" s="16741"/>
      <c r="P65" s="17185"/>
      <c r="Q65" s="17186"/>
      <c r="R65" s="17186"/>
      <c r="S65" s="17186"/>
      <c r="T65" s="17261"/>
      <c r="U65" s="17262"/>
      <c r="V65" s="17263" t="s">
        <v>471</v>
      </c>
      <c r="W65" s="17264"/>
      <c r="X65" s="17265"/>
      <c r="Y65" s="17266"/>
      <c r="Z65" s="17267"/>
      <c r="AA65" s="17268"/>
      <c r="AB65" s="17269"/>
      <c r="AC65" s="17270"/>
      <c r="AD65" s="17271"/>
      <c r="AE65" s="17272"/>
      <c r="AF65" s="17273"/>
      <c r="AG65" s="17274"/>
      <c r="AH65" s="17275"/>
      <c r="AI65" s="17276"/>
      <c r="AJ65" s="17277"/>
      <c r="AK65" s="17278"/>
      <c r="AL65" s="17279"/>
      <c r="AM65" s="17280"/>
      <c r="AN65" s="17281"/>
      <c r="AO65" s="17282"/>
      <c r="AP65" s="17283"/>
      <c r="AQ65" s="17284"/>
      <c r="AR65" s="17285"/>
      <c r="AS65" s="17286"/>
      <c r="AT65" s="17287"/>
      <c r="AU65" s="17288"/>
      <c r="AV65" s="17289"/>
      <c r="AW65" s="17290"/>
      <c r="AX65" s="17291"/>
      <c r="AY65" s="17292"/>
      <c r="AZ65" s="17293"/>
      <c r="BA65" s="17294"/>
      <c r="BB65" s="17295"/>
      <c r="BC65" s="17296"/>
      <c r="BD65" s="17297"/>
      <c r="BE65" s="17298"/>
      <c r="BF65" s="17299"/>
      <c r="BG65" s="17300"/>
      <c r="BH65" s="17301"/>
      <c r="BI65" s="17302"/>
      <c r="BJ65" s="17303"/>
      <c r="BK65" s="17304"/>
      <c r="BL65" s="17305"/>
      <c r="BM65" s="17306"/>
      <c r="BN65" s="17307"/>
      <c r="BO65" s="17308"/>
      <c r="BP65" s="17309"/>
      <c r="BQ65" s="17310"/>
      <c r="BR65" s="17311"/>
      <c r="BS65" s="17312"/>
      <c r="BT65" s="17313"/>
      <c r="BU65" s="17314"/>
      <c r="BV65" s="17315"/>
      <c r="BW65" s="17316"/>
      <c r="BX65" s="17317"/>
      <c r="BY65" s="17318"/>
      <c r="BZ65" s="17319"/>
      <c r="CA65" s="17320"/>
      <c r="CB65" s="17321"/>
      <c r="CC65" s="17322"/>
      <c r="CD65" s="17323"/>
      <c r="CE65" s="17324"/>
      <c r="CF65" s="17325"/>
      <c r="CG65" s="17326"/>
      <c r="CH65" s="17327"/>
      <c r="CI65" s="17328"/>
      <c r="CJ65" s="17329"/>
      <c r="CK65" s="17330"/>
      <c r="CL65" s="17331"/>
      <c r="CM65" s="17332"/>
      <c r="CN65" s="17333"/>
      <c r="CO65" s="17334"/>
      <c r="CP65" s="17335"/>
      <c r="CQ65" s="17336"/>
      <c r="CR65" s="17337"/>
      <c r="CS65" s="17338"/>
      <c r="CT65" s="17339"/>
      <c r="CU65" s="17340"/>
      <c r="CV65" s="17341"/>
      <c r="CW65" s="17342"/>
      <c r="CX65" s="17343"/>
      <c r="CY65" s="17344"/>
      <c r="CZ65" s="17345"/>
      <c r="DA65" s="17346"/>
      <c r="DB65" s="17347"/>
      <c r="DC65" s="17348"/>
      <c r="DD65" s="17349"/>
      <c r="DE65" s="17350"/>
      <c r="DF65" s="17351"/>
      <c r="DG65" s="17352"/>
      <c r="DH65" s="17353"/>
      <c r="DI65" s="17354"/>
      <c r="DJ65" s="17355"/>
      <c r="DK65" s="17356"/>
      <c r="DL65" s="17357"/>
      <c r="DM65" s="17358"/>
      <c r="DN65" s="17359"/>
      <c r="DO65" s="17360"/>
      <c r="DP65" s="17361"/>
      <c r="DQ65" s="17362"/>
      <c r="DR65" s="17363"/>
      <c r="DS65" s="17364"/>
      <c r="DT65" s="17365"/>
      <c r="DU65" s="17366"/>
      <c r="DV65" s="17367"/>
      <c r="DW65" s="17368"/>
      <c r="DX65" s="17369"/>
      <c r="DY65" s="17370"/>
      <c r="DZ65" s="17371"/>
      <c r="EA65" s="17372"/>
      <c r="EB65" s="17373"/>
      <c r="EC65" s="17374"/>
      <c r="ED65" s="17016"/>
      <c r="EE65" s="17194"/>
      <c r="EF65" s="17194" t="str">
        <f>IF(V65="","",V65)</f>
        <v>Добавить вид теплоносителя (параметры теплоносителя)</v>
      </c>
      <c r="EG65" s="17194"/>
      <c r="EH65" s="17194"/>
      <c r="EI65" s="16741">
        <v>0</v>
      </c>
    </row>
    <row customHeight="1" ht="11.549999999999999">
      <c r="A66" s="1551" t="s">
        <v>209</v>
      </c>
      <c r="B66" s="1551" t="s">
        <v>210</v>
      </c>
      <c r="C66" s="1551" t="s">
        <v>211</v>
      </c>
      <c r="D66" s="1551" t="s">
        <v>212</v>
      </c>
      <c r="E66" s="2574"/>
      <c r="F66" s="2574"/>
      <c r="G66" s="2574"/>
      <c r="H66" s="2595"/>
      <c r="I66" s="2411"/>
      <c r="J66" s="1551"/>
      <c r="K66" s="1551"/>
      <c r="L66" s="1551"/>
      <c r="M66" s="1594"/>
      <c r="Q66" s="2541"/>
      <c r="R66" s="1615"/>
      <c r="S66" s="1615"/>
      <c r="T66" s="640"/>
      <c r="U66" s="1562"/>
      <c r="V66" s="649" t="s">
        <v>472</v>
      </c>
      <c r="W66" s="651"/>
      <c r="X66" s="651"/>
      <c r="Y66" s="651"/>
      <c r="Z66" s="651"/>
      <c r="AA66" s="651"/>
      <c r="AB66" s="651"/>
      <c r="AC66" s="651"/>
      <c r="AD66" s="651"/>
      <c r="AE66" s="651"/>
      <c r="AF66" s="650"/>
      <c r="AG66" s="651"/>
      <c r="AH66" s="651"/>
      <c r="AI66" s="651"/>
      <c r="AJ66" s="651"/>
      <c r="AK66" s="651"/>
      <c r="AL66" s="651"/>
      <c r="AM66" s="651"/>
      <c r="AN66" s="651"/>
      <c r="AO66" s="650"/>
      <c r="AP66" s="17375"/>
      <c r="AQ66" s="17376"/>
      <c r="AR66" s="17377"/>
      <c r="AS66" s="17378"/>
      <c r="AT66" s="17379"/>
      <c r="AU66" s="17380"/>
      <c r="AV66" s="17381"/>
      <c r="AW66" s="17382"/>
      <c r="AX66" s="17383"/>
      <c r="AY66" s="17384"/>
      <c r="AZ66" s="17385"/>
      <c r="BA66" s="17386"/>
      <c r="BB66" s="17387"/>
      <c r="BC66" s="17388"/>
      <c r="BD66" s="17389"/>
      <c r="BE66" s="17390"/>
      <c r="BF66" s="17391"/>
      <c r="BG66" s="17392"/>
      <c r="BH66" s="17393"/>
      <c r="BI66" s="17394"/>
      <c r="BJ66" s="17395"/>
      <c r="BK66" s="17396"/>
      <c r="BL66" s="17397"/>
      <c r="BM66" s="17398"/>
      <c r="BN66" s="17399"/>
      <c r="BO66" s="17400"/>
      <c r="BP66" s="17401"/>
      <c r="BQ66" s="17402"/>
      <c r="BR66" s="17403"/>
      <c r="BS66" s="17404"/>
      <c r="BT66" s="17405"/>
      <c r="BU66" s="17406"/>
      <c r="BV66" s="17407"/>
      <c r="BW66" s="17408"/>
      <c r="BX66" s="17409"/>
      <c r="BY66" s="17410"/>
      <c r="BZ66" s="17411"/>
      <c r="CA66" s="17412"/>
      <c r="CB66" s="17413"/>
      <c r="CC66" s="17414"/>
      <c r="CD66" s="17415"/>
      <c r="CE66" s="17416"/>
      <c r="CF66" s="17417"/>
      <c r="CG66" s="17418"/>
      <c r="CH66" s="17419"/>
      <c r="CI66" s="17420"/>
      <c r="CJ66" s="17421"/>
      <c r="CK66" s="17422"/>
      <c r="CL66" s="17423"/>
      <c r="CM66" s="17424"/>
      <c r="CN66" s="17425"/>
      <c r="CO66" s="17426"/>
      <c r="CP66" s="17427"/>
      <c r="CQ66" s="17428"/>
      <c r="CR66" s="17429"/>
      <c r="CS66" s="17430"/>
      <c r="CT66" s="17431"/>
      <c r="CU66" s="17432"/>
      <c r="CV66" s="17433"/>
      <c r="CW66" s="17434"/>
      <c r="CX66" s="17435"/>
      <c r="CY66" s="17436"/>
      <c r="CZ66" s="17437"/>
      <c r="DA66" s="17438"/>
      <c r="DB66" s="17439"/>
      <c r="DC66" s="17440"/>
      <c r="DD66" s="17441"/>
      <c r="DE66" s="17442"/>
      <c r="DF66" s="17443"/>
      <c r="DG66" s="17444"/>
      <c r="DH66" s="17445"/>
      <c r="DI66" s="17446"/>
      <c r="DJ66" s="17447"/>
      <c r="DK66" s="17448"/>
      <c r="DL66" s="17449"/>
      <c r="DM66" s="17450"/>
      <c r="DN66" s="17451"/>
      <c r="DO66" s="17452"/>
      <c r="DP66" s="17453"/>
      <c r="DQ66" s="17454"/>
      <c r="DR66" s="17455"/>
      <c r="DS66" s="17456"/>
      <c r="DT66" s="17457"/>
      <c r="DU66" s="17458"/>
      <c r="DV66" s="17459"/>
      <c r="DW66" s="17460"/>
      <c r="DX66" s="17461"/>
      <c r="DY66" s="17462"/>
      <c r="DZ66" s="17463"/>
      <c r="EA66" s="17464"/>
      <c r="EB66" s="651"/>
      <c r="EC66" s="587"/>
      <c r="EE66" s="784"/>
      <c r="EF66" s="784" t="str">
        <f>IF(V66="","",V66)</f>
        <v>Добавить группу потребителей</v>
      </c>
      <c r="EG66" s="784"/>
      <c r="EH66" s="784"/>
      <c r="EI66" s="1439">
        <v>11</v>
      </c>
    </row>
    <row customHeight="1" ht="0">
      <c r="A67" s="1551" t="s">
        <v>209</v>
      </c>
      <c r="B67" s="1551" t="s">
        <v>210</v>
      </c>
      <c r="C67" s="1551" t="s">
        <v>211</v>
      </c>
      <c r="D67" s="1551" t="s">
        <v>212</v>
      </c>
      <c r="E67" s="2574"/>
      <c r="F67" s="2574"/>
      <c r="G67" s="2574"/>
      <c r="H67" s="2594"/>
      <c r="I67" s="1551"/>
      <c r="J67" s="1551"/>
      <c r="K67" s="1551"/>
      <c r="L67" s="1551"/>
      <c r="M67" s="1594"/>
      <c r="N67" s="972"/>
      <c r="O67" s="972"/>
      <c r="P67" s="793"/>
      <c r="Q67" s="644"/>
      <c r="R67" s="659"/>
      <c r="S67" s="639"/>
      <c r="T67" s="644"/>
      <c r="U67" s="1670"/>
      <c r="V67" s="1671"/>
      <c r="W67" s="1672"/>
      <c r="X67" s="1672"/>
      <c r="Y67" s="1672"/>
      <c r="Z67" s="1672"/>
      <c r="AA67" s="1672"/>
      <c r="AB67" s="1672"/>
      <c r="AC67" s="1672"/>
      <c r="AD67" s="1672"/>
      <c r="AE67" s="1672"/>
      <c r="AF67" s="1672"/>
      <c r="AG67" s="1672"/>
      <c r="AH67" s="1672"/>
      <c r="AI67" s="1672"/>
      <c r="AJ67" s="1672"/>
      <c r="AK67" s="1672"/>
      <c r="AL67" s="1672"/>
      <c r="AM67" s="1672"/>
      <c r="AN67" s="1672"/>
      <c r="AO67" s="1672"/>
      <c r="AP67" s="17004"/>
      <c r="AQ67" s="17004"/>
      <c r="AR67" s="17004"/>
      <c r="AS67" s="17004"/>
      <c r="AT67" s="17004"/>
      <c r="AU67" s="17004"/>
      <c r="AV67" s="17004"/>
      <c r="AW67" s="17004"/>
      <c r="AX67" s="17004"/>
      <c r="AY67" s="17004"/>
      <c r="AZ67" s="17004"/>
      <c r="BA67" s="17004"/>
      <c r="BB67" s="17004"/>
      <c r="BC67" s="17004"/>
      <c r="BD67" s="17004"/>
      <c r="BE67" s="17004"/>
      <c r="BF67" s="17004"/>
      <c r="BG67" s="17004"/>
      <c r="BH67" s="17004"/>
      <c r="BI67" s="17004"/>
      <c r="BJ67" s="17004"/>
      <c r="BK67" s="17004"/>
      <c r="BL67" s="17004"/>
      <c r="BM67" s="17004"/>
      <c r="BN67" s="17004"/>
      <c r="BO67" s="17004"/>
      <c r="BP67" s="17004"/>
      <c r="BQ67" s="17004"/>
      <c r="BR67" s="17004"/>
      <c r="BS67" s="17004"/>
      <c r="BT67" s="17004"/>
      <c r="BU67" s="17004"/>
      <c r="BV67" s="17004"/>
      <c r="BW67" s="17004"/>
      <c r="BX67" s="17004"/>
      <c r="BY67" s="17004"/>
      <c r="BZ67" s="17004"/>
      <c r="CA67" s="17004"/>
      <c r="CB67" s="17004"/>
      <c r="CC67" s="17004"/>
      <c r="CD67" s="17004"/>
      <c r="CE67" s="17004"/>
      <c r="CF67" s="17004"/>
      <c r="CG67" s="17004"/>
      <c r="CH67" s="17004"/>
      <c r="CI67" s="17004"/>
      <c r="CJ67" s="17004"/>
      <c r="CK67" s="17004"/>
      <c r="CL67" s="17004"/>
      <c r="CM67" s="17004"/>
      <c r="CN67" s="17004"/>
      <c r="CO67" s="17004"/>
      <c r="CP67" s="17004"/>
      <c r="CQ67" s="17004"/>
      <c r="CR67" s="17004"/>
      <c r="CS67" s="17004"/>
      <c r="CT67" s="17004"/>
      <c r="CU67" s="17004"/>
      <c r="CV67" s="17004"/>
      <c r="CW67" s="17004"/>
      <c r="CX67" s="17004"/>
      <c r="CY67" s="17004"/>
      <c r="CZ67" s="17004"/>
      <c r="DA67" s="17004"/>
      <c r="DB67" s="17004"/>
      <c r="DC67" s="17004"/>
      <c r="DD67" s="17004"/>
      <c r="DE67" s="17004"/>
      <c r="DF67" s="17004"/>
      <c r="DG67" s="17004"/>
      <c r="DH67" s="17004"/>
      <c r="DI67" s="17004"/>
      <c r="DJ67" s="17004"/>
      <c r="DK67" s="17004"/>
      <c r="DL67" s="17004"/>
      <c r="DM67" s="17004"/>
      <c r="DN67" s="17004"/>
      <c r="DO67" s="17004"/>
      <c r="DP67" s="17004"/>
      <c r="DQ67" s="17004"/>
      <c r="DR67" s="17004"/>
      <c r="DS67" s="17004"/>
      <c r="DT67" s="17004"/>
      <c r="DU67" s="17004"/>
      <c r="DV67" s="17004"/>
      <c r="DW67" s="17004"/>
      <c r="DX67" s="17004"/>
      <c r="DY67" s="17004"/>
      <c r="DZ67" s="17004"/>
      <c r="EA67" s="17004"/>
      <c r="EB67" s="1672"/>
      <c r="EC67" s="1673"/>
      <c r="EE67" s="784"/>
      <c r="EF67" s="784" t="str">
        <f>IF(V67="","",V67)</f>
        <v/>
      </c>
      <c r="EG67" s="784"/>
      <c r="EH67" s="784"/>
      <c r="EI67" s="1439">
        <v>0</v>
      </c>
    </row>
    <row s="30621" customFormat="1" customHeight="1" ht="0">
      <c r="A68" s="1659" t="s">
        <v>209</v>
      </c>
      <c r="B68" s="1659" t="s">
        <v>210</v>
      </c>
      <c r="C68" s="1659" t="s">
        <v>211</v>
      </c>
      <c r="D68" s="1658"/>
      <c r="E68" s="2574"/>
      <c r="F68" s="2574"/>
      <c r="G68" s="2573"/>
      <c r="H68" s="1658"/>
      <c r="I68" s="1658"/>
      <c r="J68" s="1658"/>
      <c r="K68" s="1658"/>
      <c r="L68" s="1658"/>
      <c r="M68" s="1661"/>
      <c r="N68" s="1662"/>
      <c r="O68" s="1662"/>
      <c r="P68" s="635"/>
      <c r="Q68" s="1600"/>
      <c r="R68" s="1601"/>
      <c r="S68" s="1600"/>
      <c r="T68" s="1600"/>
      <c r="U68" s="1606"/>
      <c r="V68" s="1609" t="s">
        <v>213</v>
      </c>
      <c r="W68" s="1608"/>
      <c r="X68" s="1608"/>
      <c r="Y68" s="1608"/>
      <c r="Z68" s="1608"/>
      <c r="AA68" s="1608"/>
      <c r="AB68" s="1608"/>
      <c r="AC68" s="1608"/>
      <c r="AD68" s="1608"/>
      <c r="AE68" s="1608"/>
      <c r="AF68" s="1608"/>
      <c r="AG68" s="1608"/>
      <c r="AH68" s="1608"/>
      <c r="AI68" s="1608"/>
      <c r="AJ68" s="1608"/>
      <c r="AK68" s="1608"/>
      <c r="AL68" s="1608"/>
      <c r="AM68" s="1608"/>
      <c r="AN68" s="1608"/>
      <c r="AO68" s="1608"/>
      <c r="AP68" s="17006"/>
      <c r="AQ68" s="17006"/>
      <c r="AR68" s="17006"/>
      <c r="AS68" s="17006"/>
      <c r="AT68" s="17006"/>
      <c r="AU68" s="17006"/>
      <c r="AV68" s="17006"/>
      <c r="AW68" s="17006"/>
      <c r="AX68" s="17006"/>
      <c r="AY68" s="17006"/>
      <c r="AZ68" s="17006"/>
      <c r="BA68" s="17006"/>
      <c r="BB68" s="17006"/>
      <c r="BC68" s="17006"/>
      <c r="BD68" s="17006"/>
      <c r="BE68" s="17006"/>
      <c r="BF68" s="17006"/>
      <c r="BG68" s="17006"/>
      <c r="BH68" s="17006"/>
      <c r="BI68" s="17006"/>
      <c r="BJ68" s="17006"/>
      <c r="BK68" s="17006"/>
      <c r="BL68" s="17006"/>
      <c r="BM68" s="17006"/>
      <c r="BN68" s="17006"/>
      <c r="BO68" s="17006"/>
      <c r="BP68" s="17006"/>
      <c r="BQ68" s="17006"/>
      <c r="BR68" s="17006"/>
      <c r="BS68" s="17006"/>
      <c r="BT68" s="17006"/>
      <c r="BU68" s="17006"/>
      <c r="BV68" s="17006"/>
      <c r="BW68" s="17006"/>
      <c r="BX68" s="17006"/>
      <c r="BY68" s="17006"/>
      <c r="BZ68" s="17006"/>
      <c r="CA68" s="17006"/>
      <c r="CB68" s="17006"/>
      <c r="CC68" s="17006"/>
      <c r="CD68" s="17006"/>
      <c r="CE68" s="17006"/>
      <c r="CF68" s="17006"/>
      <c r="CG68" s="17006"/>
      <c r="CH68" s="17006"/>
      <c r="CI68" s="17006"/>
      <c r="CJ68" s="17006"/>
      <c r="CK68" s="17006"/>
      <c r="CL68" s="17006"/>
      <c r="CM68" s="17006"/>
      <c r="CN68" s="17006"/>
      <c r="CO68" s="17006"/>
      <c r="CP68" s="17006"/>
      <c r="CQ68" s="17006"/>
      <c r="CR68" s="17006"/>
      <c r="CS68" s="17006"/>
      <c r="CT68" s="17006"/>
      <c r="CU68" s="17006"/>
      <c r="CV68" s="17006"/>
      <c r="CW68" s="17006"/>
      <c r="CX68" s="17006"/>
      <c r="CY68" s="17006"/>
      <c r="CZ68" s="17006"/>
      <c r="DA68" s="17006"/>
      <c r="DB68" s="17006"/>
      <c r="DC68" s="17006"/>
      <c r="DD68" s="17006"/>
      <c r="DE68" s="17006"/>
      <c r="DF68" s="17006"/>
      <c r="DG68" s="17006"/>
      <c r="DH68" s="17006"/>
      <c r="DI68" s="17006"/>
      <c r="DJ68" s="17006"/>
      <c r="DK68" s="17006"/>
      <c r="DL68" s="17006"/>
      <c r="DM68" s="17006"/>
      <c r="DN68" s="17006"/>
      <c r="DO68" s="17006"/>
      <c r="DP68" s="17006"/>
      <c r="DQ68" s="17006"/>
      <c r="DR68" s="17006"/>
      <c r="DS68" s="17006"/>
      <c r="DT68" s="17006"/>
      <c r="DU68" s="17006"/>
      <c r="DV68" s="17006"/>
      <c r="DW68" s="17006"/>
      <c r="DX68" s="17006"/>
      <c r="DY68" s="17006"/>
      <c r="DZ68" s="17006"/>
      <c r="EA68" s="17006"/>
      <c r="EB68" s="1608"/>
      <c r="EC68" s="1608"/>
      <c r="EE68" s="1073"/>
      <c r="EF68" s="1073" t="str">
        <f>IF(V68="","",V68)</f>
        <v>Добавить источник для дифференциации</v>
      </c>
      <c r="EG68" s="1073"/>
      <c r="EH68" s="1073"/>
      <c r="EI68" s="802">
        <v>0</v>
      </c>
    </row>
    <row s="30621" customFormat="1" customHeight="1" ht="0">
      <c r="A69" s="1659" t="s">
        <v>209</v>
      </c>
      <c r="B69" s="1659" t="s">
        <v>210</v>
      </c>
      <c r="C69" s="1658"/>
      <c r="D69" s="1658"/>
      <c r="E69" s="2574"/>
      <c r="F69" s="2573"/>
      <c r="G69" s="1658"/>
      <c r="H69" s="1658"/>
      <c r="I69" s="1658"/>
      <c r="J69" s="1658"/>
      <c r="K69" s="1658"/>
      <c r="L69" s="1658"/>
      <c r="M69" s="1661"/>
      <c r="N69" s="1663"/>
      <c r="O69" s="1663"/>
      <c r="P69" s="635"/>
      <c r="Q69" s="1600"/>
      <c r="R69" s="1601"/>
      <c r="S69" s="1600"/>
      <c r="T69" s="1600"/>
      <c r="U69" s="1606"/>
      <c r="V69" s="1609" t="s">
        <v>214</v>
      </c>
      <c r="W69" s="1608"/>
      <c r="X69" s="1608"/>
      <c r="Y69" s="1608"/>
      <c r="Z69" s="1608"/>
      <c r="AA69" s="1608"/>
      <c r="AB69" s="1608"/>
      <c r="AC69" s="1608"/>
      <c r="AD69" s="1608"/>
      <c r="AE69" s="1608"/>
      <c r="AF69" s="1608"/>
      <c r="AG69" s="1608"/>
      <c r="AH69" s="1608"/>
      <c r="AI69" s="1608"/>
      <c r="AJ69" s="1608"/>
      <c r="AK69" s="1608"/>
      <c r="AL69" s="1608"/>
      <c r="AM69" s="1608"/>
      <c r="AN69" s="1608"/>
      <c r="AO69" s="1608"/>
      <c r="AP69" s="17006"/>
      <c r="AQ69" s="17006"/>
      <c r="AR69" s="17006"/>
      <c r="AS69" s="17006"/>
      <c r="AT69" s="17006"/>
      <c r="AU69" s="17006"/>
      <c r="AV69" s="17006"/>
      <c r="AW69" s="17006"/>
      <c r="AX69" s="17006"/>
      <c r="AY69" s="17006"/>
      <c r="AZ69" s="17006"/>
      <c r="BA69" s="17006"/>
      <c r="BB69" s="17006"/>
      <c r="BC69" s="17006"/>
      <c r="BD69" s="17006"/>
      <c r="BE69" s="17006"/>
      <c r="BF69" s="17006"/>
      <c r="BG69" s="17006"/>
      <c r="BH69" s="17006"/>
      <c r="BI69" s="17006"/>
      <c r="BJ69" s="17006"/>
      <c r="BK69" s="17006"/>
      <c r="BL69" s="17006"/>
      <c r="BM69" s="17006"/>
      <c r="BN69" s="17006"/>
      <c r="BO69" s="17006"/>
      <c r="BP69" s="17006"/>
      <c r="BQ69" s="17006"/>
      <c r="BR69" s="17006"/>
      <c r="BS69" s="17006"/>
      <c r="BT69" s="17006"/>
      <c r="BU69" s="17006"/>
      <c r="BV69" s="17006"/>
      <c r="BW69" s="17006"/>
      <c r="BX69" s="17006"/>
      <c r="BY69" s="17006"/>
      <c r="BZ69" s="17006"/>
      <c r="CA69" s="17006"/>
      <c r="CB69" s="17006"/>
      <c r="CC69" s="17006"/>
      <c r="CD69" s="17006"/>
      <c r="CE69" s="17006"/>
      <c r="CF69" s="17006"/>
      <c r="CG69" s="17006"/>
      <c r="CH69" s="17006"/>
      <c r="CI69" s="17006"/>
      <c r="CJ69" s="17006"/>
      <c r="CK69" s="17006"/>
      <c r="CL69" s="17006"/>
      <c r="CM69" s="17006"/>
      <c r="CN69" s="17006"/>
      <c r="CO69" s="17006"/>
      <c r="CP69" s="17006"/>
      <c r="CQ69" s="17006"/>
      <c r="CR69" s="17006"/>
      <c r="CS69" s="17006"/>
      <c r="CT69" s="17006"/>
      <c r="CU69" s="17006"/>
      <c r="CV69" s="17006"/>
      <c r="CW69" s="17006"/>
      <c r="CX69" s="17006"/>
      <c r="CY69" s="17006"/>
      <c r="CZ69" s="17006"/>
      <c r="DA69" s="17006"/>
      <c r="DB69" s="17006"/>
      <c r="DC69" s="17006"/>
      <c r="DD69" s="17006"/>
      <c r="DE69" s="17006"/>
      <c r="DF69" s="17006"/>
      <c r="DG69" s="17006"/>
      <c r="DH69" s="17006"/>
      <c r="DI69" s="17006"/>
      <c r="DJ69" s="17006"/>
      <c r="DK69" s="17006"/>
      <c r="DL69" s="17006"/>
      <c r="DM69" s="17006"/>
      <c r="DN69" s="17006"/>
      <c r="DO69" s="17006"/>
      <c r="DP69" s="17006"/>
      <c r="DQ69" s="17006"/>
      <c r="DR69" s="17006"/>
      <c r="DS69" s="17006"/>
      <c r="DT69" s="17006"/>
      <c r="DU69" s="17006"/>
      <c r="DV69" s="17006"/>
      <c r="DW69" s="17006"/>
      <c r="DX69" s="17006"/>
      <c r="DY69" s="17006"/>
      <c r="DZ69" s="17006"/>
      <c r="EA69" s="17006"/>
      <c r="EB69" s="1608"/>
      <c r="EC69" s="1608"/>
      <c r="EE69" s="1073"/>
      <c r="EF69" s="1073" t="str">
        <f>IF(V69="","",V69)</f>
        <v>Добавить централизованную систему для дифференциации</v>
      </c>
      <c r="EG69" s="1073"/>
      <c r="EH69" s="1073"/>
      <c r="EI69" s="802">
        <v>0</v>
      </c>
    </row>
    <row s="34263" customFormat="1" customHeight="1" ht="21">
      <c r="A70" s="8474"/>
      <c r="B70" s="8474" t="s">
        <v>215</v>
      </c>
      <c r="C70" s="8474"/>
      <c r="D70" s="8474"/>
      <c r="E70" s="11456"/>
      <c r="F70" s="11457" t="s">
        <v>105</v>
      </c>
      <c r="G70" s="8474"/>
      <c r="H70" s="8474"/>
      <c r="I70" s="8474"/>
      <c r="J70" s="8474"/>
      <c r="K70" s="8474"/>
      <c r="L70" s="8474"/>
      <c r="M70" s="11458"/>
      <c r="N70" s="11459"/>
      <c r="O70" s="11459"/>
      <c r="P70" s="11459"/>
      <c r="Q70" s="11460"/>
      <c r="R70" s="11461"/>
      <c r="S70" s="11462"/>
      <c r="T70" s="11463"/>
      <c r="U70" s="11464" t="str">
        <f>INDEX(PT_DIFFERENTIATION_NUM_TER,MATCH(B70,PT_DIFFERENTIATION_TER_ID,0))</f>
        <v>1.2</v>
      </c>
      <c r="V70" s="11465" t="s">
        <v>457</v>
      </c>
      <c r="W70" s="11466"/>
      <c r="X70" s="11467"/>
      <c r="Y70" s="11468"/>
      <c r="Z70" s="11468"/>
      <c r="AA70" s="11468"/>
      <c r="AB70" s="11468"/>
      <c r="AC70" s="11468"/>
      <c r="AD70" s="11468"/>
      <c r="AE70" s="11468"/>
      <c r="AF70" s="11469"/>
      <c r="AG70" s="11467" t="str">
        <f>INDEX(PT_DIFFERENTIATION_TER,MATCH(B70,PT_DIFFERENTIATION_TER_ID,0))</f>
        <v>Территория 2</v>
      </c>
      <c r="AH70" s="11468"/>
      <c r="AI70" s="11468"/>
      <c r="AJ70" s="11468"/>
      <c r="AK70" s="11468"/>
      <c r="AL70" s="11468"/>
      <c r="AM70" s="11468"/>
      <c r="AN70" s="11468"/>
      <c r="AO70" s="11468"/>
      <c r="AP70" s="16743"/>
      <c r="AQ70" s="16744"/>
      <c r="AR70" s="16744"/>
      <c r="AS70" s="16744"/>
      <c r="AT70" s="16744"/>
      <c r="AU70" s="16744"/>
      <c r="AV70" s="16744"/>
      <c r="AW70" s="16744"/>
      <c r="AX70" s="16745"/>
      <c r="AY70" s="16743"/>
      <c r="AZ70" s="16744"/>
      <c r="BA70" s="16744"/>
      <c r="BB70" s="16744"/>
      <c r="BC70" s="16744"/>
      <c r="BD70" s="16744"/>
      <c r="BE70" s="16744"/>
      <c r="BF70" s="16744"/>
      <c r="BG70" s="16745"/>
      <c r="BH70" s="16743"/>
      <c r="BI70" s="16744"/>
      <c r="BJ70" s="16744"/>
      <c r="BK70" s="16744"/>
      <c r="BL70" s="16744"/>
      <c r="BM70" s="16744"/>
      <c r="BN70" s="16744"/>
      <c r="BO70" s="16744"/>
      <c r="BP70" s="16745"/>
      <c r="BQ70" s="16743"/>
      <c r="BR70" s="16744"/>
      <c r="BS70" s="16744"/>
      <c r="BT70" s="16744"/>
      <c r="BU70" s="16744"/>
      <c r="BV70" s="16744"/>
      <c r="BW70" s="16744"/>
      <c r="BX70" s="16744"/>
      <c r="BY70" s="16745"/>
      <c r="BZ70" s="16743"/>
      <c r="CA70" s="16744"/>
      <c r="CB70" s="16744"/>
      <c r="CC70" s="16744"/>
      <c r="CD70" s="16744"/>
      <c r="CE70" s="16744"/>
      <c r="CF70" s="16744"/>
      <c r="CG70" s="16744"/>
      <c r="CH70" s="16745"/>
      <c r="CI70" s="16743"/>
      <c r="CJ70" s="16744"/>
      <c r="CK70" s="16744"/>
      <c r="CL70" s="16744"/>
      <c r="CM70" s="16744"/>
      <c r="CN70" s="16744"/>
      <c r="CO70" s="16744"/>
      <c r="CP70" s="16744"/>
      <c r="CQ70" s="16745"/>
      <c r="CR70" s="16743"/>
      <c r="CS70" s="16744"/>
      <c r="CT70" s="16744"/>
      <c r="CU70" s="16744"/>
      <c r="CV70" s="16744"/>
      <c r="CW70" s="16744"/>
      <c r="CX70" s="16744"/>
      <c r="CY70" s="16744"/>
      <c r="CZ70" s="16745"/>
      <c r="DA70" s="16743"/>
      <c r="DB70" s="16744"/>
      <c r="DC70" s="16744"/>
      <c r="DD70" s="16744"/>
      <c r="DE70" s="16744"/>
      <c r="DF70" s="16744"/>
      <c r="DG70" s="16744"/>
      <c r="DH70" s="16744"/>
      <c r="DI70" s="16745"/>
      <c r="DJ70" s="16743"/>
      <c r="DK70" s="16744"/>
      <c r="DL70" s="16744"/>
      <c r="DM70" s="16744"/>
      <c r="DN70" s="16744"/>
      <c r="DO70" s="16744"/>
      <c r="DP70" s="16744"/>
      <c r="DQ70" s="16744"/>
      <c r="DR70" s="16745"/>
      <c r="DS70" s="16743"/>
      <c r="DT70" s="16744"/>
      <c r="DU70" s="16744"/>
      <c r="DV70" s="16744"/>
      <c r="DW70" s="16744"/>
      <c r="DX70" s="16744"/>
      <c r="DY70" s="16744"/>
      <c r="DZ70" s="16744"/>
      <c r="EA70" s="16745"/>
      <c r="EB70" s="11469"/>
      <c r="EC70" s="11470" t="s">
        <v>458</v>
      </c>
      <c r="ED70" s="11471"/>
      <c r="EE70" s="11472"/>
      <c r="EF70" s="11472" t="str">
        <f>IF(V70="","",V70)</f>
        <v>Территория действия тарифа</v>
      </c>
      <c r="EG70" s="11472"/>
      <c r="EH70" s="11472"/>
      <c r="EI70" s="11462">
        <v>0</v>
      </c>
    </row>
    <row s="34281" customFormat="1" customHeight="1" ht="22.5">
      <c r="A71" s="8474"/>
      <c r="B71" s="8474"/>
      <c r="C71" s="8474" t="s">
        <v>216</v>
      </c>
      <c r="D71" s="8474"/>
      <c r="E71" s="11456"/>
      <c r="F71" s="11456">
        <v>1</v>
      </c>
      <c r="G71" s="11457">
        <v>1</v>
      </c>
      <c r="H71" s="8474"/>
      <c r="I71" s="8474"/>
      <c r="J71" s="8474"/>
      <c r="K71" s="8474"/>
      <c r="L71" s="8474"/>
      <c r="M71" s="11458"/>
      <c r="N71" s="11459"/>
      <c r="O71" s="11459"/>
      <c r="P71" s="11459"/>
      <c r="Q71" s="11474"/>
      <c r="R71" s="11461"/>
      <c r="S71" s="11462"/>
      <c r="T71" s="11463"/>
      <c r="U71" s="11464" t="str">
        <f>INDEX(PT_DIFFERENTIATION_NUM_CS,MATCH(C71,PT_DIFFERENTIATION_CS_ID,0))</f>
        <v>1.2.1</v>
      </c>
      <c r="V71" s="11475" t="s">
        <v>459</v>
      </c>
      <c r="W71" s="11466"/>
      <c r="X71" s="11467"/>
      <c r="Y71" s="11468"/>
      <c r="Z71" s="11468"/>
      <c r="AA71" s="11468"/>
      <c r="AB71" s="11468"/>
      <c r="AC71" s="11468"/>
      <c r="AD71" s="11468"/>
      <c r="AE71" s="11468"/>
      <c r="AF71" s="11469"/>
      <c r="AG71" s="11467" t="str">
        <f>INDEX(PT_DIFFERENTIATION_CS,MATCH(C71,PT_DIFFERENTIATION_CS_ID,0))</f>
        <v>без дифференциации</v>
      </c>
      <c r="AH71" s="11468"/>
      <c r="AI71" s="11468"/>
      <c r="AJ71" s="11468"/>
      <c r="AK71" s="11468"/>
      <c r="AL71" s="11468"/>
      <c r="AM71" s="11468"/>
      <c r="AN71" s="11468"/>
      <c r="AO71" s="11468"/>
      <c r="AP71" s="16743"/>
      <c r="AQ71" s="16744"/>
      <c r="AR71" s="16744"/>
      <c r="AS71" s="16744"/>
      <c r="AT71" s="16744"/>
      <c r="AU71" s="16744"/>
      <c r="AV71" s="16744"/>
      <c r="AW71" s="16744"/>
      <c r="AX71" s="16745"/>
      <c r="AY71" s="16743"/>
      <c r="AZ71" s="16744"/>
      <c r="BA71" s="16744"/>
      <c r="BB71" s="16744"/>
      <c r="BC71" s="16744"/>
      <c r="BD71" s="16744"/>
      <c r="BE71" s="16744"/>
      <c r="BF71" s="16744"/>
      <c r="BG71" s="16745"/>
      <c r="BH71" s="16743"/>
      <c r="BI71" s="16744"/>
      <c r="BJ71" s="16744"/>
      <c r="BK71" s="16744"/>
      <c r="BL71" s="16744"/>
      <c r="BM71" s="16744"/>
      <c r="BN71" s="16744"/>
      <c r="BO71" s="16744"/>
      <c r="BP71" s="16745"/>
      <c r="BQ71" s="16743"/>
      <c r="BR71" s="16744"/>
      <c r="BS71" s="16744"/>
      <c r="BT71" s="16744"/>
      <c r="BU71" s="16744"/>
      <c r="BV71" s="16744"/>
      <c r="BW71" s="16744"/>
      <c r="BX71" s="16744"/>
      <c r="BY71" s="16745"/>
      <c r="BZ71" s="16743"/>
      <c r="CA71" s="16744"/>
      <c r="CB71" s="16744"/>
      <c r="CC71" s="16744"/>
      <c r="CD71" s="16744"/>
      <c r="CE71" s="16744"/>
      <c r="CF71" s="16744"/>
      <c r="CG71" s="16744"/>
      <c r="CH71" s="16745"/>
      <c r="CI71" s="16743"/>
      <c r="CJ71" s="16744"/>
      <c r="CK71" s="16744"/>
      <c r="CL71" s="16744"/>
      <c r="CM71" s="16744"/>
      <c r="CN71" s="16744"/>
      <c r="CO71" s="16744"/>
      <c r="CP71" s="16744"/>
      <c r="CQ71" s="16745"/>
      <c r="CR71" s="16743"/>
      <c r="CS71" s="16744"/>
      <c r="CT71" s="16744"/>
      <c r="CU71" s="16744"/>
      <c r="CV71" s="16744"/>
      <c r="CW71" s="16744"/>
      <c r="CX71" s="16744"/>
      <c r="CY71" s="16744"/>
      <c r="CZ71" s="16745"/>
      <c r="DA71" s="16743"/>
      <c r="DB71" s="16744"/>
      <c r="DC71" s="16744"/>
      <c r="DD71" s="16744"/>
      <c r="DE71" s="16744"/>
      <c r="DF71" s="16744"/>
      <c r="DG71" s="16744"/>
      <c r="DH71" s="16744"/>
      <c r="DI71" s="16745"/>
      <c r="DJ71" s="16743"/>
      <c r="DK71" s="16744"/>
      <c r="DL71" s="16744"/>
      <c r="DM71" s="16744"/>
      <c r="DN71" s="16744"/>
      <c r="DO71" s="16744"/>
      <c r="DP71" s="16744"/>
      <c r="DQ71" s="16744"/>
      <c r="DR71" s="16745"/>
      <c r="DS71" s="16743"/>
      <c r="DT71" s="16744"/>
      <c r="DU71" s="16744"/>
      <c r="DV71" s="16744"/>
      <c r="DW71" s="16744"/>
      <c r="DX71" s="16744"/>
      <c r="DY71" s="16744"/>
      <c r="DZ71" s="16744"/>
      <c r="EA71" s="16745"/>
      <c r="EB71" s="11469"/>
      <c r="EC71" s="11470" t="s">
        <v>460</v>
      </c>
      <c r="ED71" s="11471"/>
      <c r="EE71" s="11472"/>
      <c r="EF71" s="11472" t="str">
        <f>IF(V71="","",V71)</f>
        <v>Наименование системы теплоснабжения </v>
      </c>
      <c r="EG71" s="11472"/>
      <c r="EH71" s="11472"/>
      <c r="EI71" s="11462">
        <v>0</v>
      </c>
    </row>
    <row s="34284" customFormat="1" customHeight="1" ht="21">
      <c r="A72" s="8474"/>
      <c r="B72" s="8474"/>
      <c r="C72" s="8474"/>
      <c r="D72" s="8474" t="s">
        <v>217</v>
      </c>
      <c r="E72" s="11456"/>
      <c r="F72" s="11456">
        <v>1</v>
      </c>
      <c r="G72" s="11456"/>
      <c r="H72" s="11457">
        <v>1</v>
      </c>
      <c r="I72" s="8474"/>
      <c r="J72" s="8474"/>
      <c r="K72" s="8474"/>
      <c r="L72" s="8474"/>
      <c r="M72" s="11458"/>
      <c r="N72" s="11459"/>
      <c r="O72" s="11459"/>
      <c r="P72" s="11459"/>
      <c r="Q72" s="11474"/>
      <c r="R72" s="11461"/>
      <c r="S72" s="11462"/>
      <c r="T72" s="11463"/>
      <c r="U72" s="11464" t="str">
        <f>INDEX(PT_DIFFERENTIATION_NUM_IST_TE,MATCH(D72,PT_DIFFERENTIATION_IST_TE_ID,0))</f>
        <v>1.2.1.1</v>
      </c>
      <c r="V72" s="11477" t="s">
        <v>461</v>
      </c>
      <c r="W72" s="11466"/>
      <c r="X72" s="11467"/>
      <c r="Y72" s="11468"/>
      <c r="Z72" s="11468"/>
      <c r="AA72" s="11468"/>
      <c r="AB72" s="11468"/>
      <c r="AC72" s="11468"/>
      <c r="AD72" s="11468"/>
      <c r="AE72" s="11468"/>
      <c r="AF72" s="11469"/>
      <c r="AG72" s="11467" t="str">
        <f>INDEX(PT_DIFFERENTIATION_IST_TE,MATCH(D72,PT_DIFFERENTIATION_IST_TE_ID,0))</f>
        <v>без дифференциации</v>
      </c>
      <c r="AH72" s="11468"/>
      <c r="AI72" s="11468"/>
      <c r="AJ72" s="11468"/>
      <c r="AK72" s="11468"/>
      <c r="AL72" s="11468"/>
      <c r="AM72" s="11468"/>
      <c r="AN72" s="11468"/>
      <c r="AO72" s="11468"/>
      <c r="AP72" s="16743"/>
      <c r="AQ72" s="16744"/>
      <c r="AR72" s="16744"/>
      <c r="AS72" s="16744"/>
      <c r="AT72" s="16744"/>
      <c r="AU72" s="16744"/>
      <c r="AV72" s="16744"/>
      <c r="AW72" s="16744"/>
      <c r="AX72" s="16745"/>
      <c r="AY72" s="16743"/>
      <c r="AZ72" s="16744"/>
      <c r="BA72" s="16744"/>
      <c r="BB72" s="16744"/>
      <c r="BC72" s="16744"/>
      <c r="BD72" s="16744"/>
      <c r="BE72" s="16744"/>
      <c r="BF72" s="16744"/>
      <c r="BG72" s="16745"/>
      <c r="BH72" s="16743"/>
      <c r="BI72" s="16744"/>
      <c r="BJ72" s="16744"/>
      <c r="BK72" s="16744"/>
      <c r="BL72" s="16744"/>
      <c r="BM72" s="16744"/>
      <c r="BN72" s="16744"/>
      <c r="BO72" s="16744"/>
      <c r="BP72" s="16745"/>
      <c r="BQ72" s="16743"/>
      <c r="BR72" s="16744"/>
      <c r="BS72" s="16744"/>
      <c r="BT72" s="16744"/>
      <c r="BU72" s="16744"/>
      <c r="BV72" s="16744"/>
      <c r="BW72" s="16744"/>
      <c r="BX72" s="16744"/>
      <c r="BY72" s="16745"/>
      <c r="BZ72" s="16743"/>
      <c r="CA72" s="16744"/>
      <c r="CB72" s="16744"/>
      <c r="CC72" s="16744"/>
      <c r="CD72" s="16744"/>
      <c r="CE72" s="16744"/>
      <c r="CF72" s="16744"/>
      <c r="CG72" s="16744"/>
      <c r="CH72" s="16745"/>
      <c r="CI72" s="16743"/>
      <c r="CJ72" s="16744"/>
      <c r="CK72" s="16744"/>
      <c r="CL72" s="16744"/>
      <c r="CM72" s="16744"/>
      <c r="CN72" s="16744"/>
      <c r="CO72" s="16744"/>
      <c r="CP72" s="16744"/>
      <c r="CQ72" s="16745"/>
      <c r="CR72" s="16743"/>
      <c r="CS72" s="16744"/>
      <c r="CT72" s="16744"/>
      <c r="CU72" s="16744"/>
      <c r="CV72" s="16744"/>
      <c r="CW72" s="16744"/>
      <c r="CX72" s="16744"/>
      <c r="CY72" s="16744"/>
      <c r="CZ72" s="16745"/>
      <c r="DA72" s="16743"/>
      <c r="DB72" s="16744"/>
      <c r="DC72" s="16744"/>
      <c r="DD72" s="16744"/>
      <c r="DE72" s="16744"/>
      <c r="DF72" s="16744"/>
      <c r="DG72" s="16744"/>
      <c r="DH72" s="16744"/>
      <c r="DI72" s="16745"/>
      <c r="DJ72" s="16743"/>
      <c r="DK72" s="16744"/>
      <c r="DL72" s="16744"/>
      <c r="DM72" s="16744"/>
      <c r="DN72" s="16744"/>
      <c r="DO72" s="16744"/>
      <c r="DP72" s="16744"/>
      <c r="DQ72" s="16744"/>
      <c r="DR72" s="16745"/>
      <c r="DS72" s="16743"/>
      <c r="DT72" s="16744"/>
      <c r="DU72" s="16744"/>
      <c r="DV72" s="16744"/>
      <c r="DW72" s="16744"/>
      <c r="DX72" s="16744"/>
      <c r="DY72" s="16744"/>
      <c r="DZ72" s="16744"/>
      <c r="EA72" s="16745"/>
      <c r="EB72" s="11469"/>
      <c r="EC72" s="11470" t="s">
        <v>462</v>
      </c>
      <c r="ED72" s="11471"/>
      <c r="EE72" s="11472"/>
      <c r="EF72" s="11472" t="str">
        <f>IF(V72="","",V72)</f>
        <v>Источник тепловой энергии  </v>
      </c>
      <c r="EG72" s="11472"/>
      <c r="EH72" s="11472"/>
      <c r="EI72" s="11462">
        <v>0</v>
      </c>
    </row>
    <row s="34286" customFormat="1" customHeight="1" ht="14.25">
      <c r="A73" s="8474"/>
      <c r="B73" s="8474"/>
      <c r="C73" s="8474"/>
      <c r="D73" s="8474"/>
      <c r="E73" s="11456"/>
      <c r="F73" s="11456">
        <v>1</v>
      </c>
      <c r="G73" s="11456"/>
      <c r="H73" s="11456"/>
      <c r="I73" s="11479" t="str">
        <f>U72&amp;".1"</f>
        <v>1.2.1.1.1</v>
      </c>
      <c r="J73" s="8474"/>
      <c r="K73" s="8474"/>
      <c r="L73" s="8474"/>
      <c r="M73" s="11458" t="s">
        <v>463</v>
      </c>
      <c r="N73" s="11462"/>
      <c r="O73" s="11480"/>
      <c r="P73" s="11480"/>
      <c r="Q73" s="11481">
        <v>1</v>
      </c>
      <c r="R73" s="11481"/>
      <c r="S73" s="11481"/>
      <c r="T73" s="11482"/>
      <c r="U73" s="11483"/>
      <c r="V73" s="11484"/>
      <c r="W73" s="11485"/>
      <c r="X73" s="11486"/>
      <c r="Y73" s="11487"/>
      <c r="Z73" s="11487"/>
      <c r="AA73" s="11487"/>
      <c r="AB73" s="11487"/>
      <c r="AC73" s="11487"/>
      <c r="AD73" s="11487"/>
      <c r="AE73" s="11487"/>
      <c r="AF73" s="11488"/>
      <c r="AG73" s="11486"/>
      <c r="AH73" s="11487"/>
      <c r="AI73" s="11487"/>
      <c r="AJ73" s="11487"/>
      <c r="AK73" s="11487"/>
      <c r="AL73" s="11487"/>
      <c r="AM73" s="11487"/>
      <c r="AN73" s="11487"/>
      <c r="AO73" s="11487"/>
      <c r="AP73" s="16746"/>
      <c r="AQ73" s="16747"/>
      <c r="AR73" s="16747"/>
      <c r="AS73" s="16747"/>
      <c r="AT73" s="16747"/>
      <c r="AU73" s="16747"/>
      <c r="AV73" s="16747"/>
      <c r="AW73" s="16747"/>
      <c r="AX73" s="16748"/>
      <c r="AY73" s="16746"/>
      <c r="AZ73" s="16747"/>
      <c r="BA73" s="16747"/>
      <c r="BB73" s="16747"/>
      <c r="BC73" s="16747"/>
      <c r="BD73" s="16747"/>
      <c r="BE73" s="16747"/>
      <c r="BF73" s="16747"/>
      <c r="BG73" s="16748"/>
      <c r="BH73" s="16746"/>
      <c r="BI73" s="16747"/>
      <c r="BJ73" s="16747"/>
      <c r="BK73" s="16747"/>
      <c r="BL73" s="16747"/>
      <c r="BM73" s="16747"/>
      <c r="BN73" s="16747"/>
      <c r="BO73" s="16747"/>
      <c r="BP73" s="16748"/>
      <c r="BQ73" s="16746"/>
      <c r="BR73" s="16747"/>
      <c r="BS73" s="16747"/>
      <c r="BT73" s="16747"/>
      <c r="BU73" s="16747"/>
      <c r="BV73" s="16747"/>
      <c r="BW73" s="16747"/>
      <c r="BX73" s="16747"/>
      <c r="BY73" s="16748"/>
      <c r="BZ73" s="16746"/>
      <c r="CA73" s="16747"/>
      <c r="CB73" s="16747"/>
      <c r="CC73" s="16747"/>
      <c r="CD73" s="16747"/>
      <c r="CE73" s="16747"/>
      <c r="CF73" s="16747"/>
      <c r="CG73" s="16747"/>
      <c r="CH73" s="16748"/>
      <c r="CI73" s="16746"/>
      <c r="CJ73" s="16747"/>
      <c r="CK73" s="16747"/>
      <c r="CL73" s="16747"/>
      <c r="CM73" s="16747"/>
      <c r="CN73" s="16747"/>
      <c r="CO73" s="16747"/>
      <c r="CP73" s="16747"/>
      <c r="CQ73" s="16748"/>
      <c r="CR73" s="16746"/>
      <c r="CS73" s="16747"/>
      <c r="CT73" s="16747"/>
      <c r="CU73" s="16747"/>
      <c r="CV73" s="16747"/>
      <c r="CW73" s="16747"/>
      <c r="CX73" s="16747"/>
      <c r="CY73" s="16747"/>
      <c r="CZ73" s="16748"/>
      <c r="DA73" s="16746"/>
      <c r="DB73" s="16747"/>
      <c r="DC73" s="16747"/>
      <c r="DD73" s="16747"/>
      <c r="DE73" s="16747"/>
      <c r="DF73" s="16747"/>
      <c r="DG73" s="16747"/>
      <c r="DH73" s="16747"/>
      <c r="DI73" s="16748"/>
      <c r="DJ73" s="16746"/>
      <c r="DK73" s="16747"/>
      <c r="DL73" s="16747"/>
      <c r="DM73" s="16747"/>
      <c r="DN73" s="16747"/>
      <c r="DO73" s="16747"/>
      <c r="DP73" s="16747"/>
      <c r="DQ73" s="16747"/>
      <c r="DR73" s="16748"/>
      <c r="DS73" s="16746"/>
      <c r="DT73" s="16747"/>
      <c r="DU73" s="16747"/>
      <c r="DV73" s="16747"/>
      <c r="DW73" s="16747"/>
      <c r="DX73" s="16747"/>
      <c r="DY73" s="16747"/>
      <c r="DZ73" s="16747"/>
      <c r="EA73" s="16748"/>
      <c r="EB73" s="11488"/>
      <c r="EC73" s="11489"/>
      <c r="ED73" s="11471"/>
      <c r="EE73" s="11472"/>
      <c r="EF73" s="11472" t="str">
        <f>IF(V73="","",V73)</f>
        <v/>
      </c>
      <c r="EG73" s="11472"/>
      <c r="EH73" s="11472"/>
      <c r="EI73" s="11462">
        <v>0</v>
      </c>
    </row>
    <row s="34298" customFormat="1" customHeight="1" ht="21">
      <c r="A74" s="8474"/>
      <c r="B74" s="8474"/>
      <c r="C74" s="8474"/>
      <c r="D74" s="8474"/>
      <c r="E74" s="11456"/>
      <c r="F74" s="11456">
        <v>1</v>
      </c>
      <c r="G74" s="11456"/>
      <c r="H74" s="11456"/>
      <c r="I74" s="11491"/>
      <c r="J74" s="11479" t="str">
        <f>I73&amp;".1"</f>
        <v>1.2.1.1.1.1</v>
      </c>
      <c r="K74" s="8474"/>
      <c r="L74" s="8474"/>
      <c r="M74" s="11458" t="s">
        <v>466</v>
      </c>
      <c r="N74" s="11462"/>
      <c r="O74" s="11462"/>
      <c r="P74" s="11480"/>
      <c r="Q74" s="11481"/>
      <c r="R74" s="11481">
        <v>1</v>
      </c>
      <c r="S74" s="11471"/>
      <c r="T74" s="11492"/>
      <c r="U74" s="11464" t="str">
        <f>$J74</f>
        <v>1.2.1.1.1.1</v>
      </c>
      <c r="V74" s="11493" t="s">
        <v>467</v>
      </c>
      <c r="W74" s="11466"/>
      <c r="X74" s="11494"/>
      <c r="Y74" s="11495"/>
      <c r="Z74" s="11495"/>
      <c r="AA74" s="11495"/>
      <c r="AB74" s="11495"/>
      <c r="AC74" s="11496"/>
      <c r="AD74" s="11496"/>
      <c r="AE74" s="11496"/>
      <c r="AF74" s="11497"/>
      <c r="AG74" s="11494" t="s">
        <v>535</v>
      </c>
      <c r="AH74" s="11495"/>
      <c r="AI74" s="11495"/>
      <c r="AJ74" s="11495"/>
      <c r="AK74" s="11495"/>
      <c r="AL74" s="11495"/>
      <c r="AM74" s="11495"/>
      <c r="AN74" s="11495"/>
      <c r="AO74" s="11495"/>
      <c r="AP74" s="16750"/>
      <c r="AQ74" s="16751"/>
      <c r="AR74" s="16751"/>
      <c r="AS74" s="16751"/>
      <c r="AT74" s="16751"/>
      <c r="AU74" s="16752"/>
      <c r="AV74" s="16752"/>
      <c r="AW74" s="16752"/>
      <c r="AX74" s="16753"/>
      <c r="AY74" s="16750"/>
      <c r="AZ74" s="16751"/>
      <c r="BA74" s="16751"/>
      <c r="BB74" s="16751"/>
      <c r="BC74" s="16751"/>
      <c r="BD74" s="16752"/>
      <c r="BE74" s="16752"/>
      <c r="BF74" s="16752"/>
      <c r="BG74" s="16753"/>
      <c r="BH74" s="16750"/>
      <c r="BI74" s="16751"/>
      <c r="BJ74" s="16751"/>
      <c r="BK74" s="16751"/>
      <c r="BL74" s="16751"/>
      <c r="BM74" s="16752"/>
      <c r="BN74" s="16752"/>
      <c r="BO74" s="16752"/>
      <c r="BP74" s="16753"/>
      <c r="BQ74" s="16750"/>
      <c r="BR74" s="16751"/>
      <c r="BS74" s="16751"/>
      <c r="BT74" s="16751"/>
      <c r="BU74" s="16751"/>
      <c r="BV74" s="16752"/>
      <c r="BW74" s="16752"/>
      <c r="BX74" s="16752"/>
      <c r="BY74" s="16753"/>
      <c r="BZ74" s="16750"/>
      <c r="CA74" s="16751"/>
      <c r="CB74" s="16751"/>
      <c r="CC74" s="16751"/>
      <c r="CD74" s="16751"/>
      <c r="CE74" s="16752"/>
      <c r="CF74" s="16752"/>
      <c r="CG74" s="16752"/>
      <c r="CH74" s="16753"/>
      <c r="CI74" s="16750"/>
      <c r="CJ74" s="16751"/>
      <c r="CK74" s="16751"/>
      <c r="CL74" s="16751"/>
      <c r="CM74" s="16751"/>
      <c r="CN74" s="16752"/>
      <c r="CO74" s="16752"/>
      <c r="CP74" s="16752"/>
      <c r="CQ74" s="16753"/>
      <c r="CR74" s="16750"/>
      <c r="CS74" s="16751"/>
      <c r="CT74" s="16751"/>
      <c r="CU74" s="16751"/>
      <c r="CV74" s="16751"/>
      <c r="CW74" s="16752"/>
      <c r="CX74" s="16752"/>
      <c r="CY74" s="16752"/>
      <c r="CZ74" s="16753"/>
      <c r="DA74" s="16750"/>
      <c r="DB74" s="16751"/>
      <c r="DC74" s="16751"/>
      <c r="DD74" s="16751"/>
      <c r="DE74" s="16751"/>
      <c r="DF74" s="16752"/>
      <c r="DG74" s="16752"/>
      <c r="DH74" s="16752"/>
      <c r="DI74" s="16753"/>
      <c r="DJ74" s="16750"/>
      <c r="DK74" s="16751"/>
      <c r="DL74" s="16751"/>
      <c r="DM74" s="16751"/>
      <c r="DN74" s="16751"/>
      <c r="DO74" s="16752"/>
      <c r="DP74" s="16752"/>
      <c r="DQ74" s="16752"/>
      <c r="DR74" s="16753"/>
      <c r="DS74" s="16750"/>
      <c r="DT74" s="16751"/>
      <c r="DU74" s="16751"/>
      <c r="DV74" s="16751"/>
      <c r="DW74" s="16751"/>
      <c r="DX74" s="16752"/>
      <c r="DY74" s="16752"/>
      <c r="DZ74" s="16752"/>
      <c r="EA74" s="16753"/>
      <c r="EB74" s="11498"/>
      <c r="EC74" s="11470" t="s">
        <v>468</v>
      </c>
      <c r="ED74" s="11471"/>
      <c r="EE74" s="11472"/>
      <c r="EF74" s="11472" t="str">
        <f>IF(V74="","",V74)</f>
        <v>Группа потребителей</v>
      </c>
      <c r="EG74" s="11472"/>
      <c r="EH74" s="11472"/>
      <c r="EI74" s="11462">
        <v>0</v>
      </c>
    </row>
    <row s="34307" customFormat="1" customHeight="1" ht="21">
      <c r="A75" s="8474"/>
      <c r="B75" s="8474"/>
      <c r="C75" s="8474"/>
      <c r="D75" s="8474"/>
      <c r="E75" s="11456"/>
      <c r="F75" s="11456">
        <v>1</v>
      </c>
      <c r="G75" s="11456"/>
      <c r="H75" s="11456"/>
      <c r="I75" s="11491"/>
      <c r="J75" s="11491"/>
      <c r="K75" s="11479" t="str">
        <f>J74&amp;".1"</f>
        <v>1.2.1.1.1.1.1</v>
      </c>
      <c r="L75" s="11460"/>
      <c r="M75" s="11458" t="s">
        <v>469</v>
      </c>
      <c r="N75" s="11462"/>
      <c r="O75" s="11462"/>
      <c r="P75" s="11462"/>
      <c r="Q75" s="11481"/>
      <c r="R75" s="11481"/>
      <c r="S75" s="11481">
        <v>1</v>
      </c>
      <c r="T75" s="11492"/>
      <c r="U75" s="11464" t="str">
        <f>$K75</f>
        <v>1.2.1.1.1.1.1</v>
      </c>
      <c r="V75" s="11500" t="s">
        <v>508</v>
      </c>
      <c r="W75" s="11466"/>
      <c r="X75" s="17062"/>
      <c r="Y75" s="17062"/>
      <c r="Z75" s="17062"/>
      <c r="AA75" s="17062"/>
      <c r="AB75" s="17063"/>
      <c r="AC75" s="17064"/>
      <c r="AD75" s="17065" t="s">
        <v>64</v>
      </c>
      <c r="AE75" s="17064"/>
      <c r="AF75" s="17065" t="s">
        <v>64</v>
      </c>
      <c r="AG75" s="11504"/>
      <c r="AH75" s="11501">
        <v>21.97</v>
      </c>
      <c r="AI75" s="11501">
        <v>1906.98</v>
      </c>
      <c r="AJ75" s="11501"/>
      <c r="AK75" s="11505"/>
      <c r="AL75" s="16759">
        <v>45292</v>
      </c>
      <c r="AM75" s="8452" t="s">
        <v>64</v>
      </c>
      <c r="AN75" s="16759">
        <v>45473</v>
      </c>
      <c r="AO75" s="8452" t="s">
        <v>64</v>
      </c>
      <c r="AP75" s="16757"/>
      <c r="AQ75" s="16757">
        <v>26.68</v>
      </c>
      <c r="AR75" s="16757">
        <v>2193.03</v>
      </c>
      <c r="AS75" s="16757"/>
      <c r="AT75" s="16758"/>
      <c r="AU75" s="16759">
        <v>45474</v>
      </c>
      <c r="AV75" s="16760" t="s">
        <v>64</v>
      </c>
      <c r="AW75" s="16759">
        <v>45657</v>
      </c>
      <c r="AX75" s="16760" t="s">
        <v>64</v>
      </c>
      <c r="AY75" s="16757"/>
      <c r="AZ75" s="16757">
        <v>26.68</v>
      </c>
      <c r="BA75" s="16757">
        <v>2193.03</v>
      </c>
      <c r="BB75" s="16757"/>
      <c r="BC75" s="16758"/>
      <c r="BD75" s="16759">
        <v>45658</v>
      </c>
      <c r="BE75" s="16760" t="s">
        <v>64</v>
      </c>
      <c r="BF75" s="16759">
        <v>45838</v>
      </c>
      <c r="BG75" s="16760" t="s">
        <v>64</v>
      </c>
      <c r="BH75" s="16757"/>
      <c r="BI75" s="16757">
        <v>29.93</v>
      </c>
      <c r="BJ75" s="16757">
        <v>2460.58</v>
      </c>
      <c r="BK75" s="16757"/>
      <c r="BL75" s="16758"/>
      <c r="BM75" s="16759">
        <v>45839</v>
      </c>
      <c r="BN75" s="16760" t="s">
        <v>64</v>
      </c>
      <c r="BO75" s="16759">
        <v>46022</v>
      </c>
      <c r="BP75" s="16760" t="s">
        <v>64</v>
      </c>
      <c r="BQ75" s="16757"/>
      <c r="BR75" s="16757">
        <v>31.09</v>
      </c>
      <c r="BS75" s="16757">
        <v>2301.63</v>
      </c>
      <c r="BT75" s="16757"/>
      <c r="BU75" s="16758"/>
      <c r="BV75" s="16759">
        <v>46023</v>
      </c>
      <c r="BW75" s="16760" t="s">
        <v>64</v>
      </c>
      <c r="BX75" s="16759">
        <v>46203</v>
      </c>
      <c r="BY75" s="16760" t="s">
        <v>64</v>
      </c>
      <c r="BZ75" s="16757"/>
      <c r="CA75" s="16757">
        <v>36.47</v>
      </c>
      <c r="CB75" s="16757">
        <v>2301.63</v>
      </c>
      <c r="CC75" s="16757"/>
      <c r="CD75" s="16758"/>
      <c r="CE75" s="16759">
        <v>46204</v>
      </c>
      <c r="CF75" s="16760" t="s">
        <v>64</v>
      </c>
      <c r="CG75" s="16759">
        <v>46387</v>
      </c>
      <c r="CH75" s="16760" t="s">
        <v>64</v>
      </c>
      <c r="CI75" s="16757"/>
      <c r="CJ75" s="16757">
        <v>36.47</v>
      </c>
      <c r="CK75" s="16757">
        <v>2301.63</v>
      </c>
      <c r="CL75" s="16757"/>
      <c r="CM75" s="16758"/>
      <c r="CN75" s="16759">
        <v>46388</v>
      </c>
      <c r="CO75" s="16760" t="s">
        <v>64</v>
      </c>
      <c r="CP75" s="16759">
        <v>46568</v>
      </c>
      <c r="CQ75" s="16760" t="s">
        <v>64</v>
      </c>
      <c r="CR75" s="16757"/>
      <c r="CS75" s="16757">
        <v>37.96</v>
      </c>
      <c r="CT75" s="16757">
        <v>2367.79</v>
      </c>
      <c r="CU75" s="16757"/>
      <c r="CV75" s="16758"/>
      <c r="CW75" s="16759">
        <v>46569</v>
      </c>
      <c r="CX75" s="16760" t="s">
        <v>64</v>
      </c>
      <c r="CY75" s="16759">
        <v>46752</v>
      </c>
      <c r="CZ75" s="16760" t="s">
        <v>64</v>
      </c>
      <c r="DA75" s="16757"/>
      <c r="DB75" s="16757">
        <v>37.96</v>
      </c>
      <c r="DC75" s="16757">
        <v>2367.79</v>
      </c>
      <c r="DD75" s="16757"/>
      <c r="DE75" s="16758"/>
      <c r="DF75" s="16759">
        <v>46753</v>
      </c>
      <c r="DG75" s="16760" t="s">
        <v>64</v>
      </c>
      <c r="DH75" s="16759">
        <v>46934</v>
      </c>
      <c r="DI75" s="16760" t="s">
        <v>64</v>
      </c>
      <c r="DJ75" s="16757"/>
      <c r="DK75" s="16757">
        <v>38.93</v>
      </c>
      <c r="DL75" s="16757">
        <v>2400.63</v>
      </c>
      <c r="DM75" s="16757"/>
      <c r="DN75" s="16758"/>
      <c r="DO75" s="16759">
        <v>46935</v>
      </c>
      <c r="DP75" s="16760" t="s">
        <v>64</v>
      </c>
      <c r="DQ75" s="16759">
        <v>47118</v>
      </c>
      <c r="DR75" s="16760" t="s">
        <v>19</v>
      </c>
      <c r="DS75" s="17062"/>
      <c r="DT75" s="17062"/>
      <c r="DU75" s="17062"/>
      <c r="DV75" s="17062"/>
      <c r="DW75" s="17063"/>
      <c r="DX75" s="17064"/>
      <c r="DY75" s="17065" t="s">
        <v>64</v>
      </c>
      <c r="DZ75" s="17064"/>
      <c r="EA75" s="17065" t="s">
        <v>64</v>
      </c>
      <c r="EB75" s="11506"/>
      <c r="EC75" s="11507" t="s">
        <v>523</v>
      </c>
      <c r="ED75" s="11471">
        <f>STRCHECKDATE(X77:EB77)</f>
      </c>
      <c r="EE75" s="11472"/>
      <c r="EF75" s="11472" t="str">
        <f>IF(V75="","",V75)</f>
        <v>вода</v>
      </c>
      <c r="EG75" s="11472"/>
      <c r="EH75" s="11472"/>
      <c r="EI75" s="11462">
        <v>0</v>
      </c>
    </row>
    <row s="34314" customFormat="1" customHeight="1" ht="21">
      <c r="A76" s="8474"/>
      <c r="B76" s="8474"/>
      <c r="C76" s="8474"/>
      <c r="D76" s="8474"/>
      <c r="E76" s="11456"/>
      <c r="F76" s="11456">
        <v>1</v>
      </c>
      <c r="G76" s="11456"/>
      <c r="H76" s="11456"/>
      <c r="I76" s="11491"/>
      <c r="J76" s="11491"/>
      <c r="K76" s="11491"/>
      <c r="L76" s="11479" t="str">
        <f>K75&amp;".1"</f>
        <v>1.2.1.1.1.1.1.1</v>
      </c>
      <c r="M76" s="11458"/>
      <c r="N76" s="11462"/>
      <c r="O76" s="11462"/>
      <c r="P76" s="11462"/>
      <c r="Q76" s="11481"/>
      <c r="R76" s="11481"/>
      <c r="S76" s="11481"/>
      <c r="T76" s="11492"/>
      <c r="U76" s="11464" t="str">
        <f>$L76</f>
        <v>1.2.1.1.1.1.1.1</v>
      </c>
      <c r="V76" s="11509"/>
      <c r="W76" s="11466"/>
      <c r="X76" s="17062"/>
      <c r="Y76" s="17062"/>
      <c r="Z76" s="17062"/>
      <c r="AA76" s="17062"/>
      <c r="AB76" s="17063"/>
      <c r="AC76" s="17064"/>
      <c r="AD76" s="17065"/>
      <c r="AE76" s="17064"/>
      <c r="AF76" s="17065"/>
      <c r="AG76" s="11504"/>
      <c r="AH76" s="11501"/>
      <c r="AI76" s="11501"/>
      <c r="AJ76" s="11501"/>
      <c r="AK76" s="11505"/>
      <c r="AL76" s="11510"/>
      <c r="AM76" s="8452"/>
      <c r="AN76" s="11510"/>
      <c r="AO76" s="8452"/>
      <c r="AP76" s="16764"/>
      <c r="AQ76" s="16757"/>
      <c r="AR76" s="16757"/>
      <c r="AS76" s="16757"/>
      <c r="AT76" s="16758"/>
      <c r="AU76" s="16765"/>
      <c r="AV76" s="16760"/>
      <c r="AW76" s="16765"/>
      <c r="AX76" s="16760"/>
      <c r="AY76" s="16764"/>
      <c r="AZ76" s="16757"/>
      <c r="BA76" s="16757"/>
      <c r="BB76" s="16757"/>
      <c r="BC76" s="16758"/>
      <c r="BD76" s="16765"/>
      <c r="BE76" s="16760"/>
      <c r="BF76" s="16765"/>
      <c r="BG76" s="16760"/>
      <c r="BH76" s="16764"/>
      <c r="BI76" s="16757"/>
      <c r="BJ76" s="16757"/>
      <c r="BK76" s="16757"/>
      <c r="BL76" s="16758"/>
      <c r="BM76" s="16765"/>
      <c r="BN76" s="16760"/>
      <c r="BO76" s="16765"/>
      <c r="BP76" s="16760"/>
      <c r="BQ76" s="16764"/>
      <c r="BR76" s="16757"/>
      <c r="BS76" s="16757"/>
      <c r="BT76" s="16757"/>
      <c r="BU76" s="16758"/>
      <c r="BV76" s="16765"/>
      <c r="BW76" s="16760"/>
      <c r="BX76" s="16765"/>
      <c r="BY76" s="16760"/>
      <c r="BZ76" s="16764"/>
      <c r="CA76" s="16757"/>
      <c r="CB76" s="16757"/>
      <c r="CC76" s="16757"/>
      <c r="CD76" s="16758"/>
      <c r="CE76" s="16765"/>
      <c r="CF76" s="16760"/>
      <c r="CG76" s="16765"/>
      <c r="CH76" s="16760"/>
      <c r="CI76" s="16764"/>
      <c r="CJ76" s="16757"/>
      <c r="CK76" s="16757"/>
      <c r="CL76" s="16757"/>
      <c r="CM76" s="16758"/>
      <c r="CN76" s="16765"/>
      <c r="CO76" s="16760"/>
      <c r="CP76" s="16765"/>
      <c r="CQ76" s="16760"/>
      <c r="CR76" s="16764"/>
      <c r="CS76" s="16757"/>
      <c r="CT76" s="16757"/>
      <c r="CU76" s="16757"/>
      <c r="CV76" s="16758"/>
      <c r="CW76" s="16765"/>
      <c r="CX76" s="16760"/>
      <c r="CY76" s="16765"/>
      <c r="CZ76" s="16760"/>
      <c r="DA76" s="16764"/>
      <c r="DB76" s="16757"/>
      <c r="DC76" s="16757"/>
      <c r="DD76" s="16757"/>
      <c r="DE76" s="16758"/>
      <c r="DF76" s="16765"/>
      <c r="DG76" s="16760"/>
      <c r="DH76" s="16765"/>
      <c r="DI76" s="16760"/>
      <c r="DJ76" s="16764"/>
      <c r="DK76" s="16757"/>
      <c r="DL76" s="16757"/>
      <c r="DM76" s="16757"/>
      <c r="DN76" s="16758"/>
      <c r="DO76" s="16765"/>
      <c r="DP76" s="16760"/>
      <c r="DQ76" s="16765"/>
      <c r="DR76" s="16760"/>
      <c r="DS76" s="17062"/>
      <c r="DT76" s="17062"/>
      <c r="DU76" s="17062"/>
      <c r="DV76" s="17062"/>
      <c r="DW76" s="17063"/>
      <c r="DX76" s="17064"/>
      <c r="DY76" s="17065"/>
      <c r="DZ76" s="17064"/>
      <c r="EA76" s="17065"/>
      <c r="EB76" s="11506"/>
      <c r="EC76" s="11511" t="s">
        <v>524</v>
      </c>
      <c r="ED76" s="11471"/>
      <c r="EE76" s="11472"/>
      <c r="EF76" s="11472"/>
      <c r="EG76" s="11472"/>
      <c r="EH76" s="11472"/>
      <c r="EI76" s="11462">
        <v>0</v>
      </c>
    </row>
    <row s="34318" customFormat="1" customHeight="1" ht="14.25">
      <c r="A77" s="8474"/>
      <c r="B77" s="8474"/>
      <c r="C77" s="8474"/>
      <c r="D77" s="8474"/>
      <c r="E77" s="11456"/>
      <c r="F77" s="11456">
        <v>1</v>
      </c>
      <c r="G77" s="11456"/>
      <c r="H77" s="11456"/>
      <c r="I77" s="11491"/>
      <c r="J77" s="11491"/>
      <c r="K77" s="11491"/>
      <c r="L77" s="11479"/>
      <c r="M77" s="11458"/>
      <c r="N77" s="11462"/>
      <c r="O77" s="11462"/>
      <c r="P77" s="11462"/>
      <c r="Q77" s="11481"/>
      <c r="R77" s="11481"/>
      <c r="S77" s="11481"/>
      <c r="T77" s="11492"/>
      <c r="U77" s="11513"/>
      <c r="V77" s="11466"/>
      <c r="W77" s="11466"/>
      <c r="X77" s="17062"/>
      <c r="Y77" s="17062"/>
      <c r="Z77" s="17062"/>
      <c r="AA77" s="17062"/>
      <c r="AB77" s="17063"/>
      <c r="AC77" s="17064"/>
      <c r="AD77" s="17065"/>
      <c r="AE77" s="17064"/>
      <c r="AF77" s="17065"/>
      <c r="AG77" s="11515"/>
      <c r="AH77" s="11506"/>
      <c r="AI77" s="11506"/>
      <c r="AJ77" s="11506"/>
      <c r="AK77" s="11516" t="str">
        <f>AL75&amp;"-"&amp;AN75</f>
        <v>45292-45473</v>
      </c>
      <c r="AL77" s="11510"/>
      <c r="AM77" s="8452"/>
      <c r="AN77" s="11510"/>
      <c r="AO77" s="8452"/>
      <c r="AP77" s="16764"/>
      <c r="AQ77" s="16764"/>
      <c r="AR77" s="16764"/>
      <c r="AS77" s="16764"/>
      <c r="AT77" s="16768" t="str">
        <f>AU75&amp;"-"&amp;AW75</f>
        <v>45474-45657</v>
      </c>
      <c r="AU77" s="16765"/>
      <c r="AV77" s="16760"/>
      <c r="AW77" s="16765"/>
      <c r="AX77" s="16760"/>
      <c r="AY77" s="16764"/>
      <c r="AZ77" s="16764"/>
      <c r="BA77" s="16764"/>
      <c r="BB77" s="16764"/>
      <c r="BC77" s="16768" t="str">
        <f>BD75&amp;"-"&amp;BF75</f>
        <v>45658-45838</v>
      </c>
      <c r="BD77" s="16765"/>
      <c r="BE77" s="16760"/>
      <c r="BF77" s="16765"/>
      <c r="BG77" s="16760"/>
      <c r="BH77" s="16764"/>
      <c r="BI77" s="16764"/>
      <c r="BJ77" s="16764"/>
      <c r="BK77" s="16764"/>
      <c r="BL77" s="16768" t="str">
        <f>BM75&amp;"-"&amp;BO75</f>
        <v>45839-46022</v>
      </c>
      <c r="BM77" s="16765"/>
      <c r="BN77" s="16760"/>
      <c r="BO77" s="16765"/>
      <c r="BP77" s="16760"/>
      <c r="BQ77" s="16764"/>
      <c r="BR77" s="16764"/>
      <c r="BS77" s="16764"/>
      <c r="BT77" s="16764"/>
      <c r="BU77" s="16768" t="str">
        <f>BV75&amp;"-"&amp;BX75</f>
        <v>46023-46203</v>
      </c>
      <c r="BV77" s="16765"/>
      <c r="BW77" s="16760"/>
      <c r="BX77" s="16765"/>
      <c r="BY77" s="16760"/>
      <c r="BZ77" s="16764"/>
      <c r="CA77" s="16764"/>
      <c r="CB77" s="16764"/>
      <c r="CC77" s="16764"/>
      <c r="CD77" s="16768" t="str">
        <f>CE75&amp;"-"&amp;CG75</f>
        <v>46204-46387</v>
      </c>
      <c r="CE77" s="16765"/>
      <c r="CF77" s="16760"/>
      <c r="CG77" s="16765"/>
      <c r="CH77" s="16760"/>
      <c r="CI77" s="16764"/>
      <c r="CJ77" s="16764"/>
      <c r="CK77" s="16764"/>
      <c r="CL77" s="16764"/>
      <c r="CM77" s="16768" t="str">
        <f>CN75&amp;"-"&amp;CP75</f>
        <v>46388-46568</v>
      </c>
      <c r="CN77" s="16765"/>
      <c r="CO77" s="16760"/>
      <c r="CP77" s="16765"/>
      <c r="CQ77" s="16760"/>
      <c r="CR77" s="16764"/>
      <c r="CS77" s="16764"/>
      <c r="CT77" s="16764"/>
      <c r="CU77" s="16764"/>
      <c r="CV77" s="16768" t="str">
        <f>CW75&amp;"-"&amp;CY75</f>
        <v>46569-46752</v>
      </c>
      <c r="CW77" s="16765"/>
      <c r="CX77" s="16760"/>
      <c r="CY77" s="16765"/>
      <c r="CZ77" s="16760"/>
      <c r="DA77" s="16764"/>
      <c r="DB77" s="16764"/>
      <c r="DC77" s="16764"/>
      <c r="DD77" s="16764"/>
      <c r="DE77" s="16768" t="str">
        <f>DF75&amp;"-"&amp;DH75</f>
        <v>46753-46934</v>
      </c>
      <c r="DF77" s="16765"/>
      <c r="DG77" s="16760"/>
      <c r="DH77" s="16765"/>
      <c r="DI77" s="16760"/>
      <c r="DJ77" s="16764"/>
      <c r="DK77" s="16764"/>
      <c r="DL77" s="16764"/>
      <c r="DM77" s="16764"/>
      <c r="DN77" s="16768" t="str">
        <f>DO75&amp;"-"&amp;DQ75</f>
        <v>46935-47118</v>
      </c>
      <c r="DO77" s="16765"/>
      <c r="DP77" s="16760"/>
      <c r="DQ77" s="16765"/>
      <c r="DR77" s="16760"/>
      <c r="DS77" s="17062"/>
      <c r="DT77" s="17062"/>
      <c r="DU77" s="17062"/>
      <c r="DV77" s="17062"/>
      <c r="DW77" s="17063"/>
      <c r="DX77" s="17064"/>
      <c r="DY77" s="17065"/>
      <c r="DZ77" s="17064"/>
      <c r="EA77" s="17065"/>
      <c r="EB77" s="11506"/>
      <c r="EC77" s="11517"/>
      <c r="ED77" s="11471"/>
      <c r="EE77" s="11472"/>
      <c r="EF77" s="11472" t="str">
        <f>IF(V77="","",V77)</f>
        <v/>
      </c>
      <c r="EG77" s="11472"/>
      <c r="EH77" s="11472"/>
      <c r="EI77" s="11462">
        <v>0</v>
      </c>
    </row>
    <row s="34323" customFormat="1" customHeight="1" ht="11.25">
      <c r="A78" s="8474"/>
      <c r="B78" s="8474"/>
      <c r="C78" s="8474"/>
      <c r="D78" s="8474"/>
      <c r="E78" s="11456"/>
      <c r="F78" s="11456">
        <v>1</v>
      </c>
      <c r="G78" s="11456"/>
      <c r="H78" s="11456"/>
      <c r="I78" s="11491"/>
      <c r="J78" s="11491"/>
      <c r="K78" s="11479"/>
      <c r="L78" s="8474"/>
      <c r="M78" s="11458"/>
      <c r="N78" s="11462"/>
      <c r="O78" s="11462"/>
      <c r="P78" s="11462"/>
      <c r="Q78" s="11481"/>
      <c r="R78" s="11481"/>
      <c r="S78" s="11481"/>
      <c r="T78" s="11492"/>
      <c r="U78" s="11519"/>
      <c r="V78" s="11520" t="s">
        <v>525</v>
      </c>
      <c r="W78" s="11521"/>
      <c r="X78" s="17062"/>
      <c r="Y78" s="17062"/>
      <c r="Z78" s="17062"/>
      <c r="AA78" s="17062"/>
      <c r="AB78" s="17069" t="str">
        <f>AC75&amp;"-"&amp;AE75</f>
        <v>-</v>
      </c>
      <c r="AC78" s="17065"/>
      <c r="AD78" s="17065"/>
      <c r="AE78" s="17065"/>
      <c r="AF78" s="17065"/>
      <c r="AG78" s="11527"/>
      <c r="AH78" s="11528"/>
      <c r="AI78" s="11529"/>
      <c r="AJ78" s="11530"/>
      <c r="AK78" s="11531"/>
      <c r="AL78" s="11510"/>
      <c r="AM78" s="8452"/>
      <c r="AN78" s="11510"/>
      <c r="AO78" s="8452"/>
      <c r="AP78" s="17534"/>
      <c r="AQ78" s="17535"/>
      <c r="AR78" s="17536"/>
      <c r="AS78" s="17537"/>
      <c r="AT78" s="17538"/>
      <c r="AU78" s="16765"/>
      <c r="AV78" s="16760"/>
      <c r="AW78" s="16765"/>
      <c r="AX78" s="16760"/>
      <c r="AY78" s="17539"/>
      <c r="AZ78" s="17540"/>
      <c r="BA78" s="17541"/>
      <c r="BB78" s="17542"/>
      <c r="BC78" s="17543"/>
      <c r="BD78" s="16765"/>
      <c r="BE78" s="16760"/>
      <c r="BF78" s="16765"/>
      <c r="BG78" s="16760"/>
      <c r="BH78" s="17544"/>
      <c r="BI78" s="17545"/>
      <c r="BJ78" s="17546"/>
      <c r="BK78" s="17547"/>
      <c r="BL78" s="17548"/>
      <c r="BM78" s="16765"/>
      <c r="BN78" s="16760"/>
      <c r="BO78" s="16765"/>
      <c r="BP78" s="16760"/>
      <c r="BQ78" s="17549"/>
      <c r="BR78" s="17550"/>
      <c r="BS78" s="17551"/>
      <c r="BT78" s="17552"/>
      <c r="BU78" s="17553"/>
      <c r="BV78" s="16765"/>
      <c r="BW78" s="16760"/>
      <c r="BX78" s="16765"/>
      <c r="BY78" s="16760"/>
      <c r="BZ78" s="17554"/>
      <c r="CA78" s="17555"/>
      <c r="CB78" s="17556"/>
      <c r="CC78" s="17557"/>
      <c r="CD78" s="17558"/>
      <c r="CE78" s="16765"/>
      <c r="CF78" s="16760"/>
      <c r="CG78" s="16765"/>
      <c r="CH78" s="16760"/>
      <c r="CI78" s="17559"/>
      <c r="CJ78" s="17560"/>
      <c r="CK78" s="17561"/>
      <c r="CL78" s="17562"/>
      <c r="CM78" s="17563"/>
      <c r="CN78" s="16765"/>
      <c r="CO78" s="16760"/>
      <c r="CP78" s="16765"/>
      <c r="CQ78" s="16760"/>
      <c r="CR78" s="17564"/>
      <c r="CS78" s="17565"/>
      <c r="CT78" s="17566"/>
      <c r="CU78" s="17567"/>
      <c r="CV78" s="17568"/>
      <c r="CW78" s="16765"/>
      <c r="CX78" s="16760"/>
      <c r="CY78" s="16765"/>
      <c r="CZ78" s="16760"/>
      <c r="DA78" s="17569"/>
      <c r="DB78" s="17570"/>
      <c r="DC78" s="17571"/>
      <c r="DD78" s="17572"/>
      <c r="DE78" s="17573"/>
      <c r="DF78" s="16765"/>
      <c r="DG78" s="16760"/>
      <c r="DH78" s="16765"/>
      <c r="DI78" s="16760"/>
      <c r="DJ78" s="17574"/>
      <c r="DK78" s="17575"/>
      <c r="DL78" s="17576"/>
      <c r="DM78" s="17577"/>
      <c r="DN78" s="17578"/>
      <c r="DO78" s="16765"/>
      <c r="DP78" s="16760"/>
      <c r="DQ78" s="16765"/>
      <c r="DR78" s="16760"/>
      <c r="DS78" s="17062"/>
      <c r="DT78" s="17062"/>
      <c r="DU78" s="17062"/>
      <c r="DV78" s="17062"/>
      <c r="DW78" s="17069" t="str">
        <f>DX75&amp;"-"&amp;DZ75</f>
        <v>-</v>
      </c>
      <c r="DX78" s="17065"/>
      <c r="DY78" s="17065"/>
      <c r="DZ78" s="17065"/>
      <c r="EA78" s="17065"/>
      <c r="EB78" s="11532"/>
      <c r="EC78" s="11517"/>
      <c r="ED78" s="11471"/>
      <c r="EE78" s="11472"/>
      <c r="EF78" s="11472"/>
      <c r="EG78" s="11472"/>
      <c r="EH78" s="11472"/>
      <c r="EI78" s="11462">
        <v>0</v>
      </c>
    </row>
    <row s="34378" customFormat="1" customHeight="1" ht="15">
      <c r="A79" s="8474"/>
      <c r="B79" s="8474"/>
      <c r="C79" s="8474"/>
      <c r="D79" s="8474"/>
      <c r="E79" s="11456"/>
      <c r="F79" s="11456">
        <v>1</v>
      </c>
      <c r="G79" s="11456"/>
      <c r="H79" s="11456"/>
      <c r="I79" s="11491"/>
      <c r="J79" s="11479"/>
      <c r="K79" s="8474"/>
      <c r="L79" s="8474"/>
      <c r="M79" s="11458"/>
      <c r="N79" s="11462"/>
      <c r="O79" s="11462"/>
      <c r="P79" s="11480"/>
      <c r="Q79" s="11481"/>
      <c r="R79" s="11481"/>
      <c r="S79" s="11481"/>
      <c r="T79" s="11482"/>
      <c r="U79" s="11534"/>
      <c r="V79" s="11535" t="s">
        <v>471</v>
      </c>
      <c r="W79" s="11536"/>
      <c r="X79" s="11537"/>
      <c r="Y79" s="11538"/>
      <c r="Z79" s="11539"/>
      <c r="AA79" s="11540"/>
      <c r="AB79" s="11541"/>
      <c r="AC79" s="11542"/>
      <c r="AD79" s="11543"/>
      <c r="AE79" s="11544"/>
      <c r="AF79" s="11545"/>
      <c r="AG79" s="11546"/>
      <c r="AH79" s="11547"/>
      <c r="AI79" s="11548"/>
      <c r="AJ79" s="11549"/>
      <c r="AK79" s="11550"/>
      <c r="AL79" s="11551"/>
      <c r="AM79" s="11552"/>
      <c r="AN79" s="11553"/>
      <c r="AO79" s="11554"/>
      <c r="AP79" s="17602"/>
      <c r="AQ79" s="17603"/>
      <c r="AR79" s="17604"/>
      <c r="AS79" s="17605"/>
      <c r="AT79" s="17606"/>
      <c r="AU79" s="17607"/>
      <c r="AV79" s="17608"/>
      <c r="AW79" s="17609"/>
      <c r="AX79" s="17610"/>
      <c r="AY79" s="17611"/>
      <c r="AZ79" s="17612"/>
      <c r="BA79" s="17613"/>
      <c r="BB79" s="17614"/>
      <c r="BC79" s="17615"/>
      <c r="BD79" s="17616"/>
      <c r="BE79" s="17617"/>
      <c r="BF79" s="17618"/>
      <c r="BG79" s="17619"/>
      <c r="BH79" s="17620"/>
      <c r="BI79" s="17621"/>
      <c r="BJ79" s="17622"/>
      <c r="BK79" s="17623"/>
      <c r="BL79" s="17624"/>
      <c r="BM79" s="17625"/>
      <c r="BN79" s="17626"/>
      <c r="BO79" s="17627"/>
      <c r="BP79" s="17628"/>
      <c r="BQ79" s="17629"/>
      <c r="BR79" s="17630"/>
      <c r="BS79" s="17631"/>
      <c r="BT79" s="17632"/>
      <c r="BU79" s="17633"/>
      <c r="BV79" s="17634"/>
      <c r="BW79" s="17635"/>
      <c r="BX79" s="17636"/>
      <c r="BY79" s="17637"/>
      <c r="BZ79" s="17638"/>
      <c r="CA79" s="17639"/>
      <c r="CB79" s="17640"/>
      <c r="CC79" s="17641"/>
      <c r="CD79" s="17642"/>
      <c r="CE79" s="17643"/>
      <c r="CF79" s="17644"/>
      <c r="CG79" s="17645"/>
      <c r="CH79" s="17646"/>
      <c r="CI79" s="17647"/>
      <c r="CJ79" s="17648"/>
      <c r="CK79" s="17649"/>
      <c r="CL79" s="17650"/>
      <c r="CM79" s="17651"/>
      <c r="CN79" s="17652"/>
      <c r="CO79" s="17653"/>
      <c r="CP79" s="17654"/>
      <c r="CQ79" s="17655"/>
      <c r="CR79" s="17656"/>
      <c r="CS79" s="17657"/>
      <c r="CT79" s="17658"/>
      <c r="CU79" s="17659"/>
      <c r="CV79" s="17660"/>
      <c r="CW79" s="17661"/>
      <c r="CX79" s="17662"/>
      <c r="CY79" s="17663"/>
      <c r="CZ79" s="17664"/>
      <c r="DA79" s="17665"/>
      <c r="DB79" s="17666"/>
      <c r="DC79" s="17667"/>
      <c r="DD79" s="17668"/>
      <c r="DE79" s="17669"/>
      <c r="DF79" s="17670"/>
      <c r="DG79" s="17671"/>
      <c r="DH79" s="17672"/>
      <c r="DI79" s="17673"/>
      <c r="DJ79" s="17674"/>
      <c r="DK79" s="17675"/>
      <c r="DL79" s="17676"/>
      <c r="DM79" s="17677"/>
      <c r="DN79" s="17678"/>
      <c r="DO79" s="17679"/>
      <c r="DP79" s="17680"/>
      <c r="DQ79" s="17681"/>
      <c r="DR79" s="17682"/>
      <c r="DS79" s="17683"/>
      <c r="DT79" s="17684"/>
      <c r="DU79" s="17685"/>
      <c r="DV79" s="17686"/>
      <c r="DW79" s="17687"/>
      <c r="DX79" s="17688"/>
      <c r="DY79" s="17689"/>
      <c r="DZ79" s="17690"/>
      <c r="EA79" s="17691"/>
      <c r="EB79" s="11555"/>
      <c r="EC79" s="11556"/>
      <c r="ED79" s="11471"/>
      <c r="EE79" s="11472"/>
      <c r="EF79" s="11472" t="str">
        <f>IF(V79="","",V79)</f>
        <v>Добавить вид теплоносителя (параметры теплоносителя)</v>
      </c>
      <c r="EG79" s="11472"/>
      <c r="EH79" s="11472"/>
      <c r="EI79" s="11462">
        <v>0</v>
      </c>
    </row>
    <row s="34492" customFormat="1" customHeight="1" ht="21">
      <c r="A80" s="17181"/>
      <c r="B80" s="17181"/>
      <c r="C80" s="17181"/>
      <c r="D80" s="17181"/>
      <c r="E80" s="17182"/>
      <c r="F80" s="17182"/>
      <c r="G80" s="17182"/>
      <c r="H80" s="17182"/>
      <c r="I80" s="17183"/>
      <c r="J80" s="17018" t="str">
        <f>I73&amp;".2"</f>
        <v>1.2.1.1.1.2</v>
      </c>
      <c r="K80" s="17181"/>
      <c r="L80" s="17181"/>
      <c r="M80" s="17184" t="s">
        <v>466</v>
      </c>
      <c r="N80" s="16741"/>
      <c r="O80" s="16741"/>
      <c r="P80" s="17185"/>
      <c r="Q80" s="17186"/>
      <c r="R80" s="17187" t="s">
        <v>106</v>
      </c>
      <c r="S80" s="17016"/>
      <c r="T80" s="17188"/>
      <c r="U80" s="17189" t="str">
        <f>$J80</f>
        <v>1.2.1.1.1.2</v>
      </c>
      <c r="V80" s="17190" t="s">
        <v>467</v>
      </c>
      <c r="W80" s="17191"/>
      <c r="X80" s="16750"/>
      <c r="Y80" s="16751"/>
      <c r="Z80" s="16751"/>
      <c r="AA80" s="16751"/>
      <c r="AB80" s="16751"/>
      <c r="AC80" s="16752"/>
      <c r="AD80" s="16752"/>
      <c r="AE80" s="16752"/>
      <c r="AF80" s="16753"/>
      <c r="AG80" s="16750" t="s">
        <v>510</v>
      </c>
      <c r="AH80" s="16751"/>
      <c r="AI80" s="16751"/>
      <c r="AJ80" s="16751"/>
      <c r="AK80" s="16751"/>
      <c r="AL80" s="16751"/>
      <c r="AM80" s="16751"/>
      <c r="AN80" s="16751"/>
      <c r="AO80" s="16751"/>
      <c r="AP80" s="16750"/>
      <c r="AQ80" s="16751"/>
      <c r="AR80" s="16751"/>
      <c r="AS80" s="16751"/>
      <c r="AT80" s="16751"/>
      <c r="AU80" s="16752"/>
      <c r="AV80" s="16752"/>
      <c r="AW80" s="16752"/>
      <c r="AX80" s="16753"/>
      <c r="AY80" s="16750"/>
      <c r="AZ80" s="16751"/>
      <c r="BA80" s="16751"/>
      <c r="BB80" s="16751"/>
      <c r="BC80" s="16751"/>
      <c r="BD80" s="16752"/>
      <c r="BE80" s="16752"/>
      <c r="BF80" s="16752"/>
      <c r="BG80" s="16753"/>
      <c r="BH80" s="16750"/>
      <c r="BI80" s="16751"/>
      <c r="BJ80" s="16751"/>
      <c r="BK80" s="16751"/>
      <c r="BL80" s="16751"/>
      <c r="BM80" s="16752"/>
      <c r="BN80" s="16752"/>
      <c r="BO80" s="16752"/>
      <c r="BP80" s="16753"/>
      <c r="BQ80" s="16750"/>
      <c r="BR80" s="16751"/>
      <c r="BS80" s="16751"/>
      <c r="BT80" s="16751"/>
      <c r="BU80" s="16751"/>
      <c r="BV80" s="16752"/>
      <c r="BW80" s="16752"/>
      <c r="BX80" s="16752"/>
      <c r="BY80" s="16753"/>
      <c r="BZ80" s="16750"/>
      <c r="CA80" s="16751"/>
      <c r="CB80" s="16751"/>
      <c r="CC80" s="16751"/>
      <c r="CD80" s="16751"/>
      <c r="CE80" s="16752"/>
      <c r="CF80" s="16752"/>
      <c r="CG80" s="16752"/>
      <c r="CH80" s="16753"/>
      <c r="CI80" s="16750"/>
      <c r="CJ80" s="16751"/>
      <c r="CK80" s="16751"/>
      <c r="CL80" s="16751"/>
      <c r="CM80" s="16751"/>
      <c r="CN80" s="16752"/>
      <c r="CO80" s="16752"/>
      <c r="CP80" s="16752"/>
      <c r="CQ80" s="16753"/>
      <c r="CR80" s="16750"/>
      <c r="CS80" s="16751"/>
      <c r="CT80" s="16751"/>
      <c r="CU80" s="16751"/>
      <c r="CV80" s="16751"/>
      <c r="CW80" s="16752"/>
      <c r="CX80" s="16752"/>
      <c r="CY80" s="16752"/>
      <c r="CZ80" s="16753"/>
      <c r="DA80" s="16750"/>
      <c r="DB80" s="16751"/>
      <c r="DC80" s="16751"/>
      <c r="DD80" s="16751"/>
      <c r="DE80" s="16751"/>
      <c r="DF80" s="16752"/>
      <c r="DG80" s="16752"/>
      <c r="DH80" s="16752"/>
      <c r="DI80" s="16753"/>
      <c r="DJ80" s="16750"/>
      <c r="DK80" s="16751"/>
      <c r="DL80" s="16751"/>
      <c r="DM80" s="16751"/>
      <c r="DN80" s="16751"/>
      <c r="DO80" s="16752"/>
      <c r="DP80" s="16752"/>
      <c r="DQ80" s="16752"/>
      <c r="DR80" s="16753"/>
      <c r="DS80" s="16750"/>
      <c r="DT80" s="16751"/>
      <c r="DU80" s="16751"/>
      <c r="DV80" s="16751"/>
      <c r="DW80" s="16751"/>
      <c r="DX80" s="16752"/>
      <c r="DY80" s="16752"/>
      <c r="DZ80" s="16752"/>
      <c r="EA80" s="16753"/>
      <c r="EB80" s="17192"/>
      <c r="EC80" s="17193" t="s">
        <v>468</v>
      </c>
      <c r="ED80" s="17016"/>
      <c r="EE80" s="17194"/>
      <c r="EF80" s="17194" t="str">
        <f>IF(V80="","",V80)</f>
        <v>Группа потребителей</v>
      </c>
      <c r="EG80" s="17194"/>
      <c r="EH80" s="17194"/>
      <c r="EI80" s="16741">
        <v>0</v>
      </c>
    </row>
    <row s="34493" customFormat="1" customHeight="1" ht="21">
      <c r="A81" s="17181"/>
      <c r="B81" s="17181"/>
      <c r="C81" s="17181"/>
      <c r="D81" s="17181"/>
      <c r="E81" s="17182"/>
      <c r="F81" s="17182"/>
      <c r="G81" s="17182"/>
      <c r="H81" s="17182"/>
      <c r="I81" s="17183"/>
      <c r="J81" s="17183" t="str">
        <f>I73&amp;".1"</f>
        <v>1.2.1.1.1.1</v>
      </c>
      <c r="K81" s="17018" t="str">
        <f>J80&amp;".1"</f>
        <v>1.2.1.1.1.2.1</v>
      </c>
      <c r="L81" s="17196"/>
      <c r="M81" s="17184" t="s">
        <v>469</v>
      </c>
      <c r="N81" s="16741"/>
      <c r="O81" s="16741"/>
      <c r="P81" s="16741"/>
      <c r="Q81" s="17186"/>
      <c r="R81" s="17186"/>
      <c r="S81" s="17186">
        <v>1</v>
      </c>
      <c r="T81" s="17188"/>
      <c r="U81" s="17189" t="str">
        <f>$K81</f>
        <v>1.2.1.1.1.2.1</v>
      </c>
      <c r="V81" s="17197" t="s">
        <v>508</v>
      </c>
      <c r="W81" s="17191"/>
      <c r="X81" s="17062"/>
      <c r="Y81" s="17062"/>
      <c r="Z81" s="17062"/>
      <c r="AA81" s="17062"/>
      <c r="AB81" s="17063"/>
      <c r="AC81" s="17064"/>
      <c r="AD81" s="17065" t="s">
        <v>64</v>
      </c>
      <c r="AE81" s="17064"/>
      <c r="AF81" s="17065" t="s">
        <v>64</v>
      </c>
      <c r="AG81" s="17066"/>
      <c r="AH81" s="16757">
        <v>26.37</v>
      </c>
      <c r="AI81" s="16757">
        <v>2288.38</v>
      </c>
      <c r="AJ81" s="16757"/>
      <c r="AK81" s="17067"/>
      <c r="AL81" s="16759">
        <v>45292</v>
      </c>
      <c r="AM81" s="16760" t="s">
        <v>64</v>
      </c>
      <c r="AN81" s="16759">
        <v>45473</v>
      </c>
      <c r="AO81" s="16760" t="s">
        <v>64</v>
      </c>
      <c r="AP81" s="16757"/>
      <c r="AQ81" s="16757">
        <v>32.01</v>
      </c>
      <c r="AR81" s="16757">
        <v>2631.64</v>
      </c>
      <c r="AS81" s="16757"/>
      <c r="AT81" s="16758"/>
      <c r="AU81" s="16759">
        <v>45474</v>
      </c>
      <c r="AV81" s="16760" t="s">
        <v>64</v>
      </c>
      <c r="AW81" s="16759">
        <v>45657</v>
      </c>
      <c r="AX81" s="16760" t="s">
        <v>64</v>
      </c>
      <c r="AY81" s="16757"/>
      <c r="AZ81" s="16757">
        <v>32.01</v>
      </c>
      <c r="BA81" s="16757">
        <v>2631.64</v>
      </c>
      <c r="BB81" s="16757"/>
      <c r="BC81" s="16758"/>
      <c r="BD81" s="16759">
        <v>45658</v>
      </c>
      <c r="BE81" s="16760" t="s">
        <v>64</v>
      </c>
      <c r="BF81" s="16759">
        <v>45838</v>
      </c>
      <c r="BG81" s="16760" t="s">
        <v>64</v>
      </c>
      <c r="BH81" s="16757"/>
      <c r="BI81" s="16757">
        <v>35.92</v>
      </c>
      <c r="BJ81" s="16757">
        <v>2952.7</v>
      </c>
      <c r="BK81" s="16757"/>
      <c r="BL81" s="16758"/>
      <c r="BM81" s="16759">
        <v>45839</v>
      </c>
      <c r="BN81" s="16760" t="s">
        <v>64</v>
      </c>
      <c r="BO81" s="16759">
        <v>46022</v>
      </c>
      <c r="BP81" s="16760" t="s">
        <v>64</v>
      </c>
      <c r="BQ81" s="16757"/>
      <c r="BR81" s="16757">
        <v>37.31</v>
      </c>
      <c r="BS81" s="16757">
        <v>2761.96</v>
      </c>
      <c r="BT81" s="16757"/>
      <c r="BU81" s="16758"/>
      <c r="BV81" s="16759">
        <v>46023</v>
      </c>
      <c r="BW81" s="16760" t="s">
        <v>64</v>
      </c>
      <c r="BX81" s="16759">
        <v>46203</v>
      </c>
      <c r="BY81" s="16760" t="s">
        <v>64</v>
      </c>
      <c r="BZ81" s="16757"/>
      <c r="CA81" s="16757">
        <v>43.77</v>
      </c>
      <c r="CB81" s="16757">
        <v>2761.96</v>
      </c>
      <c r="CC81" s="16757"/>
      <c r="CD81" s="16758"/>
      <c r="CE81" s="16759">
        <v>46204</v>
      </c>
      <c r="CF81" s="16760" t="s">
        <v>64</v>
      </c>
      <c r="CG81" s="16759">
        <v>46387</v>
      </c>
      <c r="CH81" s="16760" t="s">
        <v>64</v>
      </c>
      <c r="CI81" s="16757"/>
      <c r="CJ81" s="16757">
        <v>43.77</v>
      </c>
      <c r="CK81" s="16757">
        <v>2761.96</v>
      </c>
      <c r="CL81" s="16757"/>
      <c r="CM81" s="16758"/>
      <c r="CN81" s="16759">
        <v>46388</v>
      </c>
      <c r="CO81" s="16760" t="s">
        <v>64</v>
      </c>
      <c r="CP81" s="16759">
        <v>46568</v>
      </c>
      <c r="CQ81" s="16760" t="s">
        <v>64</v>
      </c>
      <c r="CR81" s="16757"/>
      <c r="CS81" s="16757">
        <v>45.55</v>
      </c>
      <c r="CT81" s="16757">
        <v>2841.34</v>
      </c>
      <c r="CU81" s="16757"/>
      <c r="CV81" s="16758"/>
      <c r="CW81" s="16759">
        <v>46569</v>
      </c>
      <c r="CX81" s="16760" t="s">
        <v>64</v>
      </c>
      <c r="CY81" s="16759">
        <v>46752</v>
      </c>
      <c r="CZ81" s="16760" t="s">
        <v>64</v>
      </c>
      <c r="DA81" s="16757"/>
      <c r="DB81" s="16757">
        <v>45.55</v>
      </c>
      <c r="DC81" s="16757">
        <v>2841.34</v>
      </c>
      <c r="DD81" s="16757"/>
      <c r="DE81" s="16758"/>
      <c r="DF81" s="16759">
        <v>46753</v>
      </c>
      <c r="DG81" s="16760" t="s">
        <v>64</v>
      </c>
      <c r="DH81" s="16759">
        <v>46934</v>
      </c>
      <c r="DI81" s="16760" t="s">
        <v>64</v>
      </c>
      <c r="DJ81" s="16757"/>
      <c r="DK81" s="16757">
        <v>46.71</v>
      </c>
      <c r="DL81" s="16757">
        <v>2880.76</v>
      </c>
      <c r="DM81" s="16757"/>
      <c r="DN81" s="16758"/>
      <c r="DO81" s="16759">
        <v>46935</v>
      </c>
      <c r="DP81" s="16760" t="s">
        <v>64</v>
      </c>
      <c r="DQ81" s="16759">
        <v>47118</v>
      </c>
      <c r="DR81" s="16760" t="s">
        <v>19</v>
      </c>
      <c r="DS81" s="17062"/>
      <c r="DT81" s="17062"/>
      <c r="DU81" s="17062"/>
      <c r="DV81" s="17062"/>
      <c r="DW81" s="17063"/>
      <c r="DX81" s="17064"/>
      <c r="DY81" s="17065" t="s">
        <v>64</v>
      </c>
      <c r="DZ81" s="17064"/>
      <c r="EA81" s="17065" t="s">
        <v>64</v>
      </c>
      <c r="EB81" s="16764"/>
      <c r="EC81" s="17198" t="s">
        <v>523</v>
      </c>
      <c r="ED81" s="17016">
        <f>STRCHECKDATE(X83:EB83)</f>
      </c>
      <c r="EE81" s="17194"/>
      <c r="EF81" s="17194" t="str">
        <f>IF(V81="","",V81)</f>
        <v>вода</v>
      </c>
      <c r="EG81" s="17194"/>
      <c r="EH81" s="17194"/>
      <c r="EI81" s="16741">
        <v>0</v>
      </c>
    </row>
    <row s="34494" customFormat="1" customHeight="1" ht="21">
      <c r="A82" s="17181"/>
      <c r="B82" s="17181"/>
      <c r="C82" s="17181"/>
      <c r="D82" s="17181"/>
      <c r="E82" s="17182"/>
      <c r="F82" s="17182"/>
      <c r="G82" s="17182"/>
      <c r="H82" s="17182"/>
      <c r="I82" s="17183"/>
      <c r="J82" s="17183" t="str">
        <f>I73&amp;".1"</f>
        <v>1.2.1.1.1.1</v>
      </c>
      <c r="K82" s="17183"/>
      <c r="L82" s="17018" t="str">
        <f>K81&amp;".1"</f>
        <v>1.2.1.1.1.2.1.1</v>
      </c>
      <c r="M82" s="17184"/>
      <c r="N82" s="16741"/>
      <c r="O82" s="16741"/>
      <c r="P82" s="16741"/>
      <c r="Q82" s="17186"/>
      <c r="R82" s="17186"/>
      <c r="S82" s="17186"/>
      <c r="T82" s="17188"/>
      <c r="U82" s="17189" t="str">
        <f>$L82</f>
        <v>1.2.1.1.1.2.1.1</v>
      </c>
      <c r="V82" s="17200"/>
      <c r="W82" s="17191"/>
      <c r="X82" s="17062"/>
      <c r="Y82" s="17062"/>
      <c r="Z82" s="17062"/>
      <c r="AA82" s="17062"/>
      <c r="AB82" s="17063"/>
      <c r="AC82" s="17064"/>
      <c r="AD82" s="17065"/>
      <c r="AE82" s="17064"/>
      <c r="AF82" s="17065"/>
      <c r="AG82" s="17066"/>
      <c r="AH82" s="16757"/>
      <c r="AI82" s="16757"/>
      <c r="AJ82" s="16757"/>
      <c r="AK82" s="17067"/>
      <c r="AL82" s="16765"/>
      <c r="AM82" s="16760"/>
      <c r="AN82" s="16765"/>
      <c r="AO82" s="16760"/>
      <c r="AP82" s="16764"/>
      <c r="AQ82" s="16757"/>
      <c r="AR82" s="16757"/>
      <c r="AS82" s="16757"/>
      <c r="AT82" s="16758"/>
      <c r="AU82" s="16765"/>
      <c r="AV82" s="16760"/>
      <c r="AW82" s="16765"/>
      <c r="AX82" s="16760"/>
      <c r="AY82" s="16764"/>
      <c r="AZ82" s="16757"/>
      <c r="BA82" s="16757"/>
      <c r="BB82" s="16757"/>
      <c r="BC82" s="16758"/>
      <c r="BD82" s="16765"/>
      <c r="BE82" s="16760"/>
      <c r="BF82" s="16765"/>
      <c r="BG82" s="16760"/>
      <c r="BH82" s="16764"/>
      <c r="BI82" s="16757"/>
      <c r="BJ82" s="16757"/>
      <c r="BK82" s="16757"/>
      <c r="BL82" s="16758"/>
      <c r="BM82" s="16765"/>
      <c r="BN82" s="16760"/>
      <c r="BO82" s="16765"/>
      <c r="BP82" s="16760"/>
      <c r="BQ82" s="16764"/>
      <c r="BR82" s="16757"/>
      <c r="BS82" s="16757"/>
      <c r="BT82" s="16757"/>
      <c r="BU82" s="16758"/>
      <c r="BV82" s="16765"/>
      <c r="BW82" s="16760"/>
      <c r="BX82" s="16765"/>
      <c r="BY82" s="16760"/>
      <c r="BZ82" s="16764"/>
      <c r="CA82" s="16757"/>
      <c r="CB82" s="16757"/>
      <c r="CC82" s="16757"/>
      <c r="CD82" s="16758"/>
      <c r="CE82" s="16765"/>
      <c r="CF82" s="16760"/>
      <c r="CG82" s="16765"/>
      <c r="CH82" s="16760"/>
      <c r="CI82" s="16764"/>
      <c r="CJ82" s="16757"/>
      <c r="CK82" s="16757"/>
      <c r="CL82" s="16757"/>
      <c r="CM82" s="16758"/>
      <c r="CN82" s="16765"/>
      <c r="CO82" s="16760"/>
      <c r="CP82" s="16765"/>
      <c r="CQ82" s="16760"/>
      <c r="CR82" s="16764"/>
      <c r="CS82" s="16757"/>
      <c r="CT82" s="16757"/>
      <c r="CU82" s="16757"/>
      <c r="CV82" s="16758"/>
      <c r="CW82" s="16765"/>
      <c r="CX82" s="16760"/>
      <c r="CY82" s="16765"/>
      <c r="CZ82" s="16760"/>
      <c r="DA82" s="16764"/>
      <c r="DB82" s="16757"/>
      <c r="DC82" s="16757"/>
      <c r="DD82" s="16757"/>
      <c r="DE82" s="16758"/>
      <c r="DF82" s="16765"/>
      <c r="DG82" s="16760"/>
      <c r="DH82" s="16765"/>
      <c r="DI82" s="16760"/>
      <c r="DJ82" s="16764"/>
      <c r="DK82" s="16757"/>
      <c r="DL82" s="16757"/>
      <c r="DM82" s="16757"/>
      <c r="DN82" s="16758"/>
      <c r="DO82" s="16765"/>
      <c r="DP82" s="16760"/>
      <c r="DQ82" s="16765"/>
      <c r="DR82" s="16760"/>
      <c r="DS82" s="17062"/>
      <c r="DT82" s="17062"/>
      <c r="DU82" s="17062"/>
      <c r="DV82" s="17062"/>
      <c r="DW82" s="17063"/>
      <c r="DX82" s="17064"/>
      <c r="DY82" s="17065"/>
      <c r="DZ82" s="17064"/>
      <c r="EA82" s="17065"/>
      <c r="EB82" s="16764"/>
      <c r="EC82" s="17201" t="s">
        <v>524</v>
      </c>
      <c r="ED82" s="17016"/>
      <c r="EE82" s="17194"/>
      <c r="EF82" s="17194"/>
      <c r="EG82" s="17194"/>
      <c r="EH82" s="17194"/>
      <c r="EI82" s="16741">
        <v>0</v>
      </c>
    </row>
    <row s="34495" customFormat="1" customHeight="1" ht="14.25">
      <c r="A83" s="17181"/>
      <c r="B83" s="17181"/>
      <c r="C83" s="17181"/>
      <c r="D83" s="17181"/>
      <c r="E83" s="17182"/>
      <c r="F83" s="17182"/>
      <c r="G83" s="17182"/>
      <c r="H83" s="17182"/>
      <c r="I83" s="17183"/>
      <c r="J83" s="17183" t="str">
        <f>I73&amp;".1"</f>
        <v>1.2.1.1.1.1</v>
      </c>
      <c r="K83" s="17183"/>
      <c r="L83" s="17018"/>
      <c r="M83" s="17184"/>
      <c r="N83" s="16741"/>
      <c r="O83" s="16741"/>
      <c r="P83" s="16741"/>
      <c r="Q83" s="17186"/>
      <c r="R83" s="17186"/>
      <c r="S83" s="17186"/>
      <c r="T83" s="17188"/>
      <c r="U83" s="17203"/>
      <c r="V83" s="17191"/>
      <c r="W83" s="17191"/>
      <c r="X83" s="17062"/>
      <c r="Y83" s="17062"/>
      <c r="Z83" s="17062"/>
      <c r="AA83" s="17062"/>
      <c r="AB83" s="17063"/>
      <c r="AC83" s="17064"/>
      <c r="AD83" s="17065"/>
      <c r="AE83" s="17064"/>
      <c r="AF83" s="17065"/>
      <c r="AG83" s="17068"/>
      <c r="AH83" s="16764"/>
      <c r="AI83" s="16764"/>
      <c r="AJ83" s="16764"/>
      <c r="AK83" s="17069" t="str">
        <f>AL81&amp;"-"&amp;AN81</f>
        <v>45292-45473</v>
      </c>
      <c r="AL83" s="16765"/>
      <c r="AM83" s="16760"/>
      <c r="AN83" s="16765"/>
      <c r="AO83" s="16760"/>
      <c r="AP83" s="16764"/>
      <c r="AQ83" s="16764"/>
      <c r="AR83" s="16764"/>
      <c r="AS83" s="16764"/>
      <c r="AT83" s="16768" t="str">
        <f>AU81&amp;"-"&amp;AW81</f>
        <v>45474-45657</v>
      </c>
      <c r="AU83" s="16765"/>
      <c r="AV83" s="16760"/>
      <c r="AW83" s="16765"/>
      <c r="AX83" s="16760"/>
      <c r="AY83" s="16764"/>
      <c r="AZ83" s="16764"/>
      <c r="BA83" s="16764"/>
      <c r="BB83" s="16764"/>
      <c r="BC83" s="16768" t="str">
        <f>BD81&amp;"-"&amp;BF81</f>
        <v>45658-45838</v>
      </c>
      <c r="BD83" s="16765"/>
      <c r="BE83" s="16760"/>
      <c r="BF83" s="16765"/>
      <c r="BG83" s="16760"/>
      <c r="BH83" s="16764"/>
      <c r="BI83" s="16764"/>
      <c r="BJ83" s="16764"/>
      <c r="BK83" s="16764"/>
      <c r="BL83" s="16768" t="str">
        <f>BM81&amp;"-"&amp;BO81</f>
        <v>45839-46022</v>
      </c>
      <c r="BM83" s="16765"/>
      <c r="BN83" s="16760"/>
      <c r="BO83" s="16765"/>
      <c r="BP83" s="16760"/>
      <c r="BQ83" s="16764"/>
      <c r="BR83" s="16764"/>
      <c r="BS83" s="16764"/>
      <c r="BT83" s="16764"/>
      <c r="BU83" s="16768" t="str">
        <f>BV81&amp;"-"&amp;BX81</f>
        <v>46023-46203</v>
      </c>
      <c r="BV83" s="16765"/>
      <c r="BW83" s="16760"/>
      <c r="BX83" s="16765"/>
      <c r="BY83" s="16760"/>
      <c r="BZ83" s="16764"/>
      <c r="CA83" s="16764"/>
      <c r="CB83" s="16764"/>
      <c r="CC83" s="16764"/>
      <c r="CD83" s="16768" t="str">
        <f>CE81&amp;"-"&amp;CG81</f>
        <v>46204-46387</v>
      </c>
      <c r="CE83" s="16765"/>
      <c r="CF83" s="16760"/>
      <c r="CG83" s="16765"/>
      <c r="CH83" s="16760"/>
      <c r="CI83" s="16764"/>
      <c r="CJ83" s="16764"/>
      <c r="CK83" s="16764"/>
      <c r="CL83" s="16764"/>
      <c r="CM83" s="16768" t="str">
        <f>CN81&amp;"-"&amp;CP81</f>
        <v>46388-46568</v>
      </c>
      <c r="CN83" s="16765"/>
      <c r="CO83" s="16760"/>
      <c r="CP83" s="16765"/>
      <c r="CQ83" s="16760"/>
      <c r="CR83" s="16764"/>
      <c r="CS83" s="16764"/>
      <c r="CT83" s="16764"/>
      <c r="CU83" s="16764"/>
      <c r="CV83" s="16768" t="str">
        <f>CW81&amp;"-"&amp;CY81</f>
        <v>46569-46752</v>
      </c>
      <c r="CW83" s="16765"/>
      <c r="CX83" s="16760"/>
      <c r="CY83" s="16765"/>
      <c r="CZ83" s="16760"/>
      <c r="DA83" s="16764"/>
      <c r="DB83" s="16764"/>
      <c r="DC83" s="16764"/>
      <c r="DD83" s="16764"/>
      <c r="DE83" s="16768" t="str">
        <f>DF81&amp;"-"&amp;DH81</f>
        <v>46753-46934</v>
      </c>
      <c r="DF83" s="16765"/>
      <c r="DG83" s="16760"/>
      <c r="DH83" s="16765"/>
      <c r="DI83" s="16760"/>
      <c r="DJ83" s="16764"/>
      <c r="DK83" s="16764"/>
      <c r="DL83" s="16764"/>
      <c r="DM83" s="16764"/>
      <c r="DN83" s="16768" t="str">
        <f>DO81&amp;"-"&amp;DQ81</f>
        <v>46935-47118</v>
      </c>
      <c r="DO83" s="16765"/>
      <c r="DP83" s="16760"/>
      <c r="DQ83" s="16765"/>
      <c r="DR83" s="16760"/>
      <c r="DS83" s="17062"/>
      <c r="DT83" s="17062"/>
      <c r="DU83" s="17062"/>
      <c r="DV83" s="17062"/>
      <c r="DW83" s="17063"/>
      <c r="DX83" s="17064"/>
      <c r="DY83" s="17065"/>
      <c r="DZ83" s="17064"/>
      <c r="EA83" s="17065"/>
      <c r="EB83" s="16764"/>
      <c r="EC83" s="17204"/>
      <c r="ED83" s="17016"/>
      <c r="EE83" s="17194"/>
      <c r="EF83" s="17194" t="str">
        <f>IF(V83="","",V83)</f>
        <v/>
      </c>
      <c r="EG83" s="17194"/>
      <c r="EH83" s="17194"/>
      <c r="EI83" s="16741">
        <v>0</v>
      </c>
    </row>
    <row s="34496" customFormat="1" customHeight="1" ht="11.25">
      <c r="A84" s="17181"/>
      <c r="B84" s="17181"/>
      <c r="C84" s="17181"/>
      <c r="D84" s="17181"/>
      <c r="E84" s="17182"/>
      <c r="F84" s="17182"/>
      <c r="G84" s="17182"/>
      <c r="H84" s="17182"/>
      <c r="I84" s="17183"/>
      <c r="J84" s="17183" t="str">
        <f>I73&amp;".1"</f>
        <v>1.2.1.1.1.1</v>
      </c>
      <c r="K84" s="17018"/>
      <c r="L84" s="17181"/>
      <c r="M84" s="17184"/>
      <c r="N84" s="16741"/>
      <c r="O84" s="16741"/>
      <c r="P84" s="16741"/>
      <c r="Q84" s="17186"/>
      <c r="R84" s="17186"/>
      <c r="S84" s="17186"/>
      <c r="T84" s="17188"/>
      <c r="U84" s="17699"/>
      <c r="V84" s="17700" t="s">
        <v>525</v>
      </c>
      <c r="W84" s="17701"/>
      <c r="X84" s="17062"/>
      <c r="Y84" s="17062"/>
      <c r="Z84" s="17062"/>
      <c r="AA84" s="17062"/>
      <c r="AB84" s="17069" t="str">
        <f>AC81&amp;"-"&amp;AE81</f>
        <v>-</v>
      </c>
      <c r="AC84" s="17065"/>
      <c r="AD84" s="17065"/>
      <c r="AE84" s="17065"/>
      <c r="AF84" s="17065"/>
      <c r="AG84" s="17702"/>
      <c r="AH84" s="17703"/>
      <c r="AI84" s="17704"/>
      <c r="AJ84" s="17705"/>
      <c r="AK84" s="17706"/>
      <c r="AL84" s="16765"/>
      <c r="AM84" s="16760"/>
      <c r="AN84" s="16765"/>
      <c r="AO84" s="16760"/>
      <c r="AP84" s="17707"/>
      <c r="AQ84" s="17708"/>
      <c r="AR84" s="17709"/>
      <c r="AS84" s="17710"/>
      <c r="AT84" s="17711"/>
      <c r="AU84" s="16765"/>
      <c r="AV84" s="16760"/>
      <c r="AW84" s="16765"/>
      <c r="AX84" s="16760"/>
      <c r="AY84" s="17712"/>
      <c r="AZ84" s="17713"/>
      <c r="BA84" s="17714"/>
      <c r="BB84" s="17715"/>
      <c r="BC84" s="17716"/>
      <c r="BD84" s="16765"/>
      <c r="BE84" s="16760"/>
      <c r="BF84" s="16765"/>
      <c r="BG84" s="16760"/>
      <c r="BH84" s="17717"/>
      <c r="BI84" s="17718"/>
      <c r="BJ84" s="17719"/>
      <c r="BK84" s="17720"/>
      <c r="BL84" s="17721"/>
      <c r="BM84" s="16765"/>
      <c r="BN84" s="16760"/>
      <c r="BO84" s="16765"/>
      <c r="BP84" s="16760"/>
      <c r="BQ84" s="17722"/>
      <c r="BR84" s="17723"/>
      <c r="BS84" s="17724"/>
      <c r="BT84" s="17725"/>
      <c r="BU84" s="17726"/>
      <c r="BV84" s="16765"/>
      <c r="BW84" s="16760"/>
      <c r="BX84" s="16765"/>
      <c r="BY84" s="16760"/>
      <c r="BZ84" s="17727"/>
      <c r="CA84" s="17728"/>
      <c r="CB84" s="17729"/>
      <c r="CC84" s="17730"/>
      <c r="CD84" s="17731"/>
      <c r="CE84" s="16765"/>
      <c r="CF84" s="16760"/>
      <c r="CG84" s="16765"/>
      <c r="CH84" s="16760"/>
      <c r="CI84" s="17732"/>
      <c r="CJ84" s="17733"/>
      <c r="CK84" s="17734"/>
      <c r="CL84" s="17735"/>
      <c r="CM84" s="17736"/>
      <c r="CN84" s="16765"/>
      <c r="CO84" s="16760"/>
      <c r="CP84" s="16765"/>
      <c r="CQ84" s="16760"/>
      <c r="CR84" s="17737"/>
      <c r="CS84" s="17738"/>
      <c r="CT84" s="17739"/>
      <c r="CU84" s="17740"/>
      <c r="CV84" s="17741"/>
      <c r="CW84" s="16765"/>
      <c r="CX84" s="16760"/>
      <c r="CY84" s="16765"/>
      <c r="CZ84" s="16760"/>
      <c r="DA84" s="17742"/>
      <c r="DB84" s="17743"/>
      <c r="DC84" s="17744"/>
      <c r="DD84" s="17745"/>
      <c r="DE84" s="17746"/>
      <c r="DF84" s="16765"/>
      <c r="DG84" s="16760"/>
      <c r="DH84" s="16765"/>
      <c r="DI84" s="16760"/>
      <c r="DJ84" s="17747"/>
      <c r="DK84" s="17748"/>
      <c r="DL84" s="17749"/>
      <c r="DM84" s="17750"/>
      <c r="DN84" s="17751"/>
      <c r="DO84" s="16765"/>
      <c r="DP84" s="16760"/>
      <c r="DQ84" s="16765"/>
      <c r="DR84" s="16760"/>
      <c r="DS84" s="17062"/>
      <c r="DT84" s="17062"/>
      <c r="DU84" s="17062"/>
      <c r="DV84" s="17062"/>
      <c r="DW84" s="17069" t="str">
        <f>DX81&amp;"-"&amp;DZ81</f>
        <v>-</v>
      </c>
      <c r="DX84" s="17065"/>
      <c r="DY84" s="17065"/>
      <c r="DZ84" s="17065"/>
      <c r="EA84" s="17065"/>
      <c r="EB84" s="17752"/>
      <c r="EC84" s="17204"/>
      <c r="ED84" s="17016"/>
      <c r="EE84" s="17194"/>
      <c r="EF84" s="17194"/>
      <c r="EG84" s="17194"/>
      <c r="EH84" s="17194"/>
      <c r="EI84" s="16741">
        <v>0</v>
      </c>
    </row>
    <row s="34551" customFormat="1" customHeight="1" ht="15">
      <c r="A85" s="17181"/>
      <c r="B85" s="17181"/>
      <c r="C85" s="17181"/>
      <c r="D85" s="17181"/>
      <c r="E85" s="17182"/>
      <c r="F85" s="17182"/>
      <c r="G85" s="17182"/>
      <c r="H85" s="17182"/>
      <c r="I85" s="17183"/>
      <c r="J85" s="17018" t="str">
        <f>I73&amp;".1"</f>
        <v>1.2.1.1.1.1</v>
      </c>
      <c r="K85" s="17181"/>
      <c r="L85" s="17181"/>
      <c r="M85" s="17184"/>
      <c r="N85" s="16741"/>
      <c r="O85" s="16741"/>
      <c r="P85" s="17185"/>
      <c r="Q85" s="17186"/>
      <c r="R85" s="17186"/>
      <c r="S85" s="17186"/>
      <c r="T85" s="17261"/>
      <c r="U85" s="17754"/>
      <c r="V85" s="17755" t="s">
        <v>471</v>
      </c>
      <c r="W85" s="17756"/>
      <c r="X85" s="17757"/>
      <c r="Y85" s="17758"/>
      <c r="Z85" s="17759"/>
      <c r="AA85" s="17760"/>
      <c r="AB85" s="17761"/>
      <c r="AC85" s="17762"/>
      <c r="AD85" s="17763"/>
      <c r="AE85" s="17764"/>
      <c r="AF85" s="17765"/>
      <c r="AG85" s="17766"/>
      <c r="AH85" s="17767"/>
      <c r="AI85" s="17768"/>
      <c r="AJ85" s="17769"/>
      <c r="AK85" s="17770"/>
      <c r="AL85" s="17771"/>
      <c r="AM85" s="17772"/>
      <c r="AN85" s="17773"/>
      <c r="AO85" s="17774"/>
      <c r="AP85" s="17775"/>
      <c r="AQ85" s="17776"/>
      <c r="AR85" s="17777"/>
      <c r="AS85" s="17778"/>
      <c r="AT85" s="17779"/>
      <c r="AU85" s="17780"/>
      <c r="AV85" s="17781"/>
      <c r="AW85" s="17782"/>
      <c r="AX85" s="17783"/>
      <c r="AY85" s="17784"/>
      <c r="AZ85" s="17785"/>
      <c r="BA85" s="17786"/>
      <c r="BB85" s="17787"/>
      <c r="BC85" s="17788"/>
      <c r="BD85" s="17789"/>
      <c r="BE85" s="17790"/>
      <c r="BF85" s="17791"/>
      <c r="BG85" s="17792"/>
      <c r="BH85" s="17793"/>
      <c r="BI85" s="17794"/>
      <c r="BJ85" s="17795"/>
      <c r="BK85" s="17796"/>
      <c r="BL85" s="17797"/>
      <c r="BM85" s="17798"/>
      <c r="BN85" s="17799"/>
      <c r="BO85" s="17800"/>
      <c r="BP85" s="17801"/>
      <c r="BQ85" s="17802"/>
      <c r="BR85" s="17803"/>
      <c r="BS85" s="17804"/>
      <c r="BT85" s="17805"/>
      <c r="BU85" s="17806"/>
      <c r="BV85" s="17807"/>
      <c r="BW85" s="17808"/>
      <c r="BX85" s="17809"/>
      <c r="BY85" s="17810"/>
      <c r="BZ85" s="17811"/>
      <c r="CA85" s="17812"/>
      <c r="CB85" s="17813"/>
      <c r="CC85" s="17814"/>
      <c r="CD85" s="17815"/>
      <c r="CE85" s="17816"/>
      <c r="CF85" s="17817"/>
      <c r="CG85" s="17818"/>
      <c r="CH85" s="17819"/>
      <c r="CI85" s="17820"/>
      <c r="CJ85" s="17821"/>
      <c r="CK85" s="17822"/>
      <c r="CL85" s="17823"/>
      <c r="CM85" s="17824"/>
      <c r="CN85" s="17825"/>
      <c r="CO85" s="17826"/>
      <c r="CP85" s="17827"/>
      <c r="CQ85" s="17828"/>
      <c r="CR85" s="17829"/>
      <c r="CS85" s="17830"/>
      <c r="CT85" s="17831"/>
      <c r="CU85" s="17832"/>
      <c r="CV85" s="17833"/>
      <c r="CW85" s="17834"/>
      <c r="CX85" s="17835"/>
      <c r="CY85" s="17836"/>
      <c r="CZ85" s="17837"/>
      <c r="DA85" s="17838"/>
      <c r="DB85" s="17839"/>
      <c r="DC85" s="17840"/>
      <c r="DD85" s="17841"/>
      <c r="DE85" s="17842"/>
      <c r="DF85" s="17843"/>
      <c r="DG85" s="17844"/>
      <c r="DH85" s="17845"/>
      <c r="DI85" s="17846"/>
      <c r="DJ85" s="17847"/>
      <c r="DK85" s="17848"/>
      <c r="DL85" s="17849"/>
      <c r="DM85" s="17850"/>
      <c r="DN85" s="17851"/>
      <c r="DO85" s="17852"/>
      <c r="DP85" s="17853"/>
      <c r="DQ85" s="17854"/>
      <c r="DR85" s="17855"/>
      <c r="DS85" s="17856"/>
      <c r="DT85" s="17857"/>
      <c r="DU85" s="17858"/>
      <c r="DV85" s="17859"/>
      <c r="DW85" s="17860"/>
      <c r="DX85" s="17861"/>
      <c r="DY85" s="17862"/>
      <c r="DZ85" s="17863"/>
      <c r="EA85" s="17864"/>
      <c r="EB85" s="17865"/>
      <c r="EC85" s="17374"/>
      <c r="ED85" s="17016"/>
      <c r="EE85" s="17194"/>
      <c r="EF85" s="17194" t="str">
        <f>IF(V85="","",V85)</f>
        <v>Добавить вид теплоносителя (параметры теплоносителя)</v>
      </c>
      <c r="EG85" s="17194"/>
      <c r="EH85" s="17194"/>
      <c r="EI85" s="16741">
        <v>0</v>
      </c>
    </row>
    <row s="34664" customFormat="1" customHeight="1" ht="11.25">
      <c r="A86" s="8474"/>
      <c r="B86" s="8474"/>
      <c r="C86" s="8474"/>
      <c r="D86" s="8474"/>
      <c r="E86" s="11456"/>
      <c r="F86" s="11456">
        <v>1</v>
      </c>
      <c r="G86" s="11456"/>
      <c r="H86" s="11456"/>
      <c r="I86" s="11479"/>
      <c r="J86" s="8474"/>
      <c r="K86" s="8474"/>
      <c r="L86" s="8474"/>
      <c r="M86" s="11458"/>
      <c r="N86" s="11462"/>
      <c r="O86" s="11480"/>
      <c r="P86" s="11480"/>
      <c r="Q86" s="11481"/>
      <c r="R86" s="11481"/>
      <c r="S86" s="11481"/>
      <c r="T86" s="11482"/>
      <c r="U86" s="11558"/>
      <c r="V86" s="11559" t="s">
        <v>472</v>
      </c>
      <c r="W86" s="11560"/>
      <c r="X86" s="11561"/>
      <c r="Y86" s="11562"/>
      <c r="Z86" s="11563"/>
      <c r="AA86" s="11564"/>
      <c r="AB86" s="11565"/>
      <c r="AC86" s="11566"/>
      <c r="AD86" s="11567"/>
      <c r="AE86" s="11568"/>
      <c r="AF86" s="11569"/>
      <c r="AG86" s="11570"/>
      <c r="AH86" s="11571"/>
      <c r="AI86" s="11572"/>
      <c r="AJ86" s="11573"/>
      <c r="AK86" s="11574"/>
      <c r="AL86" s="11575"/>
      <c r="AM86" s="11576"/>
      <c r="AN86" s="11577"/>
      <c r="AO86" s="11578"/>
      <c r="AP86" s="17888"/>
      <c r="AQ86" s="17889"/>
      <c r="AR86" s="17890"/>
      <c r="AS86" s="17891"/>
      <c r="AT86" s="17892"/>
      <c r="AU86" s="17893"/>
      <c r="AV86" s="17894"/>
      <c r="AW86" s="17895"/>
      <c r="AX86" s="17896"/>
      <c r="AY86" s="17897"/>
      <c r="AZ86" s="17898"/>
      <c r="BA86" s="17899"/>
      <c r="BB86" s="17900"/>
      <c r="BC86" s="17901"/>
      <c r="BD86" s="17902"/>
      <c r="BE86" s="17903"/>
      <c r="BF86" s="17904"/>
      <c r="BG86" s="17905"/>
      <c r="BH86" s="17906"/>
      <c r="BI86" s="17907"/>
      <c r="BJ86" s="17908"/>
      <c r="BK86" s="17909"/>
      <c r="BL86" s="17910"/>
      <c r="BM86" s="17911"/>
      <c r="BN86" s="17912"/>
      <c r="BO86" s="17913"/>
      <c r="BP86" s="17914"/>
      <c r="BQ86" s="17915"/>
      <c r="BR86" s="17916"/>
      <c r="BS86" s="17917"/>
      <c r="BT86" s="17918"/>
      <c r="BU86" s="17919"/>
      <c r="BV86" s="17920"/>
      <c r="BW86" s="17921"/>
      <c r="BX86" s="17922"/>
      <c r="BY86" s="17923"/>
      <c r="BZ86" s="17924"/>
      <c r="CA86" s="17925"/>
      <c r="CB86" s="17926"/>
      <c r="CC86" s="17927"/>
      <c r="CD86" s="17928"/>
      <c r="CE86" s="17929"/>
      <c r="CF86" s="17930"/>
      <c r="CG86" s="17931"/>
      <c r="CH86" s="17932"/>
      <c r="CI86" s="17933"/>
      <c r="CJ86" s="17934"/>
      <c r="CK86" s="17935"/>
      <c r="CL86" s="17936"/>
      <c r="CM86" s="17937"/>
      <c r="CN86" s="17938"/>
      <c r="CO86" s="17939"/>
      <c r="CP86" s="17940"/>
      <c r="CQ86" s="17941"/>
      <c r="CR86" s="17942"/>
      <c r="CS86" s="17943"/>
      <c r="CT86" s="17944"/>
      <c r="CU86" s="17945"/>
      <c r="CV86" s="17946"/>
      <c r="CW86" s="17947"/>
      <c r="CX86" s="17948"/>
      <c r="CY86" s="17949"/>
      <c r="CZ86" s="17950"/>
      <c r="DA86" s="17951"/>
      <c r="DB86" s="17952"/>
      <c r="DC86" s="17953"/>
      <c r="DD86" s="17954"/>
      <c r="DE86" s="17955"/>
      <c r="DF86" s="17956"/>
      <c r="DG86" s="17957"/>
      <c r="DH86" s="17958"/>
      <c r="DI86" s="17959"/>
      <c r="DJ86" s="17960"/>
      <c r="DK86" s="17961"/>
      <c r="DL86" s="17962"/>
      <c r="DM86" s="17963"/>
      <c r="DN86" s="17964"/>
      <c r="DO86" s="17965"/>
      <c r="DP86" s="17966"/>
      <c r="DQ86" s="17967"/>
      <c r="DR86" s="17968"/>
      <c r="DS86" s="17969"/>
      <c r="DT86" s="17970"/>
      <c r="DU86" s="17971"/>
      <c r="DV86" s="17972"/>
      <c r="DW86" s="17973"/>
      <c r="DX86" s="17974"/>
      <c r="DY86" s="17975"/>
      <c r="DZ86" s="17976"/>
      <c r="EA86" s="17977"/>
      <c r="EB86" s="11579"/>
      <c r="EC86" s="11580"/>
      <c r="ED86" s="11471"/>
      <c r="EE86" s="11472"/>
      <c r="EF86" s="11472" t="str">
        <f>IF(V86="","",V86)</f>
        <v>Добавить группу потребителей</v>
      </c>
      <c r="EG86" s="11472"/>
      <c r="EH86" s="11472"/>
      <c r="EI86" s="11462">
        <v>0</v>
      </c>
    </row>
    <row s="34778" customFormat="1" customHeight="1" ht="14.25">
      <c r="A87" s="8474"/>
      <c r="B87" s="8474"/>
      <c r="C87" s="8474"/>
      <c r="D87" s="8474"/>
      <c r="E87" s="11456"/>
      <c r="F87" s="11456">
        <v>1</v>
      </c>
      <c r="G87" s="11456"/>
      <c r="H87" s="11457"/>
      <c r="I87" s="8474"/>
      <c r="J87" s="8474"/>
      <c r="K87" s="8474"/>
      <c r="L87" s="8474"/>
      <c r="M87" s="11458"/>
      <c r="N87" s="11459"/>
      <c r="O87" s="11459"/>
      <c r="P87" s="11462"/>
      <c r="Q87" s="11582"/>
      <c r="R87" s="11583"/>
      <c r="S87" s="11584"/>
      <c r="T87" s="11582"/>
      <c r="U87" s="11585"/>
      <c r="V87" s="11586"/>
      <c r="W87" s="11587"/>
      <c r="X87" s="11587"/>
      <c r="Y87" s="11587"/>
      <c r="Z87" s="11587"/>
      <c r="AA87" s="11587"/>
      <c r="AB87" s="11587"/>
      <c r="AC87" s="11587"/>
      <c r="AD87" s="11587"/>
      <c r="AE87" s="11587"/>
      <c r="AF87" s="11587"/>
      <c r="AG87" s="11587"/>
      <c r="AH87" s="11587"/>
      <c r="AI87" s="11587"/>
      <c r="AJ87" s="11587"/>
      <c r="AK87" s="11587"/>
      <c r="AL87" s="11587"/>
      <c r="AM87" s="11587"/>
      <c r="AN87" s="11587"/>
      <c r="AO87" s="11587"/>
      <c r="AP87" s="17004"/>
      <c r="AQ87" s="17004"/>
      <c r="AR87" s="17004"/>
      <c r="AS87" s="17004"/>
      <c r="AT87" s="17004"/>
      <c r="AU87" s="17004"/>
      <c r="AV87" s="17004"/>
      <c r="AW87" s="17004"/>
      <c r="AX87" s="17004"/>
      <c r="AY87" s="17004"/>
      <c r="AZ87" s="17004"/>
      <c r="BA87" s="17004"/>
      <c r="BB87" s="17004"/>
      <c r="BC87" s="17004"/>
      <c r="BD87" s="17004"/>
      <c r="BE87" s="17004"/>
      <c r="BF87" s="17004"/>
      <c r="BG87" s="17004"/>
      <c r="BH87" s="17004"/>
      <c r="BI87" s="17004"/>
      <c r="BJ87" s="17004"/>
      <c r="BK87" s="17004"/>
      <c r="BL87" s="17004"/>
      <c r="BM87" s="17004"/>
      <c r="BN87" s="17004"/>
      <c r="BO87" s="17004"/>
      <c r="BP87" s="17004"/>
      <c r="BQ87" s="17004"/>
      <c r="BR87" s="17004"/>
      <c r="BS87" s="17004"/>
      <c r="BT87" s="17004"/>
      <c r="BU87" s="17004"/>
      <c r="BV87" s="17004"/>
      <c r="BW87" s="17004"/>
      <c r="BX87" s="17004"/>
      <c r="BY87" s="17004"/>
      <c r="BZ87" s="17004"/>
      <c r="CA87" s="17004"/>
      <c r="CB87" s="17004"/>
      <c r="CC87" s="17004"/>
      <c r="CD87" s="17004"/>
      <c r="CE87" s="17004"/>
      <c r="CF87" s="17004"/>
      <c r="CG87" s="17004"/>
      <c r="CH87" s="17004"/>
      <c r="CI87" s="17004"/>
      <c r="CJ87" s="17004"/>
      <c r="CK87" s="17004"/>
      <c r="CL87" s="17004"/>
      <c r="CM87" s="17004"/>
      <c r="CN87" s="17004"/>
      <c r="CO87" s="17004"/>
      <c r="CP87" s="17004"/>
      <c r="CQ87" s="17004"/>
      <c r="CR87" s="17004"/>
      <c r="CS87" s="17004"/>
      <c r="CT87" s="17004"/>
      <c r="CU87" s="17004"/>
      <c r="CV87" s="17004"/>
      <c r="CW87" s="17004"/>
      <c r="CX87" s="17004"/>
      <c r="CY87" s="17004"/>
      <c r="CZ87" s="17004"/>
      <c r="DA87" s="17004"/>
      <c r="DB87" s="17004"/>
      <c r="DC87" s="17004"/>
      <c r="DD87" s="17004"/>
      <c r="DE87" s="17004"/>
      <c r="DF87" s="17004"/>
      <c r="DG87" s="17004"/>
      <c r="DH87" s="17004"/>
      <c r="DI87" s="17004"/>
      <c r="DJ87" s="17004"/>
      <c r="DK87" s="17004"/>
      <c r="DL87" s="17004"/>
      <c r="DM87" s="17004"/>
      <c r="DN87" s="17004"/>
      <c r="DO87" s="17004"/>
      <c r="DP87" s="17004"/>
      <c r="DQ87" s="17004"/>
      <c r="DR87" s="17004"/>
      <c r="DS87" s="17004"/>
      <c r="DT87" s="17004"/>
      <c r="DU87" s="17004"/>
      <c r="DV87" s="17004"/>
      <c r="DW87" s="17004"/>
      <c r="DX87" s="17004"/>
      <c r="DY87" s="17004"/>
      <c r="DZ87" s="17004"/>
      <c r="EA87" s="17004"/>
      <c r="EB87" s="11587"/>
      <c r="EC87" s="11588"/>
      <c r="ED87" s="11471"/>
      <c r="EE87" s="11472"/>
      <c r="EF87" s="11472" t="str">
        <f>IF(V87="","",V87)</f>
        <v/>
      </c>
      <c r="EG87" s="11472"/>
      <c r="EH87" s="11472"/>
      <c r="EI87" s="11462">
        <v>0</v>
      </c>
    </row>
    <row s="34786" customFormat="1" customHeight="1" ht="14.25">
      <c r="A88" s="11590"/>
      <c r="B88" s="11590"/>
      <c r="C88" s="11590"/>
      <c r="D88" s="11590"/>
      <c r="E88" s="11456"/>
      <c r="F88" s="11456">
        <v>1</v>
      </c>
      <c r="G88" s="11457"/>
      <c r="H88" s="11590"/>
      <c r="I88" s="11590"/>
      <c r="J88" s="11590"/>
      <c r="K88" s="11590"/>
      <c r="L88" s="11590"/>
      <c r="M88" s="11591"/>
      <c r="N88" s="11592"/>
      <c r="O88" s="11592"/>
      <c r="P88" s="11593"/>
      <c r="Q88" s="11594"/>
      <c r="R88" s="11595"/>
      <c r="S88" s="11594"/>
      <c r="T88" s="11594"/>
      <c r="U88" s="11596"/>
      <c r="V88" s="11597" t="s">
        <v>213</v>
      </c>
      <c r="W88" s="11598"/>
      <c r="X88" s="11598"/>
      <c r="Y88" s="11598"/>
      <c r="Z88" s="11598"/>
      <c r="AA88" s="11598"/>
      <c r="AB88" s="11598"/>
      <c r="AC88" s="11598"/>
      <c r="AD88" s="11598"/>
      <c r="AE88" s="11598"/>
      <c r="AF88" s="11598"/>
      <c r="AG88" s="11598"/>
      <c r="AH88" s="11598"/>
      <c r="AI88" s="11598"/>
      <c r="AJ88" s="11598"/>
      <c r="AK88" s="11598"/>
      <c r="AL88" s="11598"/>
      <c r="AM88" s="11598"/>
      <c r="AN88" s="11598"/>
      <c r="AO88" s="11598"/>
      <c r="AP88" s="17005"/>
      <c r="AQ88" s="17005"/>
      <c r="AR88" s="17005"/>
      <c r="AS88" s="17005"/>
      <c r="AT88" s="17005"/>
      <c r="AU88" s="17005"/>
      <c r="AV88" s="17005"/>
      <c r="AW88" s="17005"/>
      <c r="AX88" s="17005"/>
      <c r="AY88" s="17005"/>
      <c r="AZ88" s="17005"/>
      <c r="BA88" s="17005"/>
      <c r="BB88" s="17005"/>
      <c r="BC88" s="17005"/>
      <c r="BD88" s="17005"/>
      <c r="BE88" s="17005"/>
      <c r="BF88" s="17005"/>
      <c r="BG88" s="17005"/>
      <c r="BH88" s="17005"/>
      <c r="BI88" s="17005"/>
      <c r="BJ88" s="17005"/>
      <c r="BK88" s="17005"/>
      <c r="BL88" s="17005"/>
      <c r="BM88" s="17005"/>
      <c r="BN88" s="17005"/>
      <c r="BO88" s="17005"/>
      <c r="BP88" s="17005"/>
      <c r="BQ88" s="17005"/>
      <c r="BR88" s="17005"/>
      <c r="BS88" s="17005"/>
      <c r="BT88" s="17005"/>
      <c r="BU88" s="17005"/>
      <c r="BV88" s="17005"/>
      <c r="BW88" s="17005"/>
      <c r="BX88" s="17005"/>
      <c r="BY88" s="17005"/>
      <c r="BZ88" s="17005"/>
      <c r="CA88" s="17005"/>
      <c r="CB88" s="17005"/>
      <c r="CC88" s="17005"/>
      <c r="CD88" s="17005"/>
      <c r="CE88" s="17005"/>
      <c r="CF88" s="17005"/>
      <c r="CG88" s="17005"/>
      <c r="CH88" s="17005"/>
      <c r="CI88" s="17005"/>
      <c r="CJ88" s="17005"/>
      <c r="CK88" s="17005"/>
      <c r="CL88" s="17005"/>
      <c r="CM88" s="17005"/>
      <c r="CN88" s="17005"/>
      <c r="CO88" s="17005"/>
      <c r="CP88" s="17005"/>
      <c r="CQ88" s="17005"/>
      <c r="CR88" s="17005"/>
      <c r="CS88" s="17005"/>
      <c r="CT88" s="17005"/>
      <c r="CU88" s="17005"/>
      <c r="CV88" s="17005"/>
      <c r="CW88" s="17005"/>
      <c r="CX88" s="17005"/>
      <c r="CY88" s="17005"/>
      <c r="CZ88" s="17005"/>
      <c r="DA88" s="17005"/>
      <c r="DB88" s="17005"/>
      <c r="DC88" s="17005"/>
      <c r="DD88" s="17005"/>
      <c r="DE88" s="17005"/>
      <c r="DF88" s="17005"/>
      <c r="DG88" s="17005"/>
      <c r="DH88" s="17005"/>
      <c r="DI88" s="17005"/>
      <c r="DJ88" s="17005"/>
      <c r="DK88" s="17005"/>
      <c r="DL88" s="17005"/>
      <c r="DM88" s="17005"/>
      <c r="DN88" s="17005"/>
      <c r="DO88" s="17005"/>
      <c r="DP88" s="17005"/>
      <c r="DQ88" s="17005"/>
      <c r="DR88" s="17005"/>
      <c r="DS88" s="17005"/>
      <c r="DT88" s="17005"/>
      <c r="DU88" s="17005"/>
      <c r="DV88" s="17005"/>
      <c r="DW88" s="17005"/>
      <c r="DX88" s="17005"/>
      <c r="DY88" s="17005"/>
      <c r="DZ88" s="17005"/>
      <c r="EA88" s="17005"/>
      <c r="EB88" s="11598"/>
      <c r="EC88" s="11598"/>
      <c r="ED88" s="11471"/>
      <c r="EE88" s="11472"/>
      <c r="EF88" s="11472" t="str">
        <f>IF(V88="","",V88)</f>
        <v>Добавить источник для дифференциации</v>
      </c>
      <c r="EG88" s="11472"/>
      <c r="EH88" s="11472"/>
      <c r="EI88" s="11471">
        <v>0</v>
      </c>
    </row>
    <row s="34796" customFormat="1" customHeight="1" ht="14.25">
      <c r="A89" s="11590"/>
      <c r="B89" s="11590"/>
      <c r="C89" s="11590"/>
      <c r="D89" s="11590"/>
      <c r="E89" s="11456"/>
      <c r="F89" s="11457">
        <v>1</v>
      </c>
      <c r="G89" s="11590"/>
      <c r="H89" s="11590"/>
      <c r="I89" s="11590"/>
      <c r="J89" s="11590"/>
      <c r="K89" s="11590"/>
      <c r="L89" s="11590"/>
      <c r="M89" s="11591"/>
      <c r="N89" s="11600"/>
      <c r="O89" s="11600"/>
      <c r="P89" s="11593"/>
      <c r="Q89" s="11594"/>
      <c r="R89" s="11595"/>
      <c r="S89" s="11594"/>
      <c r="T89" s="11594"/>
      <c r="U89" s="11601"/>
      <c r="V89" s="11602" t="s">
        <v>214</v>
      </c>
      <c r="W89" s="11603"/>
      <c r="X89" s="11603"/>
      <c r="Y89" s="11603"/>
      <c r="Z89" s="11603"/>
      <c r="AA89" s="11603"/>
      <c r="AB89" s="11603"/>
      <c r="AC89" s="11603"/>
      <c r="AD89" s="11603"/>
      <c r="AE89" s="11603"/>
      <c r="AF89" s="11603"/>
      <c r="AG89" s="11603"/>
      <c r="AH89" s="11603"/>
      <c r="AI89" s="11603"/>
      <c r="AJ89" s="11603"/>
      <c r="AK89" s="11603"/>
      <c r="AL89" s="11603"/>
      <c r="AM89" s="11603"/>
      <c r="AN89" s="11603"/>
      <c r="AO89" s="11603"/>
      <c r="AP89" s="17006"/>
      <c r="AQ89" s="17006"/>
      <c r="AR89" s="17006"/>
      <c r="AS89" s="17006"/>
      <c r="AT89" s="17006"/>
      <c r="AU89" s="17006"/>
      <c r="AV89" s="17006"/>
      <c r="AW89" s="17006"/>
      <c r="AX89" s="17006"/>
      <c r="AY89" s="17006"/>
      <c r="AZ89" s="17006"/>
      <c r="BA89" s="17006"/>
      <c r="BB89" s="17006"/>
      <c r="BC89" s="17006"/>
      <c r="BD89" s="17006"/>
      <c r="BE89" s="17006"/>
      <c r="BF89" s="17006"/>
      <c r="BG89" s="17006"/>
      <c r="BH89" s="17006"/>
      <c r="BI89" s="17006"/>
      <c r="BJ89" s="17006"/>
      <c r="BK89" s="17006"/>
      <c r="BL89" s="17006"/>
      <c r="BM89" s="17006"/>
      <c r="BN89" s="17006"/>
      <c r="BO89" s="17006"/>
      <c r="BP89" s="17006"/>
      <c r="BQ89" s="17006"/>
      <c r="BR89" s="17006"/>
      <c r="BS89" s="17006"/>
      <c r="BT89" s="17006"/>
      <c r="BU89" s="17006"/>
      <c r="BV89" s="17006"/>
      <c r="BW89" s="17006"/>
      <c r="BX89" s="17006"/>
      <c r="BY89" s="17006"/>
      <c r="BZ89" s="17006"/>
      <c r="CA89" s="17006"/>
      <c r="CB89" s="17006"/>
      <c r="CC89" s="17006"/>
      <c r="CD89" s="17006"/>
      <c r="CE89" s="17006"/>
      <c r="CF89" s="17006"/>
      <c r="CG89" s="17006"/>
      <c r="CH89" s="17006"/>
      <c r="CI89" s="17006"/>
      <c r="CJ89" s="17006"/>
      <c r="CK89" s="17006"/>
      <c r="CL89" s="17006"/>
      <c r="CM89" s="17006"/>
      <c r="CN89" s="17006"/>
      <c r="CO89" s="17006"/>
      <c r="CP89" s="17006"/>
      <c r="CQ89" s="17006"/>
      <c r="CR89" s="17006"/>
      <c r="CS89" s="17006"/>
      <c r="CT89" s="17006"/>
      <c r="CU89" s="17006"/>
      <c r="CV89" s="17006"/>
      <c r="CW89" s="17006"/>
      <c r="CX89" s="17006"/>
      <c r="CY89" s="17006"/>
      <c r="CZ89" s="17006"/>
      <c r="DA89" s="17006"/>
      <c r="DB89" s="17006"/>
      <c r="DC89" s="17006"/>
      <c r="DD89" s="17006"/>
      <c r="DE89" s="17006"/>
      <c r="DF89" s="17006"/>
      <c r="DG89" s="17006"/>
      <c r="DH89" s="17006"/>
      <c r="DI89" s="17006"/>
      <c r="DJ89" s="17006"/>
      <c r="DK89" s="17006"/>
      <c r="DL89" s="17006"/>
      <c r="DM89" s="17006"/>
      <c r="DN89" s="17006"/>
      <c r="DO89" s="17006"/>
      <c r="DP89" s="17006"/>
      <c r="DQ89" s="17006"/>
      <c r="DR89" s="17006"/>
      <c r="DS89" s="17006"/>
      <c r="DT89" s="17006"/>
      <c r="DU89" s="17006"/>
      <c r="DV89" s="17006"/>
      <c r="DW89" s="17006"/>
      <c r="DX89" s="17006"/>
      <c r="DY89" s="17006"/>
      <c r="DZ89" s="17006"/>
      <c r="EA89" s="17006"/>
      <c r="EB89" s="11603"/>
      <c r="EC89" s="11603"/>
      <c r="ED89" s="11471"/>
      <c r="EE89" s="11472"/>
      <c r="EF89" s="11472" t="str">
        <f>IF(V89="","",V89)</f>
        <v>Добавить централизованную систему для дифференциации</v>
      </c>
      <c r="EG89" s="11472"/>
      <c r="EH89" s="11472"/>
      <c r="EI89" s="11471">
        <v>0</v>
      </c>
    </row>
    <row s="34801" customFormat="1" customHeight="1" ht="21">
      <c r="A90" s="8474"/>
      <c r="B90" s="8474" t="s">
        <v>218</v>
      </c>
      <c r="C90" s="8474"/>
      <c r="D90" s="8474"/>
      <c r="E90" s="11456"/>
      <c r="F90" s="11457" t="s">
        <v>93</v>
      </c>
      <c r="G90" s="8474"/>
      <c r="H90" s="8474"/>
      <c r="I90" s="8474"/>
      <c r="J90" s="8474"/>
      <c r="K90" s="8474"/>
      <c r="L90" s="8474"/>
      <c r="M90" s="11458"/>
      <c r="N90" s="11459"/>
      <c r="O90" s="11459"/>
      <c r="P90" s="11459"/>
      <c r="Q90" s="11460"/>
      <c r="R90" s="11461"/>
      <c r="S90" s="11462"/>
      <c r="T90" s="11463"/>
      <c r="U90" s="11464" t="str">
        <f>INDEX(PT_DIFFERENTIATION_NUM_TER,MATCH(B90,PT_DIFFERENTIATION_TER_ID,0))</f>
        <v>1.3</v>
      </c>
      <c r="V90" s="11465" t="s">
        <v>457</v>
      </c>
      <c r="W90" s="11466"/>
      <c r="X90" s="11467"/>
      <c r="Y90" s="11468"/>
      <c r="Z90" s="11468"/>
      <c r="AA90" s="11468"/>
      <c r="AB90" s="11468"/>
      <c r="AC90" s="11468"/>
      <c r="AD90" s="11468"/>
      <c r="AE90" s="11468"/>
      <c r="AF90" s="11469"/>
      <c r="AG90" s="11467" t="str">
        <f>INDEX(PT_DIFFERENTIATION_TER,MATCH(B90,PT_DIFFERENTIATION_TER_ID,0))</f>
        <v>Территория 3</v>
      </c>
      <c r="AH90" s="11468"/>
      <c r="AI90" s="11468"/>
      <c r="AJ90" s="11468"/>
      <c r="AK90" s="11468"/>
      <c r="AL90" s="11468"/>
      <c r="AM90" s="11468"/>
      <c r="AN90" s="11468"/>
      <c r="AO90" s="11468"/>
      <c r="AP90" s="16743"/>
      <c r="AQ90" s="16744"/>
      <c r="AR90" s="16744"/>
      <c r="AS90" s="16744"/>
      <c r="AT90" s="16744"/>
      <c r="AU90" s="16744"/>
      <c r="AV90" s="16744"/>
      <c r="AW90" s="16744"/>
      <c r="AX90" s="16745"/>
      <c r="AY90" s="16743"/>
      <c r="AZ90" s="16744"/>
      <c r="BA90" s="16744"/>
      <c r="BB90" s="16744"/>
      <c r="BC90" s="16744"/>
      <c r="BD90" s="16744"/>
      <c r="BE90" s="16744"/>
      <c r="BF90" s="16744"/>
      <c r="BG90" s="16745"/>
      <c r="BH90" s="16743"/>
      <c r="BI90" s="16744"/>
      <c r="BJ90" s="16744"/>
      <c r="BK90" s="16744"/>
      <c r="BL90" s="16744"/>
      <c r="BM90" s="16744"/>
      <c r="BN90" s="16744"/>
      <c r="BO90" s="16744"/>
      <c r="BP90" s="16745"/>
      <c r="BQ90" s="16743"/>
      <c r="BR90" s="16744"/>
      <c r="BS90" s="16744"/>
      <c r="BT90" s="16744"/>
      <c r="BU90" s="16744"/>
      <c r="BV90" s="16744"/>
      <c r="BW90" s="16744"/>
      <c r="BX90" s="16744"/>
      <c r="BY90" s="16745"/>
      <c r="BZ90" s="16743"/>
      <c r="CA90" s="16744"/>
      <c r="CB90" s="16744"/>
      <c r="CC90" s="16744"/>
      <c r="CD90" s="16744"/>
      <c r="CE90" s="16744"/>
      <c r="CF90" s="16744"/>
      <c r="CG90" s="16744"/>
      <c r="CH90" s="16745"/>
      <c r="CI90" s="16743"/>
      <c r="CJ90" s="16744"/>
      <c r="CK90" s="16744"/>
      <c r="CL90" s="16744"/>
      <c r="CM90" s="16744"/>
      <c r="CN90" s="16744"/>
      <c r="CO90" s="16744"/>
      <c r="CP90" s="16744"/>
      <c r="CQ90" s="16745"/>
      <c r="CR90" s="16743"/>
      <c r="CS90" s="16744"/>
      <c r="CT90" s="16744"/>
      <c r="CU90" s="16744"/>
      <c r="CV90" s="16744"/>
      <c r="CW90" s="16744"/>
      <c r="CX90" s="16744"/>
      <c r="CY90" s="16744"/>
      <c r="CZ90" s="16745"/>
      <c r="DA90" s="16743"/>
      <c r="DB90" s="16744"/>
      <c r="DC90" s="16744"/>
      <c r="DD90" s="16744"/>
      <c r="DE90" s="16744"/>
      <c r="DF90" s="16744"/>
      <c r="DG90" s="16744"/>
      <c r="DH90" s="16744"/>
      <c r="DI90" s="16745"/>
      <c r="DJ90" s="16743"/>
      <c r="DK90" s="16744"/>
      <c r="DL90" s="16744"/>
      <c r="DM90" s="16744"/>
      <c r="DN90" s="16744"/>
      <c r="DO90" s="16744"/>
      <c r="DP90" s="16744"/>
      <c r="DQ90" s="16744"/>
      <c r="DR90" s="16745"/>
      <c r="DS90" s="16743"/>
      <c r="DT90" s="16744"/>
      <c r="DU90" s="16744"/>
      <c r="DV90" s="16744"/>
      <c r="DW90" s="16744"/>
      <c r="DX90" s="16744"/>
      <c r="DY90" s="16744"/>
      <c r="DZ90" s="16744"/>
      <c r="EA90" s="16745"/>
      <c r="EB90" s="11469"/>
      <c r="EC90" s="11470" t="s">
        <v>458</v>
      </c>
      <c r="ED90" s="11471"/>
      <c r="EE90" s="11472"/>
      <c r="EF90" s="11472" t="str">
        <f>IF(V90="","",V90)</f>
        <v>Территория действия тарифа</v>
      </c>
      <c r="EG90" s="11472"/>
      <c r="EH90" s="11472"/>
      <c r="EI90" s="11462">
        <v>0</v>
      </c>
    </row>
    <row s="34802" customFormat="1" customHeight="1" ht="22.5">
      <c r="A91" s="8474"/>
      <c r="B91" s="8474"/>
      <c r="C91" s="8474" t="s">
        <v>219</v>
      </c>
      <c r="D91" s="8474"/>
      <c r="E91" s="11456"/>
      <c r="F91" s="11456" t="s">
        <v>105</v>
      </c>
      <c r="G91" s="11457">
        <v>1</v>
      </c>
      <c r="H91" s="8474"/>
      <c r="I91" s="8474"/>
      <c r="J91" s="8474"/>
      <c r="K91" s="8474"/>
      <c r="L91" s="8474"/>
      <c r="M91" s="11458"/>
      <c r="N91" s="11459"/>
      <c r="O91" s="11459"/>
      <c r="P91" s="11459"/>
      <c r="Q91" s="11474"/>
      <c r="R91" s="11461"/>
      <c r="S91" s="11462"/>
      <c r="T91" s="11463"/>
      <c r="U91" s="11464" t="str">
        <f>INDEX(PT_DIFFERENTIATION_NUM_CS,MATCH(C91,PT_DIFFERENTIATION_CS_ID,0))</f>
        <v>1.3.1</v>
      </c>
      <c r="V91" s="11475" t="s">
        <v>459</v>
      </c>
      <c r="W91" s="11466"/>
      <c r="X91" s="11467"/>
      <c r="Y91" s="11468"/>
      <c r="Z91" s="11468"/>
      <c r="AA91" s="11468"/>
      <c r="AB91" s="11468"/>
      <c r="AC91" s="11468"/>
      <c r="AD91" s="11468"/>
      <c r="AE91" s="11468"/>
      <c r="AF91" s="11469"/>
      <c r="AG91" s="11467" t="str">
        <f>INDEX(PT_DIFFERENTIATION_CS,MATCH(C91,PT_DIFFERENTIATION_CS_ID,0))</f>
        <v>без дифференциации</v>
      </c>
      <c r="AH91" s="11468"/>
      <c r="AI91" s="11468"/>
      <c r="AJ91" s="11468"/>
      <c r="AK91" s="11468"/>
      <c r="AL91" s="11468"/>
      <c r="AM91" s="11468"/>
      <c r="AN91" s="11468"/>
      <c r="AO91" s="11468"/>
      <c r="AP91" s="16743"/>
      <c r="AQ91" s="16744"/>
      <c r="AR91" s="16744"/>
      <c r="AS91" s="16744"/>
      <c r="AT91" s="16744"/>
      <c r="AU91" s="16744"/>
      <c r="AV91" s="16744"/>
      <c r="AW91" s="16744"/>
      <c r="AX91" s="16745"/>
      <c r="AY91" s="16743"/>
      <c r="AZ91" s="16744"/>
      <c r="BA91" s="16744"/>
      <c r="BB91" s="16744"/>
      <c r="BC91" s="16744"/>
      <c r="BD91" s="16744"/>
      <c r="BE91" s="16744"/>
      <c r="BF91" s="16744"/>
      <c r="BG91" s="16745"/>
      <c r="BH91" s="16743"/>
      <c r="BI91" s="16744"/>
      <c r="BJ91" s="16744"/>
      <c r="BK91" s="16744"/>
      <c r="BL91" s="16744"/>
      <c r="BM91" s="16744"/>
      <c r="BN91" s="16744"/>
      <c r="BO91" s="16744"/>
      <c r="BP91" s="16745"/>
      <c r="BQ91" s="16743"/>
      <c r="BR91" s="16744"/>
      <c r="BS91" s="16744"/>
      <c r="BT91" s="16744"/>
      <c r="BU91" s="16744"/>
      <c r="BV91" s="16744"/>
      <c r="BW91" s="16744"/>
      <c r="BX91" s="16744"/>
      <c r="BY91" s="16745"/>
      <c r="BZ91" s="16743"/>
      <c r="CA91" s="16744"/>
      <c r="CB91" s="16744"/>
      <c r="CC91" s="16744"/>
      <c r="CD91" s="16744"/>
      <c r="CE91" s="16744"/>
      <c r="CF91" s="16744"/>
      <c r="CG91" s="16744"/>
      <c r="CH91" s="16745"/>
      <c r="CI91" s="16743"/>
      <c r="CJ91" s="16744"/>
      <c r="CK91" s="16744"/>
      <c r="CL91" s="16744"/>
      <c r="CM91" s="16744"/>
      <c r="CN91" s="16744"/>
      <c r="CO91" s="16744"/>
      <c r="CP91" s="16744"/>
      <c r="CQ91" s="16745"/>
      <c r="CR91" s="16743"/>
      <c r="CS91" s="16744"/>
      <c r="CT91" s="16744"/>
      <c r="CU91" s="16744"/>
      <c r="CV91" s="16744"/>
      <c r="CW91" s="16744"/>
      <c r="CX91" s="16744"/>
      <c r="CY91" s="16744"/>
      <c r="CZ91" s="16745"/>
      <c r="DA91" s="16743"/>
      <c r="DB91" s="16744"/>
      <c r="DC91" s="16744"/>
      <c r="DD91" s="16744"/>
      <c r="DE91" s="16744"/>
      <c r="DF91" s="16744"/>
      <c r="DG91" s="16744"/>
      <c r="DH91" s="16744"/>
      <c r="DI91" s="16745"/>
      <c r="DJ91" s="16743"/>
      <c r="DK91" s="16744"/>
      <c r="DL91" s="16744"/>
      <c r="DM91" s="16744"/>
      <c r="DN91" s="16744"/>
      <c r="DO91" s="16744"/>
      <c r="DP91" s="16744"/>
      <c r="DQ91" s="16744"/>
      <c r="DR91" s="16745"/>
      <c r="DS91" s="16743"/>
      <c r="DT91" s="16744"/>
      <c r="DU91" s="16744"/>
      <c r="DV91" s="16744"/>
      <c r="DW91" s="16744"/>
      <c r="DX91" s="16744"/>
      <c r="DY91" s="16744"/>
      <c r="DZ91" s="16744"/>
      <c r="EA91" s="16745"/>
      <c r="EB91" s="11469"/>
      <c r="EC91" s="11470" t="s">
        <v>460</v>
      </c>
      <c r="ED91" s="11471"/>
      <c r="EE91" s="11472"/>
      <c r="EF91" s="11472" t="str">
        <f>IF(V91="","",V91)</f>
        <v>Наименование системы теплоснабжения </v>
      </c>
      <c r="EG91" s="11472"/>
      <c r="EH91" s="11472"/>
      <c r="EI91" s="11462">
        <v>0</v>
      </c>
    </row>
    <row s="34803" customFormat="1" customHeight="1" ht="21">
      <c r="A92" s="8474"/>
      <c r="B92" s="8474"/>
      <c r="C92" s="8474"/>
      <c r="D92" s="8474" t="s">
        <v>220</v>
      </c>
      <c r="E92" s="11456"/>
      <c r="F92" s="11456" t="s">
        <v>105</v>
      </c>
      <c r="G92" s="11456"/>
      <c r="H92" s="11457">
        <v>1</v>
      </c>
      <c r="I92" s="8474"/>
      <c r="J92" s="8474"/>
      <c r="K92" s="8474"/>
      <c r="L92" s="8474"/>
      <c r="M92" s="11458"/>
      <c r="N92" s="11459"/>
      <c r="O92" s="11459"/>
      <c r="P92" s="11459"/>
      <c r="Q92" s="11474"/>
      <c r="R92" s="11461"/>
      <c r="S92" s="11462"/>
      <c r="T92" s="11463"/>
      <c r="U92" s="11464" t="str">
        <f>INDEX(PT_DIFFERENTIATION_NUM_IST_TE,MATCH(D92,PT_DIFFERENTIATION_IST_TE_ID,0))</f>
        <v>1.3.1.1</v>
      </c>
      <c r="V92" s="11477" t="s">
        <v>461</v>
      </c>
      <c r="W92" s="11466"/>
      <c r="X92" s="11467"/>
      <c r="Y92" s="11468"/>
      <c r="Z92" s="11468"/>
      <c r="AA92" s="11468"/>
      <c r="AB92" s="11468"/>
      <c r="AC92" s="11468"/>
      <c r="AD92" s="11468"/>
      <c r="AE92" s="11468"/>
      <c r="AF92" s="11469"/>
      <c r="AG92" s="11467" t="str">
        <f>INDEX(PT_DIFFERENTIATION_IST_TE,MATCH(D92,PT_DIFFERENTIATION_IST_TE_ID,0))</f>
        <v>без дифференциации</v>
      </c>
      <c r="AH92" s="11468"/>
      <c r="AI92" s="11468"/>
      <c r="AJ92" s="11468"/>
      <c r="AK92" s="11468"/>
      <c r="AL92" s="11468"/>
      <c r="AM92" s="11468"/>
      <c r="AN92" s="11468"/>
      <c r="AO92" s="11468"/>
      <c r="AP92" s="16743"/>
      <c r="AQ92" s="16744"/>
      <c r="AR92" s="16744"/>
      <c r="AS92" s="16744"/>
      <c r="AT92" s="16744"/>
      <c r="AU92" s="16744"/>
      <c r="AV92" s="16744"/>
      <c r="AW92" s="16744"/>
      <c r="AX92" s="16745"/>
      <c r="AY92" s="16743"/>
      <c r="AZ92" s="16744"/>
      <c r="BA92" s="16744"/>
      <c r="BB92" s="16744"/>
      <c r="BC92" s="16744"/>
      <c r="BD92" s="16744"/>
      <c r="BE92" s="16744"/>
      <c r="BF92" s="16744"/>
      <c r="BG92" s="16745"/>
      <c r="BH92" s="16743"/>
      <c r="BI92" s="16744"/>
      <c r="BJ92" s="16744"/>
      <c r="BK92" s="16744"/>
      <c r="BL92" s="16744"/>
      <c r="BM92" s="16744"/>
      <c r="BN92" s="16744"/>
      <c r="BO92" s="16744"/>
      <c r="BP92" s="16745"/>
      <c r="BQ92" s="16743"/>
      <c r="BR92" s="16744"/>
      <c r="BS92" s="16744"/>
      <c r="BT92" s="16744"/>
      <c r="BU92" s="16744"/>
      <c r="BV92" s="16744"/>
      <c r="BW92" s="16744"/>
      <c r="BX92" s="16744"/>
      <c r="BY92" s="16745"/>
      <c r="BZ92" s="16743"/>
      <c r="CA92" s="16744"/>
      <c r="CB92" s="16744"/>
      <c r="CC92" s="16744"/>
      <c r="CD92" s="16744"/>
      <c r="CE92" s="16744"/>
      <c r="CF92" s="16744"/>
      <c r="CG92" s="16744"/>
      <c r="CH92" s="16745"/>
      <c r="CI92" s="16743"/>
      <c r="CJ92" s="16744"/>
      <c r="CK92" s="16744"/>
      <c r="CL92" s="16744"/>
      <c r="CM92" s="16744"/>
      <c r="CN92" s="16744"/>
      <c r="CO92" s="16744"/>
      <c r="CP92" s="16744"/>
      <c r="CQ92" s="16745"/>
      <c r="CR92" s="16743"/>
      <c r="CS92" s="16744"/>
      <c r="CT92" s="16744"/>
      <c r="CU92" s="16744"/>
      <c r="CV92" s="16744"/>
      <c r="CW92" s="16744"/>
      <c r="CX92" s="16744"/>
      <c r="CY92" s="16744"/>
      <c r="CZ92" s="16745"/>
      <c r="DA92" s="16743"/>
      <c r="DB92" s="16744"/>
      <c r="DC92" s="16744"/>
      <c r="DD92" s="16744"/>
      <c r="DE92" s="16744"/>
      <c r="DF92" s="16744"/>
      <c r="DG92" s="16744"/>
      <c r="DH92" s="16744"/>
      <c r="DI92" s="16745"/>
      <c r="DJ92" s="16743"/>
      <c r="DK92" s="16744"/>
      <c r="DL92" s="16744"/>
      <c r="DM92" s="16744"/>
      <c r="DN92" s="16744"/>
      <c r="DO92" s="16744"/>
      <c r="DP92" s="16744"/>
      <c r="DQ92" s="16744"/>
      <c r="DR92" s="16745"/>
      <c r="DS92" s="16743"/>
      <c r="DT92" s="16744"/>
      <c r="DU92" s="16744"/>
      <c r="DV92" s="16744"/>
      <c r="DW92" s="16744"/>
      <c r="DX92" s="16744"/>
      <c r="DY92" s="16744"/>
      <c r="DZ92" s="16744"/>
      <c r="EA92" s="16745"/>
      <c r="EB92" s="11469"/>
      <c r="EC92" s="11470" t="s">
        <v>462</v>
      </c>
      <c r="ED92" s="11471"/>
      <c r="EE92" s="11472"/>
      <c r="EF92" s="11472" t="str">
        <f>IF(V92="","",V92)</f>
        <v>Источник тепловой энергии  </v>
      </c>
      <c r="EG92" s="11472"/>
      <c r="EH92" s="11472"/>
      <c r="EI92" s="11462">
        <v>0</v>
      </c>
    </row>
    <row s="34804" customFormat="1" customHeight="1" ht="14.25">
      <c r="A93" s="8474"/>
      <c r="B93" s="8474"/>
      <c r="C93" s="8474"/>
      <c r="D93" s="8474"/>
      <c r="E93" s="11456"/>
      <c r="F93" s="11456" t="s">
        <v>105</v>
      </c>
      <c r="G93" s="11456"/>
      <c r="H93" s="11456"/>
      <c r="I93" s="11479" t="str">
        <f>U92&amp;".1"</f>
        <v>1.3.1.1.1</v>
      </c>
      <c r="J93" s="8474"/>
      <c r="K93" s="8474"/>
      <c r="L93" s="8474"/>
      <c r="M93" s="11458" t="s">
        <v>463</v>
      </c>
      <c r="N93" s="11462"/>
      <c r="O93" s="11480"/>
      <c r="P93" s="11480"/>
      <c r="Q93" s="11481">
        <v>1</v>
      </c>
      <c r="R93" s="11481"/>
      <c r="S93" s="11481"/>
      <c r="T93" s="11482"/>
      <c r="U93" s="11483"/>
      <c r="V93" s="11484"/>
      <c r="W93" s="11485"/>
      <c r="X93" s="11486"/>
      <c r="Y93" s="11487"/>
      <c r="Z93" s="11487"/>
      <c r="AA93" s="11487"/>
      <c r="AB93" s="11487"/>
      <c r="AC93" s="11487"/>
      <c r="AD93" s="11487"/>
      <c r="AE93" s="11487"/>
      <c r="AF93" s="11488"/>
      <c r="AG93" s="11486"/>
      <c r="AH93" s="11487"/>
      <c r="AI93" s="11487"/>
      <c r="AJ93" s="11487"/>
      <c r="AK93" s="11487"/>
      <c r="AL93" s="11487"/>
      <c r="AM93" s="11487"/>
      <c r="AN93" s="11487"/>
      <c r="AO93" s="11487"/>
      <c r="AP93" s="16746"/>
      <c r="AQ93" s="16747"/>
      <c r="AR93" s="16747"/>
      <c r="AS93" s="16747"/>
      <c r="AT93" s="16747"/>
      <c r="AU93" s="16747"/>
      <c r="AV93" s="16747"/>
      <c r="AW93" s="16747"/>
      <c r="AX93" s="16748"/>
      <c r="AY93" s="16746"/>
      <c r="AZ93" s="16747"/>
      <c r="BA93" s="16747"/>
      <c r="BB93" s="16747"/>
      <c r="BC93" s="16747"/>
      <c r="BD93" s="16747"/>
      <c r="BE93" s="16747"/>
      <c r="BF93" s="16747"/>
      <c r="BG93" s="16748"/>
      <c r="BH93" s="16746"/>
      <c r="BI93" s="16747"/>
      <c r="BJ93" s="16747"/>
      <c r="BK93" s="16747"/>
      <c r="BL93" s="16747"/>
      <c r="BM93" s="16747"/>
      <c r="BN93" s="16747"/>
      <c r="BO93" s="16747"/>
      <c r="BP93" s="16748"/>
      <c r="BQ93" s="16746"/>
      <c r="BR93" s="16747"/>
      <c r="BS93" s="16747"/>
      <c r="BT93" s="16747"/>
      <c r="BU93" s="16747"/>
      <c r="BV93" s="16747"/>
      <c r="BW93" s="16747"/>
      <c r="BX93" s="16747"/>
      <c r="BY93" s="16748"/>
      <c r="BZ93" s="16746"/>
      <c r="CA93" s="16747"/>
      <c r="CB93" s="16747"/>
      <c r="CC93" s="16747"/>
      <c r="CD93" s="16747"/>
      <c r="CE93" s="16747"/>
      <c r="CF93" s="16747"/>
      <c r="CG93" s="16747"/>
      <c r="CH93" s="16748"/>
      <c r="CI93" s="16746"/>
      <c r="CJ93" s="16747"/>
      <c r="CK93" s="16747"/>
      <c r="CL93" s="16747"/>
      <c r="CM93" s="16747"/>
      <c r="CN93" s="16747"/>
      <c r="CO93" s="16747"/>
      <c r="CP93" s="16747"/>
      <c r="CQ93" s="16748"/>
      <c r="CR93" s="16746"/>
      <c r="CS93" s="16747"/>
      <c r="CT93" s="16747"/>
      <c r="CU93" s="16747"/>
      <c r="CV93" s="16747"/>
      <c r="CW93" s="16747"/>
      <c r="CX93" s="16747"/>
      <c r="CY93" s="16747"/>
      <c r="CZ93" s="16748"/>
      <c r="DA93" s="16746"/>
      <c r="DB93" s="16747"/>
      <c r="DC93" s="16747"/>
      <c r="DD93" s="16747"/>
      <c r="DE93" s="16747"/>
      <c r="DF93" s="16747"/>
      <c r="DG93" s="16747"/>
      <c r="DH93" s="16747"/>
      <c r="DI93" s="16748"/>
      <c r="DJ93" s="16746"/>
      <c r="DK93" s="16747"/>
      <c r="DL93" s="16747"/>
      <c r="DM93" s="16747"/>
      <c r="DN93" s="16747"/>
      <c r="DO93" s="16747"/>
      <c r="DP93" s="16747"/>
      <c r="DQ93" s="16747"/>
      <c r="DR93" s="16748"/>
      <c r="DS93" s="16746"/>
      <c r="DT93" s="16747"/>
      <c r="DU93" s="16747"/>
      <c r="DV93" s="16747"/>
      <c r="DW93" s="16747"/>
      <c r="DX93" s="16747"/>
      <c r="DY93" s="16747"/>
      <c r="DZ93" s="16747"/>
      <c r="EA93" s="16748"/>
      <c r="EB93" s="11488"/>
      <c r="EC93" s="11489"/>
      <c r="ED93" s="11471"/>
      <c r="EE93" s="11472"/>
      <c r="EF93" s="11472" t="str">
        <f>IF(V93="","",V93)</f>
        <v/>
      </c>
      <c r="EG93" s="11472"/>
      <c r="EH93" s="11472"/>
      <c r="EI93" s="11462">
        <v>0</v>
      </c>
    </row>
    <row s="34805" customFormat="1" customHeight="1" ht="21">
      <c r="A94" s="8474"/>
      <c r="B94" s="8474"/>
      <c r="C94" s="8474"/>
      <c r="D94" s="8474"/>
      <c r="E94" s="11456"/>
      <c r="F94" s="11456" t="s">
        <v>105</v>
      </c>
      <c r="G94" s="11456"/>
      <c r="H94" s="11456"/>
      <c r="I94" s="11491"/>
      <c r="J94" s="11479" t="str">
        <f>I93&amp;".1"</f>
        <v>1.3.1.1.1.1</v>
      </c>
      <c r="K94" s="8474"/>
      <c r="L94" s="8474"/>
      <c r="M94" s="11458" t="s">
        <v>466</v>
      </c>
      <c r="N94" s="11462"/>
      <c r="O94" s="11462"/>
      <c r="P94" s="11480"/>
      <c r="Q94" s="11481"/>
      <c r="R94" s="11481">
        <v>1</v>
      </c>
      <c r="S94" s="11471"/>
      <c r="T94" s="11492"/>
      <c r="U94" s="11464" t="str">
        <f>$J94</f>
        <v>1.3.1.1.1.1</v>
      </c>
      <c r="V94" s="11493" t="s">
        <v>467</v>
      </c>
      <c r="W94" s="11466"/>
      <c r="X94" s="11494"/>
      <c r="Y94" s="11495"/>
      <c r="Z94" s="11495"/>
      <c r="AA94" s="11495"/>
      <c r="AB94" s="11495"/>
      <c r="AC94" s="11496"/>
      <c r="AD94" s="11496"/>
      <c r="AE94" s="11496"/>
      <c r="AF94" s="11497"/>
      <c r="AG94" s="11494" t="s">
        <v>535</v>
      </c>
      <c r="AH94" s="11495"/>
      <c r="AI94" s="11495"/>
      <c r="AJ94" s="11495"/>
      <c r="AK94" s="11495"/>
      <c r="AL94" s="11495"/>
      <c r="AM94" s="11495"/>
      <c r="AN94" s="11495"/>
      <c r="AO94" s="11495"/>
      <c r="AP94" s="16750"/>
      <c r="AQ94" s="16751"/>
      <c r="AR94" s="16751"/>
      <c r="AS94" s="16751"/>
      <c r="AT94" s="16751"/>
      <c r="AU94" s="16752"/>
      <c r="AV94" s="16752"/>
      <c r="AW94" s="16752"/>
      <c r="AX94" s="16753"/>
      <c r="AY94" s="16750"/>
      <c r="AZ94" s="16751"/>
      <c r="BA94" s="16751"/>
      <c r="BB94" s="16751"/>
      <c r="BC94" s="16751"/>
      <c r="BD94" s="16752"/>
      <c r="BE94" s="16752"/>
      <c r="BF94" s="16752"/>
      <c r="BG94" s="16753"/>
      <c r="BH94" s="16750"/>
      <c r="BI94" s="16751"/>
      <c r="BJ94" s="16751"/>
      <c r="BK94" s="16751"/>
      <c r="BL94" s="16751"/>
      <c r="BM94" s="16752"/>
      <c r="BN94" s="16752"/>
      <c r="BO94" s="16752"/>
      <c r="BP94" s="16753"/>
      <c r="BQ94" s="16750"/>
      <c r="BR94" s="16751"/>
      <c r="BS94" s="16751"/>
      <c r="BT94" s="16751"/>
      <c r="BU94" s="16751"/>
      <c r="BV94" s="16752"/>
      <c r="BW94" s="16752"/>
      <c r="BX94" s="16752"/>
      <c r="BY94" s="16753"/>
      <c r="BZ94" s="16750"/>
      <c r="CA94" s="16751"/>
      <c r="CB94" s="16751"/>
      <c r="CC94" s="16751"/>
      <c r="CD94" s="16751"/>
      <c r="CE94" s="16752"/>
      <c r="CF94" s="16752"/>
      <c r="CG94" s="16752"/>
      <c r="CH94" s="16753"/>
      <c r="CI94" s="16750"/>
      <c r="CJ94" s="16751"/>
      <c r="CK94" s="16751"/>
      <c r="CL94" s="16751"/>
      <c r="CM94" s="16751"/>
      <c r="CN94" s="16752"/>
      <c r="CO94" s="16752"/>
      <c r="CP94" s="16752"/>
      <c r="CQ94" s="16753"/>
      <c r="CR94" s="16750"/>
      <c r="CS94" s="16751"/>
      <c r="CT94" s="16751"/>
      <c r="CU94" s="16751"/>
      <c r="CV94" s="16751"/>
      <c r="CW94" s="16752"/>
      <c r="CX94" s="16752"/>
      <c r="CY94" s="16752"/>
      <c r="CZ94" s="16753"/>
      <c r="DA94" s="16750"/>
      <c r="DB94" s="16751"/>
      <c r="DC94" s="16751"/>
      <c r="DD94" s="16751"/>
      <c r="DE94" s="16751"/>
      <c r="DF94" s="16752"/>
      <c r="DG94" s="16752"/>
      <c r="DH94" s="16752"/>
      <c r="DI94" s="16753"/>
      <c r="DJ94" s="16750"/>
      <c r="DK94" s="16751"/>
      <c r="DL94" s="16751"/>
      <c r="DM94" s="16751"/>
      <c r="DN94" s="16751"/>
      <c r="DO94" s="16752"/>
      <c r="DP94" s="16752"/>
      <c r="DQ94" s="16752"/>
      <c r="DR94" s="16753"/>
      <c r="DS94" s="16750"/>
      <c r="DT94" s="16751"/>
      <c r="DU94" s="16751"/>
      <c r="DV94" s="16751"/>
      <c r="DW94" s="16751"/>
      <c r="DX94" s="16752"/>
      <c r="DY94" s="16752"/>
      <c r="DZ94" s="16752"/>
      <c r="EA94" s="16753"/>
      <c r="EB94" s="11498"/>
      <c r="EC94" s="11470" t="s">
        <v>468</v>
      </c>
      <c r="ED94" s="11471"/>
      <c r="EE94" s="11472"/>
      <c r="EF94" s="11472" t="str">
        <f>IF(V94="","",V94)</f>
        <v>Группа потребителей</v>
      </c>
      <c r="EG94" s="11472"/>
      <c r="EH94" s="11472"/>
      <c r="EI94" s="11462">
        <v>0</v>
      </c>
    </row>
    <row s="34806" customFormat="1" customHeight="1" ht="21">
      <c r="A95" s="8474"/>
      <c r="B95" s="8474"/>
      <c r="C95" s="8474"/>
      <c r="D95" s="8474"/>
      <c r="E95" s="11456"/>
      <c r="F95" s="11456" t="s">
        <v>105</v>
      </c>
      <c r="G95" s="11456"/>
      <c r="H95" s="11456"/>
      <c r="I95" s="11491"/>
      <c r="J95" s="11491"/>
      <c r="K95" s="11479" t="str">
        <f>J94&amp;".1"</f>
        <v>1.3.1.1.1.1.1</v>
      </c>
      <c r="L95" s="11460"/>
      <c r="M95" s="11458" t="s">
        <v>469</v>
      </c>
      <c r="N95" s="11462"/>
      <c r="O95" s="11462"/>
      <c r="P95" s="11462"/>
      <c r="Q95" s="11481"/>
      <c r="R95" s="11481"/>
      <c r="S95" s="11481">
        <v>1</v>
      </c>
      <c r="T95" s="11492"/>
      <c r="U95" s="11464" t="str">
        <f>$K95</f>
        <v>1.3.1.1.1.1.1</v>
      </c>
      <c r="V95" s="11500" t="s">
        <v>508</v>
      </c>
      <c r="W95" s="11466"/>
      <c r="X95" s="17062"/>
      <c r="Y95" s="17062"/>
      <c r="Z95" s="17062"/>
      <c r="AA95" s="17062"/>
      <c r="AB95" s="17063"/>
      <c r="AC95" s="17064"/>
      <c r="AD95" s="17065" t="s">
        <v>64</v>
      </c>
      <c r="AE95" s="17064"/>
      <c r="AF95" s="17065" t="s">
        <v>64</v>
      </c>
      <c r="AG95" s="11504"/>
      <c r="AH95" s="11501">
        <v>51.02</v>
      </c>
      <c r="AI95" s="11501">
        <v>1906.98</v>
      </c>
      <c r="AJ95" s="11501"/>
      <c r="AK95" s="11505"/>
      <c r="AL95" s="16759">
        <v>45292</v>
      </c>
      <c r="AM95" s="8452" t="s">
        <v>64</v>
      </c>
      <c r="AN95" s="16759">
        <v>45473</v>
      </c>
      <c r="AO95" s="8452" t="s">
        <v>64</v>
      </c>
      <c r="AP95" s="16757"/>
      <c r="AQ95" s="16757">
        <v>55.86</v>
      </c>
      <c r="AR95" s="16757">
        <v>2193.03</v>
      </c>
      <c r="AS95" s="16757"/>
      <c r="AT95" s="16758"/>
      <c r="AU95" s="16759">
        <v>45474</v>
      </c>
      <c r="AV95" s="16760" t="s">
        <v>64</v>
      </c>
      <c r="AW95" s="16759">
        <v>45657</v>
      </c>
      <c r="AX95" s="16760" t="s">
        <v>64</v>
      </c>
      <c r="AY95" s="16757"/>
      <c r="AZ95" s="16757">
        <v>55.86</v>
      </c>
      <c r="BA95" s="16757">
        <v>2193.03</v>
      </c>
      <c r="BB95" s="16757"/>
      <c r="BC95" s="16758"/>
      <c r="BD95" s="16759">
        <v>45658</v>
      </c>
      <c r="BE95" s="16760" t="s">
        <v>64</v>
      </c>
      <c r="BF95" s="16759">
        <v>45838</v>
      </c>
      <c r="BG95" s="16760" t="s">
        <v>64</v>
      </c>
      <c r="BH95" s="16757"/>
      <c r="BI95" s="16757">
        <v>62.68</v>
      </c>
      <c r="BJ95" s="16757">
        <v>2460.58</v>
      </c>
      <c r="BK95" s="16757"/>
      <c r="BL95" s="16758"/>
      <c r="BM95" s="16759">
        <v>45839</v>
      </c>
      <c r="BN95" s="16760" t="s">
        <v>64</v>
      </c>
      <c r="BO95" s="16759">
        <v>46022</v>
      </c>
      <c r="BP95" s="16760" t="s">
        <v>64</v>
      </c>
      <c r="BQ95" s="16757"/>
      <c r="BR95" s="16757">
        <v>61</v>
      </c>
      <c r="BS95" s="16757">
        <v>2301.63</v>
      </c>
      <c r="BT95" s="16757"/>
      <c r="BU95" s="16758"/>
      <c r="BV95" s="16759">
        <v>46023</v>
      </c>
      <c r="BW95" s="16760" t="s">
        <v>64</v>
      </c>
      <c r="BX95" s="16759">
        <v>46203</v>
      </c>
      <c r="BY95" s="16760" t="s">
        <v>64</v>
      </c>
      <c r="BZ95" s="16757"/>
      <c r="CA95" s="16757">
        <v>67.66</v>
      </c>
      <c r="CB95" s="16757">
        <v>2301.63</v>
      </c>
      <c r="CC95" s="16757"/>
      <c r="CD95" s="16758"/>
      <c r="CE95" s="16759">
        <v>46204</v>
      </c>
      <c r="CF95" s="16760" t="s">
        <v>64</v>
      </c>
      <c r="CG95" s="16759">
        <v>46387</v>
      </c>
      <c r="CH95" s="16760" t="s">
        <v>64</v>
      </c>
      <c r="CI95" s="16757"/>
      <c r="CJ95" s="16757">
        <v>67.66</v>
      </c>
      <c r="CK95" s="16757">
        <v>2301.63</v>
      </c>
      <c r="CL95" s="16757"/>
      <c r="CM95" s="16758"/>
      <c r="CN95" s="16759">
        <v>46388</v>
      </c>
      <c r="CO95" s="16760" t="s">
        <v>64</v>
      </c>
      <c r="CP95" s="16759">
        <v>46568</v>
      </c>
      <c r="CQ95" s="16760" t="s">
        <v>64</v>
      </c>
      <c r="CR95" s="16757"/>
      <c r="CS95" s="16757">
        <v>70.4</v>
      </c>
      <c r="CT95" s="16757">
        <v>2367.79</v>
      </c>
      <c r="CU95" s="16757"/>
      <c r="CV95" s="16758"/>
      <c r="CW95" s="16759">
        <v>46569</v>
      </c>
      <c r="CX95" s="16760" t="s">
        <v>64</v>
      </c>
      <c r="CY95" s="16759">
        <v>46752</v>
      </c>
      <c r="CZ95" s="16760" t="s">
        <v>64</v>
      </c>
      <c r="DA95" s="16757"/>
      <c r="DB95" s="16757">
        <v>70.4</v>
      </c>
      <c r="DC95" s="16757">
        <v>2367.79</v>
      </c>
      <c r="DD95" s="16757"/>
      <c r="DE95" s="16758"/>
      <c r="DF95" s="16759">
        <v>46753</v>
      </c>
      <c r="DG95" s="16760" t="s">
        <v>64</v>
      </c>
      <c r="DH95" s="16759">
        <v>46934</v>
      </c>
      <c r="DI95" s="16760" t="s">
        <v>64</v>
      </c>
      <c r="DJ95" s="16757"/>
      <c r="DK95" s="16757">
        <v>75.39</v>
      </c>
      <c r="DL95" s="16757">
        <v>2400.63</v>
      </c>
      <c r="DM95" s="16757"/>
      <c r="DN95" s="16758"/>
      <c r="DO95" s="16759">
        <v>46935</v>
      </c>
      <c r="DP95" s="16760" t="s">
        <v>64</v>
      </c>
      <c r="DQ95" s="16759">
        <v>47118</v>
      </c>
      <c r="DR95" s="16760" t="s">
        <v>19</v>
      </c>
      <c r="DS95" s="17062"/>
      <c r="DT95" s="17062"/>
      <c r="DU95" s="17062"/>
      <c r="DV95" s="17062"/>
      <c r="DW95" s="17063"/>
      <c r="DX95" s="17064"/>
      <c r="DY95" s="17065" t="s">
        <v>64</v>
      </c>
      <c r="DZ95" s="17064"/>
      <c r="EA95" s="17065" t="s">
        <v>64</v>
      </c>
      <c r="EB95" s="11506"/>
      <c r="EC95" s="11507" t="s">
        <v>523</v>
      </c>
      <c r="ED95" s="11471">
        <f>STRCHECKDATE(X97:EB97)</f>
      </c>
      <c r="EE95" s="11472"/>
      <c r="EF95" s="11472" t="str">
        <f>IF(V95="","",V95)</f>
        <v>вода</v>
      </c>
      <c r="EG95" s="11472"/>
      <c r="EH95" s="11472"/>
      <c r="EI95" s="11462">
        <v>0</v>
      </c>
    </row>
    <row s="34807" customFormat="1" customHeight="1" ht="21">
      <c r="A96" s="8474"/>
      <c r="B96" s="8474"/>
      <c r="C96" s="8474"/>
      <c r="D96" s="8474"/>
      <c r="E96" s="11456"/>
      <c r="F96" s="11456" t="s">
        <v>105</v>
      </c>
      <c r="G96" s="11456"/>
      <c r="H96" s="11456"/>
      <c r="I96" s="11491"/>
      <c r="J96" s="11491"/>
      <c r="K96" s="11491"/>
      <c r="L96" s="11479" t="str">
        <f>K95&amp;".1"</f>
        <v>1.3.1.1.1.1.1.1</v>
      </c>
      <c r="M96" s="11458"/>
      <c r="N96" s="11462"/>
      <c r="O96" s="11462"/>
      <c r="P96" s="11462"/>
      <c r="Q96" s="11481"/>
      <c r="R96" s="11481"/>
      <c r="S96" s="11481"/>
      <c r="T96" s="11492"/>
      <c r="U96" s="11464" t="str">
        <f>$L96</f>
        <v>1.3.1.1.1.1.1.1</v>
      </c>
      <c r="V96" s="11509"/>
      <c r="W96" s="11466"/>
      <c r="X96" s="17062"/>
      <c r="Y96" s="17062"/>
      <c r="Z96" s="17062"/>
      <c r="AA96" s="17062"/>
      <c r="AB96" s="17063"/>
      <c r="AC96" s="17064"/>
      <c r="AD96" s="17065"/>
      <c r="AE96" s="17064"/>
      <c r="AF96" s="17065"/>
      <c r="AG96" s="11504"/>
      <c r="AH96" s="11501"/>
      <c r="AI96" s="11501"/>
      <c r="AJ96" s="11501"/>
      <c r="AK96" s="11505"/>
      <c r="AL96" s="11510"/>
      <c r="AM96" s="8452"/>
      <c r="AN96" s="11510"/>
      <c r="AO96" s="8452"/>
      <c r="AP96" s="16764"/>
      <c r="AQ96" s="16757"/>
      <c r="AR96" s="16757"/>
      <c r="AS96" s="16757"/>
      <c r="AT96" s="16758"/>
      <c r="AU96" s="16765"/>
      <c r="AV96" s="16760"/>
      <c r="AW96" s="16765"/>
      <c r="AX96" s="16760"/>
      <c r="AY96" s="16764"/>
      <c r="AZ96" s="16757"/>
      <c r="BA96" s="16757"/>
      <c r="BB96" s="16757"/>
      <c r="BC96" s="16758"/>
      <c r="BD96" s="16765"/>
      <c r="BE96" s="16760"/>
      <c r="BF96" s="16765"/>
      <c r="BG96" s="16760"/>
      <c r="BH96" s="16764"/>
      <c r="BI96" s="16757"/>
      <c r="BJ96" s="16757"/>
      <c r="BK96" s="16757"/>
      <c r="BL96" s="16758"/>
      <c r="BM96" s="16765"/>
      <c r="BN96" s="16760"/>
      <c r="BO96" s="16765"/>
      <c r="BP96" s="16760"/>
      <c r="BQ96" s="16764"/>
      <c r="BR96" s="16757"/>
      <c r="BS96" s="16757"/>
      <c r="BT96" s="16757"/>
      <c r="BU96" s="16758"/>
      <c r="BV96" s="16765"/>
      <c r="BW96" s="16760"/>
      <c r="BX96" s="16765"/>
      <c r="BY96" s="16760"/>
      <c r="BZ96" s="16764"/>
      <c r="CA96" s="16757"/>
      <c r="CB96" s="16757"/>
      <c r="CC96" s="16757"/>
      <c r="CD96" s="16758"/>
      <c r="CE96" s="16765"/>
      <c r="CF96" s="16760"/>
      <c r="CG96" s="16765"/>
      <c r="CH96" s="16760"/>
      <c r="CI96" s="16764"/>
      <c r="CJ96" s="16757"/>
      <c r="CK96" s="16757"/>
      <c r="CL96" s="16757"/>
      <c r="CM96" s="16758"/>
      <c r="CN96" s="16765"/>
      <c r="CO96" s="16760"/>
      <c r="CP96" s="16765"/>
      <c r="CQ96" s="16760"/>
      <c r="CR96" s="16764"/>
      <c r="CS96" s="16757"/>
      <c r="CT96" s="16757"/>
      <c r="CU96" s="16757"/>
      <c r="CV96" s="16758"/>
      <c r="CW96" s="16765"/>
      <c r="CX96" s="16760"/>
      <c r="CY96" s="16765"/>
      <c r="CZ96" s="16760"/>
      <c r="DA96" s="16764"/>
      <c r="DB96" s="16757"/>
      <c r="DC96" s="16757"/>
      <c r="DD96" s="16757"/>
      <c r="DE96" s="16758"/>
      <c r="DF96" s="16765"/>
      <c r="DG96" s="16760"/>
      <c r="DH96" s="16765"/>
      <c r="DI96" s="16760"/>
      <c r="DJ96" s="16764"/>
      <c r="DK96" s="16757"/>
      <c r="DL96" s="16757"/>
      <c r="DM96" s="16757"/>
      <c r="DN96" s="16758"/>
      <c r="DO96" s="16765"/>
      <c r="DP96" s="16760"/>
      <c r="DQ96" s="16765"/>
      <c r="DR96" s="16760"/>
      <c r="DS96" s="17062"/>
      <c r="DT96" s="17062"/>
      <c r="DU96" s="17062"/>
      <c r="DV96" s="17062"/>
      <c r="DW96" s="17063"/>
      <c r="DX96" s="17064"/>
      <c r="DY96" s="17065"/>
      <c r="DZ96" s="17064"/>
      <c r="EA96" s="17065"/>
      <c r="EB96" s="11506"/>
      <c r="EC96" s="11511" t="s">
        <v>524</v>
      </c>
      <c r="ED96" s="11471"/>
      <c r="EE96" s="11472"/>
      <c r="EF96" s="11472"/>
      <c r="EG96" s="11472"/>
      <c r="EH96" s="11472"/>
      <c r="EI96" s="11462">
        <v>0</v>
      </c>
    </row>
    <row s="34808" customFormat="1" customHeight="1" ht="14.25">
      <c r="A97" s="8474"/>
      <c r="B97" s="8474"/>
      <c r="C97" s="8474"/>
      <c r="D97" s="8474"/>
      <c r="E97" s="11456"/>
      <c r="F97" s="11456" t="s">
        <v>105</v>
      </c>
      <c r="G97" s="11456"/>
      <c r="H97" s="11456"/>
      <c r="I97" s="11491"/>
      <c r="J97" s="11491"/>
      <c r="K97" s="11491"/>
      <c r="L97" s="11479"/>
      <c r="M97" s="11458"/>
      <c r="N97" s="11462"/>
      <c r="O97" s="11462"/>
      <c r="P97" s="11462"/>
      <c r="Q97" s="11481"/>
      <c r="R97" s="11481"/>
      <c r="S97" s="11481"/>
      <c r="T97" s="11492"/>
      <c r="U97" s="11513"/>
      <c r="V97" s="11466"/>
      <c r="W97" s="11466"/>
      <c r="X97" s="17062"/>
      <c r="Y97" s="17062"/>
      <c r="Z97" s="17062"/>
      <c r="AA97" s="17062"/>
      <c r="AB97" s="17063"/>
      <c r="AC97" s="17064"/>
      <c r="AD97" s="17065"/>
      <c r="AE97" s="17064"/>
      <c r="AF97" s="17065"/>
      <c r="AG97" s="11515"/>
      <c r="AH97" s="11506"/>
      <c r="AI97" s="11506"/>
      <c r="AJ97" s="11506"/>
      <c r="AK97" s="11516" t="str">
        <f>AL95&amp;"-"&amp;AN95</f>
        <v>45292-45473</v>
      </c>
      <c r="AL97" s="11510"/>
      <c r="AM97" s="8452"/>
      <c r="AN97" s="11510"/>
      <c r="AO97" s="8452"/>
      <c r="AP97" s="16764"/>
      <c r="AQ97" s="16764"/>
      <c r="AR97" s="16764"/>
      <c r="AS97" s="16764"/>
      <c r="AT97" s="16768" t="str">
        <f>AU95&amp;"-"&amp;AW95</f>
        <v>45474-45657</v>
      </c>
      <c r="AU97" s="16765"/>
      <c r="AV97" s="16760"/>
      <c r="AW97" s="16765"/>
      <c r="AX97" s="16760"/>
      <c r="AY97" s="16764"/>
      <c r="AZ97" s="16764"/>
      <c r="BA97" s="16764"/>
      <c r="BB97" s="16764"/>
      <c r="BC97" s="16768" t="str">
        <f>BD95&amp;"-"&amp;BF95</f>
        <v>45658-45838</v>
      </c>
      <c r="BD97" s="16765"/>
      <c r="BE97" s="16760"/>
      <c r="BF97" s="16765"/>
      <c r="BG97" s="16760"/>
      <c r="BH97" s="16764"/>
      <c r="BI97" s="16764"/>
      <c r="BJ97" s="16764"/>
      <c r="BK97" s="16764"/>
      <c r="BL97" s="16768" t="str">
        <f>BM95&amp;"-"&amp;BO95</f>
        <v>45839-46022</v>
      </c>
      <c r="BM97" s="16765"/>
      <c r="BN97" s="16760"/>
      <c r="BO97" s="16765"/>
      <c r="BP97" s="16760"/>
      <c r="BQ97" s="16764"/>
      <c r="BR97" s="16764"/>
      <c r="BS97" s="16764"/>
      <c r="BT97" s="16764"/>
      <c r="BU97" s="16768" t="str">
        <f>BV95&amp;"-"&amp;BX95</f>
        <v>46023-46203</v>
      </c>
      <c r="BV97" s="16765"/>
      <c r="BW97" s="16760"/>
      <c r="BX97" s="16765"/>
      <c r="BY97" s="16760"/>
      <c r="BZ97" s="16764"/>
      <c r="CA97" s="16764"/>
      <c r="CB97" s="16764"/>
      <c r="CC97" s="16764"/>
      <c r="CD97" s="16768" t="str">
        <f>CE95&amp;"-"&amp;CG95</f>
        <v>46204-46387</v>
      </c>
      <c r="CE97" s="16765"/>
      <c r="CF97" s="16760"/>
      <c r="CG97" s="16765"/>
      <c r="CH97" s="16760"/>
      <c r="CI97" s="16764"/>
      <c r="CJ97" s="16764"/>
      <c r="CK97" s="16764"/>
      <c r="CL97" s="16764"/>
      <c r="CM97" s="16768" t="str">
        <f>CN95&amp;"-"&amp;CP95</f>
        <v>46388-46568</v>
      </c>
      <c r="CN97" s="16765"/>
      <c r="CO97" s="16760"/>
      <c r="CP97" s="16765"/>
      <c r="CQ97" s="16760"/>
      <c r="CR97" s="16764"/>
      <c r="CS97" s="16764"/>
      <c r="CT97" s="16764"/>
      <c r="CU97" s="16764"/>
      <c r="CV97" s="16768" t="str">
        <f>CW95&amp;"-"&amp;CY95</f>
        <v>46569-46752</v>
      </c>
      <c r="CW97" s="16765"/>
      <c r="CX97" s="16760"/>
      <c r="CY97" s="16765"/>
      <c r="CZ97" s="16760"/>
      <c r="DA97" s="16764"/>
      <c r="DB97" s="16764"/>
      <c r="DC97" s="16764"/>
      <c r="DD97" s="16764"/>
      <c r="DE97" s="16768" t="str">
        <f>DF95&amp;"-"&amp;DH95</f>
        <v>46753-46934</v>
      </c>
      <c r="DF97" s="16765"/>
      <c r="DG97" s="16760"/>
      <c r="DH97" s="16765"/>
      <c r="DI97" s="16760"/>
      <c r="DJ97" s="16764"/>
      <c r="DK97" s="16764"/>
      <c r="DL97" s="16764"/>
      <c r="DM97" s="16764"/>
      <c r="DN97" s="16768" t="str">
        <f>DO95&amp;"-"&amp;DQ95</f>
        <v>46935-47118</v>
      </c>
      <c r="DO97" s="16765"/>
      <c r="DP97" s="16760"/>
      <c r="DQ97" s="16765"/>
      <c r="DR97" s="16760"/>
      <c r="DS97" s="17062"/>
      <c r="DT97" s="17062"/>
      <c r="DU97" s="17062"/>
      <c r="DV97" s="17062"/>
      <c r="DW97" s="17063"/>
      <c r="DX97" s="17064"/>
      <c r="DY97" s="17065"/>
      <c r="DZ97" s="17064"/>
      <c r="EA97" s="17065"/>
      <c r="EB97" s="11506"/>
      <c r="EC97" s="11517"/>
      <c r="ED97" s="11471"/>
      <c r="EE97" s="11472"/>
      <c r="EF97" s="11472" t="str">
        <f>IF(V97="","",V97)</f>
        <v/>
      </c>
      <c r="EG97" s="11472"/>
      <c r="EH97" s="11472"/>
      <c r="EI97" s="11462">
        <v>0</v>
      </c>
    </row>
    <row s="34809" customFormat="1" customHeight="1" ht="11.25">
      <c r="A98" s="8474"/>
      <c r="B98" s="8474"/>
      <c r="C98" s="8474"/>
      <c r="D98" s="8474"/>
      <c r="E98" s="11456"/>
      <c r="F98" s="11456" t="s">
        <v>105</v>
      </c>
      <c r="G98" s="11456"/>
      <c r="H98" s="11456"/>
      <c r="I98" s="11491"/>
      <c r="J98" s="11491"/>
      <c r="K98" s="11479"/>
      <c r="L98" s="8474"/>
      <c r="M98" s="11458"/>
      <c r="N98" s="11462"/>
      <c r="O98" s="11462"/>
      <c r="P98" s="11462"/>
      <c r="Q98" s="11481"/>
      <c r="R98" s="11481"/>
      <c r="S98" s="11481"/>
      <c r="T98" s="11492"/>
      <c r="U98" s="11613"/>
      <c r="V98" s="11614" t="s">
        <v>525</v>
      </c>
      <c r="W98" s="11615"/>
      <c r="X98" s="17062"/>
      <c r="Y98" s="17062"/>
      <c r="Z98" s="17062"/>
      <c r="AA98" s="17062"/>
      <c r="AB98" s="17069" t="str">
        <f>AC95&amp;"-"&amp;AE95</f>
        <v>-</v>
      </c>
      <c r="AC98" s="17065"/>
      <c r="AD98" s="17065"/>
      <c r="AE98" s="17065"/>
      <c r="AF98" s="17065"/>
      <c r="AG98" s="11621"/>
      <c r="AH98" s="11622"/>
      <c r="AI98" s="11623"/>
      <c r="AJ98" s="11624"/>
      <c r="AK98" s="11625"/>
      <c r="AL98" s="11510"/>
      <c r="AM98" s="8452"/>
      <c r="AN98" s="11510"/>
      <c r="AO98" s="8452"/>
      <c r="AP98" s="18020"/>
      <c r="AQ98" s="18021"/>
      <c r="AR98" s="18022"/>
      <c r="AS98" s="18023"/>
      <c r="AT98" s="18024"/>
      <c r="AU98" s="16765"/>
      <c r="AV98" s="16760"/>
      <c r="AW98" s="16765"/>
      <c r="AX98" s="16760"/>
      <c r="AY98" s="18025"/>
      <c r="AZ98" s="18026"/>
      <c r="BA98" s="18027"/>
      <c r="BB98" s="18028"/>
      <c r="BC98" s="18029"/>
      <c r="BD98" s="16765"/>
      <c r="BE98" s="16760"/>
      <c r="BF98" s="16765"/>
      <c r="BG98" s="16760"/>
      <c r="BH98" s="18030"/>
      <c r="BI98" s="18031"/>
      <c r="BJ98" s="18032"/>
      <c r="BK98" s="18033"/>
      <c r="BL98" s="18034"/>
      <c r="BM98" s="16765"/>
      <c r="BN98" s="16760"/>
      <c r="BO98" s="16765"/>
      <c r="BP98" s="16760"/>
      <c r="BQ98" s="18035"/>
      <c r="BR98" s="18036"/>
      <c r="BS98" s="18037"/>
      <c r="BT98" s="18038"/>
      <c r="BU98" s="18039"/>
      <c r="BV98" s="16765"/>
      <c r="BW98" s="16760"/>
      <c r="BX98" s="16765"/>
      <c r="BY98" s="16760"/>
      <c r="BZ98" s="18040"/>
      <c r="CA98" s="18041"/>
      <c r="CB98" s="18042"/>
      <c r="CC98" s="18043"/>
      <c r="CD98" s="18044"/>
      <c r="CE98" s="16765"/>
      <c r="CF98" s="16760"/>
      <c r="CG98" s="16765"/>
      <c r="CH98" s="16760"/>
      <c r="CI98" s="18045"/>
      <c r="CJ98" s="18046"/>
      <c r="CK98" s="18047"/>
      <c r="CL98" s="18048"/>
      <c r="CM98" s="18049"/>
      <c r="CN98" s="16765"/>
      <c r="CO98" s="16760"/>
      <c r="CP98" s="16765"/>
      <c r="CQ98" s="16760"/>
      <c r="CR98" s="18050"/>
      <c r="CS98" s="18051"/>
      <c r="CT98" s="18052"/>
      <c r="CU98" s="18053"/>
      <c r="CV98" s="18054"/>
      <c r="CW98" s="16765"/>
      <c r="CX98" s="16760"/>
      <c r="CY98" s="16765"/>
      <c r="CZ98" s="16760"/>
      <c r="DA98" s="18055"/>
      <c r="DB98" s="18056"/>
      <c r="DC98" s="18057"/>
      <c r="DD98" s="18058"/>
      <c r="DE98" s="18059"/>
      <c r="DF98" s="16765"/>
      <c r="DG98" s="16760"/>
      <c r="DH98" s="16765"/>
      <c r="DI98" s="16760"/>
      <c r="DJ98" s="18060"/>
      <c r="DK98" s="18061"/>
      <c r="DL98" s="18062"/>
      <c r="DM98" s="18063"/>
      <c r="DN98" s="18064"/>
      <c r="DO98" s="16765"/>
      <c r="DP98" s="16760"/>
      <c r="DQ98" s="16765"/>
      <c r="DR98" s="16760"/>
      <c r="DS98" s="17062"/>
      <c r="DT98" s="17062"/>
      <c r="DU98" s="17062"/>
      <c r="DV98" s="17062"/>
      <c r="DW98" s="17069" t="str">
        <f>DX95&amp;"-"&amp;DZ95</f>
        <v>-</v>
      </c>
      <c r="DX98" s="17065"/>
      <c r="DY98" s="17065"/>
      <c r="DZ98" s="17065"/>
      <c r="EA98" s="17065"/>
      <c r="EB98" s="11626"/>
      <c r="EC98" s="11517"/>
      <c r="ED98" s="11471"/>
      <c r="EE98" s="11472"/>
      <c r="EF98" s="11472"/>
      <c r="EG98" s="11472"/>
      <c r="EH98" s="11472"/>
      <c r="EI98" s="11462">
        <v>0</v>
      </c>
    </row>
    <row s="34864" customFormat="1" customHeight="1" ht="15">
      <c r="A99" s="8474"/>
      <c r="B99" s="8474"/>
      <c r="C99" s="8474"/>
      <c r="D99" s="8474"/>
      <c r="E99" s="11456"/>
      <c r="F99" s="11456" t="s">
        <v>105</v>
      </c>
      <c r="G99" s="11456"/>
      <c r="H99" s="11456"/>
      <c r="I99" s="11491"/>
      <c r="J99" s="11479"/>
      <c r="K99" s="8474"/>
      <c r="L99" s="8474"/>
      <c r="M99" s="11458"/>
      <c r="N99" s="11462"/>
      <c r="O99" s="11462"/>
      <c r="P99" s="11480"/>
      <c r="Q99" s="11481"/>
      <c r="R99" s="11481"/>
      <c r="S99" s="11481"/>
      <c r="T99" s="11482"/>
      <c r="U99" s="11628"/>
      <c r="V99" s="11629" t="s">
        <v>471</v>
      </c>
      <c r="W99" s="11630"/>
      <c r="X99" s="11631"/>
      <c r="Y99" s="11632"/>
      <c r="Z99" s="11633"/>
      <c r="AA99" s="11634"/>
      <c r="AB99" s="11635"/>
      <c r="AC99" s="11636"/>
      <c r="AD99" s="11637"/>
      <c r="AE99" s="11638"/>
      <c r="AF99" s="11639"/>
      <c r="AG99" s="11640"/>
      <c r="AH99" s="11641"/>
      <c r="AI99" s="11642"/>
      <c r="AJ99" s="11643"/>
      <c r="AK99" s="11644"/>
      <c r="AL99" s="11645"/>
      <c r="AM99" s="11646"/>
      <c r="AN99" s="11647"/>
      <c r="AO99" s="11648"/>
      <c r="AP99" s="18088"/>
      <c r="AQ99" s="18089"/>
      <c r="AR99" s="18090"/>
      <c r="AS99" s="18091"/>
      <c r="AT99" s="18092"/>
      <c r="AU99" s="18093"/>
      <c r="AV99" s="18094"/>
      <c r="AW99" s="18095"/>
      <c r="AX99" s="18096"/>
      <c r="AY99" s="18097"/>
      <c r="AZ99" s="18098"/>
      <c r="BA99" s="18099"/>
      <c r="BB99" s="18100"/>
      <c r="BC99" s="18101"/>
      <c r="BD99" s="18102"/>
      <c r="BE99" s="18103"/>
      <c r="BF99" s="18104"/>
      <c r="BG99" s="18105"/>
      <c r="BH99" s="18106"/>
      <c r="BI99" s="18107"/>
      <c r="BJ99" s="18108"/>
      <c r="BK99" s="18109"/>
      <c r="BL99" s="18110"/>
      <c r="BM99" s="18111"/>
      <c r="BN99" s="18112"/>
      <c r="BO99" s="18113"/>
      <c r="BP99" s="18114"/>
      <c r="BQ99" s="18115"/>
      <c r="BR99" s="18116"/>
      <c r="BS99" s="18117"/>
      <c r="BT99" s="18118"/>
      <c r="BU99" s="18119"/>
      <c r="BV99" s="18120"/>
      <c r="BW99" s="18121"/>
      <c r="BX99" s="18122"/>
      <c r="BY99" s="18123"/>
      <c r="BZ99" s="18124"/>
      <c r="CA99" s="18125"/>
      <c r="CB99" s="18126"/>
      <c r="CC99" s="18127"/>
      <c r="CD99" s="18128"/>
      <c r="CE99" s="18129"/>
      <c r="CF99" s="18130"/>
      <c r="CG99" s="18131"/>
      <c r="CH99" s="18132"/>
      <c r="CI99" s="18133"/>
      <c r="CJ99" s="18134"/>
      <c r="CK99" s="18135"/>
      <c r="CL99" s="18136"/>
      <c r="CM99" s="18137"/>
      <c r="CN99" s="18138"/>
      <c r="CO99" s="18139"/>
      <c r="CP99" s="18140"/>
      <c r="CQ99" s="18141"/>
      <c r="CR99" s="18142"/>
      <c r="CS99" s="18143"/>
      <c r="CT99" s="18144"/>
      <c r="CU99" s="18145"/>
      <c r="CV99" s="18146"/>
      <c r="CW99" s="18147"/>
      <c r="CX99" s="18148"/>
      <c r="CY99" s="18149"/>
      <c r="CZ99" s="18150"/>
      <c r="DA99" s="18151"/>
      <c r="DB99" s="18152"/>
      <c r="DC99" s="18153"/>
      <c r="DD99" s="18154"/>
      <c r="DE99" s="18155"/>
      <c r="DF99" s="18156"/>
      <c r="DG99" s="18157"/>
      <c r="DH99" s="18158"/>
      <c r="DI99" s="18159"/>
      <c r="DJ99" s="18160"/>
      <c r="DK99" s="18161"/>
      <c r="DL99" s="18162"/>
      <c r="DM99" s="18163"/>
      <c r="DN99" s="18164"/>
      <c r="DO99" s="18165"/>
      <c r="DP99" s="18166"/>
      <c r="DQ99" s="18167"/>
      <c r="DR99" s="18168"/>
      <c r="DS99" s="18169"/>
      <c r="DT99" s="18170"/>
      <c r="DU99" s="18171"/>
      <c r="DV99" s="18172"/>
      <c r="DW99" s="18173"/>
      <c r="DX99" s="18174"/>
      <c r="DY99" s="18175"/>
      <c r="DZ99" s="18176"/>
      <c r="EA99" s="18177"/>
      <c r="EB99" s="11649"/>
      <c r="EC99" s="11556"/>
      <c r="ED99" s="11471"/>
      <c r="EE99" s="11472"/>
      <c r="EF99" s="11472" t="str">
        <f>IF(V99="","",V99)</f>
        <v>Добавить вид теплоносителя (параметры теплоносителя)</v>
      </c>
      <c r="EG99" s="11472"/>
      <c r="EH99" s="11472"/>
      <c r="EI99" s="11462">
        <v>0</v>
      </c>
    </row>
    <row s="34977" customFormat="1" customHeight="1" ht="21">
      <c r="A100" s="17181"/>
      <c r="B100" s="17181"/>
      <c r="C100" s="17181"/>
      <c r="D100" s="17181"/>
      <c r="E100" s="17182"/>
      <c r="F100" s="17182"/>
      <c r="G100" s="17182"/>
      <c r="H100" s="17182"/>
      <c r="I100" s="17183"/>
      <c r="J100" s="17018" t="str">
        <f>I93&amp;".2"</f>
        <v>1.3.1.1.1.2</v>
      </c>
      <c r="K100" s="17181"/>
      <c r="L100" s="17181"/>
      <c r="M100" s="17184" t="s">
        <v>466</v>
      </c>
      <c r="N100" s="16741"/>
      <c r="O100" s="16741"/>
      <c r="P100" s="17185"/>
      <c r="Q100" s="17186"/>
      <c r="R100" s="17187" t="s">
        <v>106</v>
      </c>
      <c r="S100" s="17016"/>
      <c r="T100" s="17188"/>
      <c r="U100" s="17189" t="str">
        <f>$J100</f>
        <v>1.3.1.1.1.2</v>
      </c>
      <c r="V100" s="17190" t="s">
        <v>467</v>
      </c>
      <c r="W100" s="17191"/>
      <c r="X100" s="16750"/>
      <c r="Y100" s="16751"/>
      <c r="Z100" s="16751"/>
      <c r="AA100" s="16751"/>
      <c r="AB100" s="16751"/>
      <c r="AC100" s="16752"/>
      <c r="AD100" s="16752"/>
      <c r="AE100" s="16752"/>
      <c r="AF100" s="16753"/>
      <c r="AG100" s="16750" t="s">
        <v>510</v>
      </c>
      <c r="AH100" s="16751"/>
      <c r="AI100" s="16751"/>
      <c r="AJ100" s="16751"/>
      <c r="AK100" s="16751"/>
      <c r="AL100" s="16751"/>
      <c r="AM100" s="16751"/>
      <c r="AN100" s="16751"/>
      <c r="AO100" s="16751"/>
      <c r="AP100" s="16750"/>
      <c r="AQ100" s="16751"/>
      <c r="AR100" s="16751"/>
      <c r="AS100" s="16751"/>
      <c r="AT100" s="16751"/>
      <c r="AU100" s="16752"/>
      <c r="AV100" s="16752"/>
      <c r="AW100" s="16752"/>
      <c r="AX100" s="16753"/>
      <c r="AY100" s="16750"/>
      <c r="AZ100" s="16751"/>
      <c r="BA100" s="16751"/>
      <c r="BB100" s="16751"/>
      <c r="BC100" s="16751"/>
      <c r="BD100" s="16752"/>
      <c r="BE100" s="16752"/>
      <c r="BF100" s="16752"/>
      <c r="BG100" s="16753"/>
      <c r="BH100" s="16750"/>
      <c r="BI100" s="16751"/>
      <c r="BJ100" s="16751"/>
      <c r="BK100" s="16751"/>
      <c r="BL100" s="16751"/>
      <c r="BM100" s="16752"/>
      <c r="BN100" s="16752"/>
      <c r="BO100" s="16752"/>
      <c r="BP100" s="16753"/>
      <c r="BQ100" s="16750"/>
      <c r="BR100" s="16751"/>
      <c r="BS100" s="16751"/>
      <c r="BT100" s="16751"/>
      <c r="BU100" s="16751"/>
      <c r="BV100" s="16752"/>
      <c r="BW100" s="16752"/>
      <c r="BX100" s="16752"/>
      <c r="BY100" s="16753"/>
      <c r="BZ100" s="16750"/>
      <c r="CA100" s="16751"/>
      <c r="CB100" s="16751"/>
      <c r="CC100" s="16751"/>
      <c r="CD100" s="16751"/>
      <c r="CE100" s="16752"/>
      <c r="CF100" s="16752"/>
      <c r="CG100" s="16752"/>
      <c r="CH100" s="16753"/>
      <c r="CI100" s="16750"/>
      <c r="CJ100" s="16751"/>
      <c r="CK100" s="16751"/>
      <c r="CL100" s="16751"/>
      <c r="CM100" s="16751"/>
      <c r="CN100" s="16752"/>
      <c r="CO100" s="16752"/>
      <c r="CP100" s="16752"/>
      <c r="CQ100" s="16753"/>
      <c r="CR100" s="16750"/>
      <c r="CS100" s="16751"/>
      <c r="CT100" s="16751"/>
      <c r="CU100" s="16751"/>
      <c r="CV100" s="16751"/>
      <c r="CW100" s="16752"/>
      <c r="CX100" s="16752"/>
      <c r="CY100" s="16752"/>
      <c r="CZ100" s="16753"/>
      <c r="DA100" s="16750"/>
      <c r="DB100" s="16751"/>
      <c r="DC100" s="16751"/>
      <c r="DD100" s="16751"/>
      <c r="DE100" s="16751"/>
      <c r="DF100" s="16752"/>
      <c r="DG100" s="16752"/>
      <c r="DH100" s="16752"/>
      <c r="DI100" s="16753"/>
      <c r="DJ100" s="16750"/>
      <c r="DK100" s="16751"/>
      <c r="DL100" s="16751"/>
      <c r="DM100" s="16751"/>
      <c r="DN100" s="16751"/>
      <c r="DO100" s="16752"/>
      <c r="DP100" s="16752"/>
      <c r="DQ100" s="16752"/>
      <c r="DR100" s="16753"/>
      <c r="DS100" s="16750"/>
      <c r="DT100" s="16751"/>
      <c r="DU100" s="16751"/>
      <c r="DV100" s="16751"/>
      <c r="DW100" s="16751"/>
      <c r="DX100" s="16752"/>
      <c r="DY100" s="16752"/>
      <c r="DZ100" s="16752"/>
      <c r="EA100" s="16753"/>
      <c r="EB100" s="17192"/>
      <c r="EC100" s="17193" t="s">
        <v>468</v>
      </c>
      <c r="ED100" s="17016"/>
      <c r="EE100" s="17194"/>
      <c r="EF100" s="17194" t="str">
        <f>IF(V100="","",V100)</f>
        <v>Группа потребителей</v>
      </c>
      <c r="EG100" s="17194"/>
      <c r="EH100" s="17194"/>
      <c r="EI100" s="16741">
        <v>0</v>
      </c>
    </row>
    <row s="34978" customFormat="1" customHeight="1" ht="21">
      <c r="A101" s="17181"/>
      <c r="B101" s="17181"/>
      <c r="C101" s="17181"/>
      <c r="D101" s="17181"/>
      <c r="E101" s="17182"/>
      <c r="F101" s="17182"/>
      <c r="G101" s="17182"/>
      <c r="H101" s="17182"/>
      <c r="I101" s="17183"/>
      <c r="J101" s="17183" t="str">
        <f>I93&amp;".1"</f>
        <v>1.3.1.1.1.1</v>
      </c>
      <c r="K101" s="17018" t="str">
        <f>J100&amp;".1"</f>
        <v>1.3.1.1.1.2.1</v>
      </c>
      <c r="L101" s="17196"/>
      <c r="M101" s="17184" t="s">
        <v>469</v>
      </c>
      <c r="N101" s="16741"/>
      <c r="O101" s="16741"/>
      <c r="P101" s="16741"/>
      <c r="Q101" s="17186"/>
      <c r="R101" s="17186"/>
      <c r="S101" s="17186">
        <v>1</v>
      </c>
      <c r="T101" s="17188"/>
      <c r="U101" s="17189" t="str">
        <f>$K101</f>
        <v>1.3.1.1.1.2.1</v>
      </c>
      <c r="V101" s="17197" t="s">
        <v>508</v>
      </c>
      <c r="W101" s="17191"/>
      <c r="X101" s="17062"/>
      <c r="Y101" s="17062"/>
      <c r="Z101" s="17062"/>
      <c r="AA101" s="17062"/>
      <c r="AB101" s="17063"/>
      <c r="AC101" s="17064"/>
      <c r="AD101" s="17065" t="s">
        <v>64</v>
      </c>
      <c r="AE101" s="17064"/>
      <c r="AF101" s="17065" t="s">
        <v>64</v>
      </c>
      <c r="AG101" s="17066"/>
      <c r="AH101" s="16757">
        <v>61.23</v>
      </c>
      <c r="AI101" s="16757">
        <v>2288.38</v>
      </c>
      <c r="AJ101" s="16757"/>
      <c r="AK101" s="17067"/>
      <c r="AL101" s="16759">
        <v>45292</v>
      </c>
      <c r="AM101" s="16760" t="s">
        <v>64</v>
      </c>
      <c r="AN101" s="16759">
        <v>45473</v>
      </c>
      <c r="AO101" s="16760" t="s">
        <v>64</v>
      </c>
      <c r="AP101" s="16757"/>
      <c r="AQ101" s="16757">
        <v>67.04</v>
      </c>
      <c r="AR101" s="16757">
        <v>2631.64</v>
      </c>
      <c r="AS101" s="16757"/>
      <c r="AT101" s="16758"/>
      <c r="AU101" s="16759">
        <v>45474</v>
      </c>
      <c r="AV101" s="16760" t="s">
        <v>64</v>
      </c>
      <c r="AW101" s="16759">
        <v>45657</v>
      </c>
      <c r="AX101" s="16760" t="s">
        <v>64</v>
      </c>
      <c r="AY101" s="16757"/>
      <c r="AZ101" s="16757">
        <v>67.04</v>
      </c>
      <c r="BA101" s="16757">
        <v>2631.64</v>
      </c>
      <c r="BB101" s="16757"/>
      <c r="BC101" s="16758"/>
      <c r="BD101" s="16759">
        <v>45658</v>
      </c>
      <c r="BE101" s="16760" t="s">
        <v>64</v>
      </c>
      <c r="BF101" s="16759">
        <v>45838</v>
      </c>
      <c r="BG101" s="16760" t="s">
        <v>64</v>
      </c>
      <c r="BH101" s="16757"/>
      <c r="BI101" s="16757">
        <v>75.22</v>
      </c>
      <c r="BJ101" s="16757">
        <v>2952.7</v>
      </c>
      <c r="BK101" s="16757"/>
      <c r="BL101" s="16758"/>
      <c r="BM101" s="16759">
        <v>45839</v>
      </c>
      <c r="BN101" s="16760" t="s">
        <v>64</v>
      </c>
      <c r="BO101" s="16759">
        <v>46022</v>
      </c>
      <c r="BP101" s="16760" t="s">
        <v>64</v>
      </c>
      <c r="BQ101" s="16757"/>
      <c r="BR101" s="16757">
        <v>73.2</v>
      </c>
      <c r="BS101" s="16757">
        <v>2761.96</v>
      </c>
      <c r="BT101" s="16757"/>
      <c r="BU101" s="16758"/>
      <c r="BV101" s="16759">
        <v>46023</v>
      </c>
      <c r="BW101" s="16760" t="s">
        <v>64</v>
      </c>
      <c r="BX101" s="16759">
        <v>46203</v>
      </c>
      <c r="BY101" s="16760" t="s">
        <v>64</v>
      </c>
      <c r="BZ101" s="16757"/>
      <c r="CA101" s="16757">
        <v>81.19</v>
      </c>
      <c r="CB101" s="16757">
        <v>2761.96</v>
      </c>
      <c r="CC101" s="16757"/>
      <c r="CD101" s="16758"/>
      <c r="CE101" s="16759">
        <v>46204</v>
      </c>
      <c r="CF101" s="16760" t="s">
        <v>64</v>
      </c>
      <c r="CG101" s="16759">
        <v>46387</v>
      </c>
      <c r="CH101" s="16760" t="s">
        <v>64</v>
      </c>
      <c r="CI101" s="16757"/>
      <c r="CJ101" s="16757">
        <v>81.19</v>
      </c>
      <c r="CK101" s="16757">
        <v>2761.96</v>
      </c>
      <c r="CL101" s="16757"/>
      <c r="CM101" s="16758"/>
      <c r="CN101" s="16759">
        <v>46388</v>
      </c>
      <c r="CO101" s="16760" t="s">
        <v>64</v>
      </c>
      <c r="CP101" s="16759">
        <v>46568</v>
      </c>
      <c r="CQ101" s="16760" t="s">
        <v>64</v>
      </c>
      <c r="CR101" s="16757"/>
      <c r="CS101" s="16757">
        <v>84.48</v>
      </c>
      <c r="CT101" s="16757">
        <v>2841.34</v>
      </c>
      <c r="CU101" s="16757"/>
      <c r="CV101" s="16758"/>
      <c r="CW101" s="16759">
        <v>46569</v>
      </c>
      <c r="CX101" s="16760" t="s">
        <v>64</v>
      </c>
      <c r="CY101" s="16759">
        <v>46752</v>
      </c>
      <c r="CZ101" s="16760" t="s">
        <v>64</v>
      </c>
      <c r="DA101" s="16757"/>
      <c r="DB101" s="16757">
        <v>84.48</v>
      </c>
      <c r="DC101" s="16757">
        <v>2841.34</v>
      </c>
      <c r="DD101" s="16757"/>
      <c r="DE101" s="16758"/>
      <c r="DF101" s="16759">
        <v>46753</v>
      </c>
      <c r="DG101" s="16760" t="s">
        <v>64</v>
      </c>
      <c r="DH101" s="16759">
        <v>46934</v>
      </c>
      <c r="DI101" s="16760" t="s">
        <v>64</v>
      </c>
      <c r="DJ101" s="16757"/>
      <c r="DK101" s="16757">
        <v>90.47</v>
      </c>
      <c r="DL101" s="16757">
        <v>2880.76</v>
      </c>
      <c r="DM101" s="16757"/>
      <c r="DN101" s="16758"/>
      <c r="DO101" s="16759">
        <v>46935</v>
      </c>
      <c r="DP101" s="16760" t="s">
        <v>64</v>
      </c>
      <c r="DQ101" s="16759">
        <v>47118</v>
      </c>
      <c r="DR101" s="16760" t="s">
        <v>19</v>
      </c>
      <c r="DS101" s="17062"/>
      <c r="DT101" s="17062"/>
      <c r="DU101" s="17062"/>
      <c r="DV101" s="17062"/>
      <c r="DW101" s="17063"/>
      <c r="DX101" s="17064"/>
      <c r="DY101" s="17065" t="s">
        <v>64</v>
      </c>
      <c r="DZ101" s="17064"/>
      <c r="EA101" s="17065" t="s">
        <v>64</v>
      </c>
      <c r="EB101" s="16764"/>
      <c r="EC101" s="17198" t="s">
        <v>523</v>
      </c>
      <c r="ED101" s="17016">
        <f>STRCHECKDATE(X103:EB103)</f>
      </c>
      <c r="EE101" s="17194"/>
      <c r="EF101" s="17194" t="str">
        <f>IF(V101="","",V101)</f>
        <v>вода</v>
      </c>
      <c r="EG101" s="17194"/>
      <c r="EH101" s="17194"/>
      <c r="EI101" s="16741">
        <v>0</v>
      </c>
    </row>
    <row s="34979" customFormat="1" customHeight="1" ht="21">
      <c r="A102" s="17181"/>
      <c r="B102" s="17181"/>
      <c r="C102" s="17181"/>
      <c r="D102" s="17181"/>
      <c r="E102" s="17182"/>
      <c r="F102" s="17182"/>
      <c r="G102" s="17182"/>
      <c r="H102" s="17182"/>
      <c r="I102" s="17183"/>
      <c r="J102" s="17183" t="str">
        <f>I93&amp;".1"</f>
        <v>1.3.1.1.1.1</v>
      </c>
      <c r="K102" s="17183"/>
      <c r="L102" s="17018" t="str">
        <f>K101&amp;".1"</f>
        <v>1.3.1.1.1.2.1.1</v>
      </c>
      <c r="M102" s="17184"/>
      <c r="N102" s="16741"/>
      <c r="O102" s="16741"/>
      <c r="P102" s="16741"/>
      <c r="Q102" s="17186"/>
      <c r="R102" s="17186"/>
      <c r="S102" s="17186"/>
      <c r="T102" s="17188"/>
      <c r="U102" s="17189" t="str">
        <f>$L102</f>
        <v>1.3.1.1.1.2.1.1</v>
      </c>
      <c r="V102" s="17200"/>
      <c r="W102" s="17191"/>
      <c r="X102" s="17062"/>
      <c r="Y102" s="17062"/>
      <c r="Z102" s="17062"/>
      <c r="AA102" s="17062"/>
      <c r="AB102" s="17063"/>
      <c r="AC102" s="17064"/>
      <c r="AD102" s="17065"/>
      <c r="AE102" s="17064"/>
      <c r="AF102" s="17065"/>
      <c r="AG102" s="17066"/>
      <c r="AH102" s="16757"/>
      <c r="AI102" s="16757"/>
      <c r="AJ102" s="16757"/>
      <c r="AK102" s="17067"/>
      <c r="AL102" s="16765"/>
      <c r="AM102" s="16760"/>
      <c r="AN102" s="16765"/>
      <c r="AO102" s="16760"/>
      <c r="AP102" s="16764"/>
      <c r="AQ102" s="16757"/>
      <c r="AR102" s="16757"/>
      <c r="AS102" s="16757"/>
      <c r="AT102" s="16758"/>
      <c r="AU102" s="16765"/>
      <c r="AV102" s="16760"/>
      <c r="AW102" s="16765"/>
      <c r="AX102" s="16760"/>
      <c r="AY102" s="16764"/>
      <c r="AZ102" s="16757"/>
      <c r="BA102" s="16757"/>
      <c r="BB102" s="16757"/>
      <c r="BC102" s="16758"/>
      <c r="BD102" s="16765"/>
      <c r="BE102" s="16760"/>
      <c r="BF102" s="16765"/>
      <c r="BG102" s="16760"/>
      <c r="BH102" s="16764"/>
      <c r="BI102" s="16757"/>
      <c r="BJ102" s="16757"/>
      <c r="BK102" s="16757"/>
      <c r="BL102" s="16758"/>
      <c r="BM102" s="16765"/>
      <c r="BN102" s="16760"/>
      <c r="BO102" s="16765"/>
      <c r="BP102" s="16760"/>
      <c r="BQ102" s="16764"/>
      <c r="BR102" s="16757"/>
      <c r="BS102" s="16757"/>
      <c r="BT102" s="16757"/>
      <c r="BU102" s="16758"/>
      <c r="BV102" s="16765"/>
      <c r="BW102" s="16760"/>
      <c r="BX102" s="16765"/>
      <c r="BY102" s="16760"/>
      <c r="BZ102" s="16764"/>
      <c r="CA102" s="16757"/>
      <c r="CB102" s="16757"/>
      <c r="CC102" s="16757"/>
      <c r="CD102" s="16758"/>
      <c r="CE102" s="16765"/>
      <c r="CF102" s="16760"/>
      <c r="CG102" s="16765"/>
      <c r="CH102" s="16760"/>
      <c r="CI102" s="16764"/>
      <c r="CJ102" s="16757"/>
      <c r="CK102" s="16757"/>
      <c r="CL102" s="16757"/>
      <c r="CM102" s="16758"/>
      <c r="CN102" s="16765"/>
      <c r="CO102" s="16760"/>
      <c r="CP102" s="16765"/>
      <c r="CQ102" s="16760"/>
      <c r="CR102" s="16764"/>
      <c r="CS102" s="16757"/>
      <c r="CT102" s="16757"/>
      <c r="CU102" s="16757"/>
      <c r="CV102" s="16758"/>
      <c r="CW102" s="16765"/>
      <c r="CX102" s="16760"/>
      <c r="CY102" s="16765"/>
      <c r="CZ102" s="16760"/>
      <c r="DA102" s="16764"/>
      <c r="DB102" s="16757"/>
      <c r="DC102" s="16757"/>
      <c r="DD102" s="16757"/>
      <c r="DE102" s="16758"/>
      <c r="DF102" s="16765"/>
      <c r="DG102" s="16760"/>
      <c r="DH102" s="16765"/>
      <c r="DI102" s="16760"/>
      <c r="DJ102" s="16764"/>
      <c r="DK102" s="16757"/>
      <c r="DL102" s="16757"/>
      <c r="DM102" s="16757"/>
      <c r="DN102" s="16758"/>
      <c r="DO102" s="16765"/>
      <c r="DP102" s="16760"/>
      <c r="DQ102" s="16765"/>
      <c r="DR102" s="16760"/>
      <c r="DS102" s="17062"/>
      <c r="DT102" s="17062"/>
      <c r="DU102" s="17062"/>
      <c r="DV102" s="17062"/>
      <c r="DW102" s="17063"/>
      <c r="DX102" s="17064"/>
      <c r="DY102" s="17065"/>
      <c r="DZ102" s="17064"/>
      <c r="EA102" s="17065"/>
      <c r="EB102" s="16764"/>
      <c r="EC102" s="17201" t="s">
        <v>524</v>
      </c>
      <c r="ED102" s="17016"/>
      <c r="EE102" s="17194"/>
      <c r="EF102" s="17194"/>
      <c r="EG102" s="17194"/>
      <c r="EH102" s="17194"/>
      <c r="EI102" s="16741">
        <v>0</v>
      </c>
    </row>
    <row s="34980" customFormat="1" customHeight="1" ht="14.25">
      <c r="A103" s="17181"/>
      <c r="B103" s="17181"/>
      <c r="C103" s="17181"/>
      <c r="D103" s="17181"/>
      <c r="E103" s="17182"/>
      <c r="F103" s="17182"/>
      <c r="G103" s="17182"/>
      <c r="H103" s="17182"/>
      <c r="I103" s="17183"/>
      <c r="J103" s="17183" t="str">
        <f>I93&amp;".1"</f>
        <v>1.3.1.1.1.1</v>
      </c>
      <c r="K103" s="17183"/>
      <c r="L103" s="17018"/>
      <c r="M103" s="17184"/>
      <c r="N103" s="16741"/>
      <c r="O103" s="16741"/>
      <c r="P103" s="16741"/>
      <c r="Q103" s="17186"/>
      <c r="R103" s="17186"/>
      <c r="S103" s="17186"/>
      <c r="T103" s="17188"/>
      <c r="U103" s="17203"/>
      <c r="V103" s="17191"/>
      <c r="W103" s="17191"/>
      <c r="X103" s="17062"/>
      <c r="Y103" s="17062"/>
      <c r="Z103" s="17062"/>
      <c r="AA103" s="17062"/>
      <c r="AB103" s="17063"/>
      <c r="AC103" s="17064"/>
      <c r="AD103" s="17065"/>
      <c r="AE103" s="17064"/>
      <c r="AF103" s="17065"/>
      <c r="AG103" s="17068"/>
      <c r="AH103" s="16764"/>
      <c r="AI103" s="16764"/>
      <c r="AJ103" s="16764"/>
      <c r="AK103" s="17069" t="str">
        <f>AL101&amp;"-"&amp;AN101</f>
        <v>45292-45473</v>
      </c>
      <c r="AL103" s="16765"/>
      <c r="AM103" s="16760"/>
      <c r="AN103" s="16765"/>
      <c r="AO103" s="16760"/>
      <c r="AP103" s="16764"/>
      <c r="AQ103" s="16764"/>
      <c r="AR103" s="16764"/>
      <c r="AS103" s="16764"/>
      <c r="AT103" s="16768" t="str">
        <f>AU101&amp;"-"&amp;AW101</f>
        <v>45474-45657</v>
      </c>
      <c r="AU103" s="16765"/>
      <c r="AV103" s="16760"/>
      <c r="AW103" s="16765"/>
      <c r="AX103" s="16760"/>
      <c r="AY103" s="16764"/>
      <c r="AZ103" s="16764"/>
      <c r="BA103" s="16764"/>
      <c r="BB103" s="16764"/>
      <c r="BC103" s="16768" t="str">
        <f>BD101&amp;"-"&amp;BF101</f>
        <v>45658-45838</v>
      </c>
      <c r="BD103" s="16765"/>
      <c r="BE103" s="16760"/>
      <c r="BF103" s="16765"/>
      <c r="BG103" s="16760"/>
      <c r="BH103" s="16764"/>
      <c r="BI103" s="16764"/>
      <c r="BJ103" s="16764"/>
      <c r="BK103" s="16764"/>
      <c r="BL103" s="16768" t="str">
        <f>BM101&amp;"-"&amp;BO101</f>
        <v>45839-46022</v>
      </c>
      <c r="BM103" s="16765"/>
      <c r="BN103" s="16760"/>
      <c r="BO103" s="16765"/>
      <c r="BP103" s="16760"/>
      <c r="BQ103" s="16764"/>
      <c r="BR103" s="16764"/>
      <c r="BS103" s="16764"/>
      <c r="BT103" s="16764"/>
      <c r="BU103" s="16768" t="str">
        <f>BV101&amp;"-"&amp;BX101</f>
        <v>46023-46203</v>
      </c>
      <c r="BV103" s="16765"/>
      <c r="BW103" s="16760"/>
      <c r="BX103" s="16765"/>
      <c r="BY103" s="16760"/>
      <c r="BZ103" s="16764"/>
      <c r="CA103" s="16764"/>
      <c r="CB103" s="16764"/>
      <c r="CC103" s="16764"/>
      <c r="CD103" s="16768" t="str">
        <f>CE101&amp;"-"&amp;CG101</f>
        <v>46204-46387</v>
      </c>
      <c r="CE103" s="16765"/>
      <c r="CF103" s="16760"/>
      <c r="CG103" s="16765"/>
      <c r="CH103" s="16760"/>
      <c r="CI103" s="16764"/>
      <c r="CJ103" s="16764"/>
      <c r="CK103" s="16764"/>
      <c r="CL103" s="16764"/>
      <c r="CM103" s="16768" t="str">
        <f>CN101&amp;"-"&amp;CP101</f>
        <v>46388-46568</v>
      </c>
      <c r="CN103" s="16765"/>
      <c r="CO103" s="16760"/>
      <c r="CP103" s="16765"/>
      <c r="CQ103" s="16760"/>
      <c r="CR103" s="16764"/>
      <c r="CS103" s="16764"/>
      <c r="CT103" s="16764"/>
      <c r="CU103" s="16764"/>
      <c r="CV103" s="16768" t="str">
        <f>CW101&amp;"-"&amp;CY101</f>
        <v>46569-46752</v>
      </c>
      <c r="CW103" s="16765"/>
      <c r="CX103" s="16760"/>
      <c r="CY103" s="16765"/>
      <c r="CZ103" s="16760"/>
      <c r="DA103" s="16764"/>
      <c r="DB103" s="16764"/>
      <c r="DC103" s="16764"/>
      <c r="DD103" s="16764"/>
      <c r="DE103" s="16768" t="str">
        <f>DF101&amp;"-"&amp;DH101</f>
        <v>46753-46934</v>
      </c>
      <c r="DF103" s="16765"/>
      <c r="DG103" s="16760"/>
      <c r="DH103" s="16765"/>
      <c r="DI103" s="16760"/>
      <c r="DJ103" s="16764"/>
      <c r="DK103" s="16764"/>
      <c r="DL103" s="16764"/>
      <c r="DM103" s="16764"/>
      <c r="DN103" s="16768" t="str">
        <f>DO101&amp;"-"&amp;DQ101</f>
        <v>46935-47118</v>
      </c>
      <c r="DO103" s="16765"/>
      <c r="DP103" s="16760"/>
      <c r="DQ103" s="16765"/>
      <c r="DR103" s="16760"/>
      <c r="DS103" s="17062"/>
      <c r="DT103" s="17062"/>
      <c r="DU103" s="17062"/>
      <c r="DV103" s="17062"/>
      <c r="DW103" s="17063"/>
      <c r="DX103" s="17064"/>
      <c r="DY103" s="17065"/>
      <c r="DZ103" s="17064"/>
      <c r="EA103" s="17065"/>
      <c r="EB103" s="16764"/>
      <c r="EC103" s="17204"/>
      <c r="ED103" s="17016"/>
      <c r="EE103" s="17194"/>
      <c r="EF103" s="17194" t="str">
        <f>IF(V103="","",V103)</f>
        <v/>
      </c>
      <c r="EG103" s="17194"/>
      <c r="EH103" s="17194"/>
      <c r="EI103" s="16741">
        <v>0</v>
      </c>
    </row>
    <row s="34981" customFormat="1" customHeight="1" ht="11.25">
      <c r="A104" s="17181"/>
      <c r="B104" s="17181"/>
      <c r="C104" s="17181"/>
      <c r="D104" s="17181"/>
      <c r="E104" s="17182"/>
      <c r="F104" s="17182"/>
      <c r="G104" s="17182"/>
      <c r="H104" s="17182"/>
      <c r="I104" s="17183"/>
      <c r="J104" s="17183" t="str">
        <f>I93&amp;".1"</f>
        <v>1.3.1.1.1.1</v>
      </c>
      <c r="K104" s="17018"/>
      <c r="L104" s="17181"/>
      <c r="M104" s="17184"/>
      <c r="N104" s="16741"/>
      <c r="O104" s="16741"/>
      <c r="P104" s="16741"/>
      <c r="Q104" s="17186"/>
      <c r="R104" s="17186"/>
      <c r="S104" s="17186"/>
      <c r="T104" s="17188"/>
      <c r="U104" s="18184"/>
      <c r="V104" s="18185" t="s">
        <v>525</v>
      </c>
      <c r="W104" s="18186"/>
      <c r="X104" s="17062"/>
      <c r="Y104" s="17062"/>
      <c r="Z104" s="17062"/>
      <c r="AA104" s="17062"/>
      <c r="AB104" s="17069" t="str">
        <f>AC101&amp;"-"&amp;AE101</f>
        <v>-</v>
      </c>
      <c r="AC104" s="17065"/>
      <c r="AD104" s="17065"/>
      <c r="AE104" s="17065"/>
      <c r="AF104" s="17065"/>
      <c r="AG104" s="18187"/>
      <c r="AH104" s="18188"/>
      <c r="AI104" s="18189"/>
      <c r="AJ104" s="18190"/>
      <c r="AK104" s="18191"/>
      <c r="AL104" s="16765"/>
      <c r="AM104" s="16760"/>
      <c r="AN104" s="16765"/>
      <c r="AO104" s="16760"/>
      <c r="AP104" s="18192"/>
      <c r="AQ104" s="18193"/>
      <c r="AR104" s="18194"/>
      <c r="AS104" s="18195"/>
      <c r="AT104" s="18196"/>
      <c r="AU104" s="16765"/>
      <c r="AV104" s="16760"/>
      <c r="AW104" s="16765"/>
      <c r="AX104" s="16760"/>
      <c r="AY104" s="18197"/>
      <c r="AZ104" s="18198"/>
      <c r="BA104" s="18199"/>
      <c r="BB104" s="18200"/>
      <c r="BC104" s="18201"/>
      <c r="BD104" s="16765"/>
      <c r="BE104" s="16760"/>
      <c r="BF104" s="16765"/>
      <c r="BG104" s="16760"/>
      <c r="BH104" s="18202"/>
      <c r="BI104" s="18203"/>
      <c r="BJ104" s="18204"/>
      <c r="BK104" s="18205"/>
      <c r="BL104" s="18206"/>
      <c r="BM104" s="16765"/>
      <c r="BN104" s="16760"/>
      <c r="BO104" s="16765"/>
      <c r="BP104" s="16760"/>
      <c r="BQ104" s="18207"/>
      <c r="BR104" s="18208"/>
      <c r="BS104" s="18209"/>
      <c r="BT104" s="18210"/>
      <c r="BU104" s="18211"/>
      <c r="BV104" s="16765"/>
      <c r="BW104" s="16760"/>
      <c r="BX104" s="16765"/>
      <c r="BY104" s="16760"/>
      <c r="BZ104" s="18212"/>
      <c r="CA104" s="18213"/>
      <c r="CB104" s="18214"/>
      <c r="CC104" s="18215"/>
      <c r="CD104" s="18216"/>
      <c r="CE104" s="16765"/>
      <c r="CF104" s="16760"/>
      <c r="CG104" s="16765"/>
      <c r="CH104" s="16760"/>
      <c r="CI104" s="18217"/>
      <c r="CJ104" s="18218"/>
      <c r="CK104" s="18219"/>
      <c r="CL104" s="18220"/>
      <c r="CM104" s="18221"/>
      <c r="CN104" s="16765"/>
      <c r="CO104" s="16760"/>
      <c r="CP104" s="16765"/>
      <c r="CQ104" s="16760"/>
      <c r="CR104" s="18222"/>
      <c r="CS104" s="18223"/>
      <c r="CT104" s="18224"/>
      <c r="CU104" s="18225"/>
      <c r="CV104" s="18226"/>
      <c r="CW104" s="16765"/>
      <c r="CX104" s="16760"/>
      <c r="CY104" s="16765"/>
      <c r="CZ104" s="16760"/>
      <c r="DA104" s="18227"/>
      <c r="DB104" s="18228"/>
      <c r="DC104" s="18229"/>
      <c r="DD104" s="18230"/>
      <c r="DE104" s="18231"/>
      <c r="DF104" s="16765"/>
      <c r="DG104" s="16760"/>
      <c r="DH104" s="16765"/>
      <c r="DI104" s="16760"/>
      <c r="DJ104" s="18232"/>
      <c r="DK104" s="18233"/>
      <c r="DL104" s="18234"/>
      <c r="DM104" s="18235"/>
      <c r="DN104" s="18236"/>
      <c r="DO104" s="16765"/>
      <c r="DP104" s="16760"/>
      <c r="DQ104" s="16765"/>
      <c r="DR104" s="16760"/>
      <c r="DS104" s="17062"/>
      <c r="DT104" s="17062"/>
      <c r="DU104" s="17062"/>
      <c r="DV104" s="17062"/>
      <c r="DW104" s="17069" t="str">
        <f>DX101&amp;"-"&amp;DZ101</f>
        <v>-</v>
      </c>
      <c r="DX104" s="17065"/>
      <c r="DY104" s="17065"/>
      <c r="DZ104" s="17065"/>
      <c r="EA104" s="17065"/>
      <c r="EB104" s="18237"/>
      <c r="EC104" s="17204"/>
      <c r="ED104" s="17016"/>
      <c r="EE104" s="17194"/>
      <c r="EF104" s="17194"/>
      <c r="EG104" s="17194"/>
      <c r="EH104" s="17194"/>
      <c r="EI104" s="16741">
        <v>0</v>
      </c>
    </row>
    <row s="35036" customFormat="1" customHeight="1" ht="15">
      <c r="A105" s="17181"/>
      <c r="B105" s="17181"/>
      <c r="C105" s="17181"/>
      <c r="D105" s="17181"/>
      <c r="E105" s="17182"/>
      <c r="F105" s="17182"/>
      <c r="G105" s="17182"/>
      <c r="H105" s="17182"/>
      <c r="I105" s="17183"/>
      <c r="J105" s="17018" t="str">
        <f>I93&amp;".1"</f>
        <v>1.3.1.1.1.1</v>
      </c>
      <c r="K105" s="17181"/>
      <c r="L105" s="17181"/>
      <c r="M105" s="17184"/>
      <c r="N105" s="16741"/>
      <c r="O105" s="16741"/>
      <c r="P105" s="17185"/>
      <c r="Q105" s="17186"/>
      <c r="R105" s="17186"/>
      <c r="S105" s="17186"/>
      <c r="T105" s="17261"/>
      <c r="U105" s="18239"/>
      <c r="V105" s="18240" t="s">
        <v>471</v>
      </c>
      <c r="W105" s="18241"/>
      <c r="X105" s="18242"/>
      <c r="Y105" s="18243"/>
      <c r="Z105" s="18244"/>
      <c r="AA105" s="18245"/>
      <c r="AB105" s="18246"/>
      <c r="AC105" s="18247"/>
      <c r="AD105" s="18248"/>
      <c r="AE105" s="18249"/>
      <c r="AF105" s="18250"/>
      <c r="AG105" s="18251"/>
      <c r="AH105" s="18252"/>
      <c r="AI105" s="18253"/>
      <c r="AJ105" s="18254"/>
      <c r="AK105" s="18255"/>
      <c r="AL105" s="18256"/>
      <c r="AM105" s="18257"/>
      <c r="AN105" s="18258"/>
      <c r="AO105" s="18259"/>
      <c r="AP105" s="18260"/>
      <c r="AQ105" s="18261"/>
      <c r="AR105" s="18262"/>
      <c r="AS105" s="18263"/>
      <c r="AT105" s="18264"/>
      <c r="AU105" s="18265"/>
      <c r="AV105" s="18266"/>
      <c r="AW105" s="18267"/>
      <c r="AX105" s="18268"/>
      <c r="AY105" s="18269"/>
      <c r="AZ105" s="18270"/>
      <c r="BA105" s="18271"/>
      <c r="BB105" s="18272"/>
      <c r="BC105" s="18273"/>
      <c r="BD105" s="18274"/>
      <c r="BE105" s="18275"/>
      <c r="BF105" s="18276"/>
      <c r="BG105" s="18277"/>
      <c r="BH105" s="18278"/>
      <c r="BI105" s="18279"/>
      <c r="BJ105" s="18280"/>
      <c r="BK105" s="18281"/>
      <c r="BL105" s="18282"/>
      <c r="BM105" s="18283"/>
      <c r="BN105" s="18284"/>
      <c r="BO105" s="18285"/>
      <c r="BP105" s="18286"/>
      <c r="BQ105" s="18287"/>
      <c r="BR105" s="18288"/>
      <c r="BS105" s="18289"/>
      <c r="BT105" s="18290"/>
      <c r="BU105" s="18291"/>
      <c r="BV105" s="18292"/>
      <c r="BW105" s="18293"/>
      <c r="BX105" s="18294"/>
      <c r="BY105" s="18295"/>
      <c r="BZ105" s="18296"/>
      <c r="CA105" s="18297"/>
      <c r="CB105" s="18298"/>
      <c r="CC105" s="18299"/>
      <c r="CD105" s="18300"/>
      <c r="CE105" s="18301"/>
      <c r="CF105" s="18302"/>
      <c r="CG105" s="18303"/>
      <c r="CH105" s="18304"/>
      <c r="CI105" s="18305"/>
      <c r="CJ105" s="18306"/>
      <c r="CK105" s="18307"/>
      <c r="CL105" s="18308"/>
      <c r="CM105" s="18309"/>
      <c r="CN105" s="18310"/>
      <c r="CO105" s="18311"/>
      <c r="CP105" s="18312"/>
      <c r="CQ105" s="18313"/>
      <c r="CR105" s="18314"/>
      <c r="CS105" s="18315"/>
      <c r="CT105" s="18316"/>
      <c r="CU105" s="18317"/>
      <c r="CV105" s="18318"/>
      <c r="CW105" s="18319"/>
      <c r="CX105" s="18320"/>
      <c r="CY105" s="18321"/>
      <c r="CZ105" s="18322"/>
      <c r="DA105" s="18323"/>
      <c r="DB105" s="18324"/>
      <c r="DC105" s="18325"/>
      <c r="DD105" s="18326"/>
      <c r="DE105" s="18327"/>
      <c r="DF105" s="18328"/>
      <c r="DG105" s="18329"/>
      <c r="DH105" s="18330"/>
      <c r="DI105" s="18331"/>
      <c r="DJ105" s="18332"/>
      <c r="DK105" s="18333"/>
      <c r="DL105" s="18334"/>
      <c r="DM105" s="18335"/>
      <c r="DN105" s="18336"/>
      <c r="DO105" s="18337"/>
      <c r="DP105" s="18338"/>
      <c r="DQ105" s="18339"/>
      <c r="DR105" s="18340"/>
      <c r="DS105" s="18341"/>
      <c r="DT105" s="18342"/>
      <c r="DU105" s="18343"/>
      <c r="DV105" s="18344"/>
      <c r="DW105" s="18345"/>
      <c r="DX105" s="18346"/>
      <c r="DY105" s="18347"/>
      <c r="DZ105" s="18348"/>
      <c r="EA105" s="18349"/>
      <c r="EB105" s="18350"/>
      <c r="EC105" s="17374"/>
      <c r="ED105" s="17016"/>
      <c r="EE105" s="17194"/>
      <c r="EF105" s="17194" t="str">
        <f>IF(V105="","",V105)</f>
        <v>Добавить вид теплоносителя (параметры теплоносителя)</v>
      </c>
      <c r="EG105" s="17194"/>
      <c r="EH105" s="17194"/>
      <c r="EI105" s="16741">
        <v>0</v>
      </c>
    </row>
    <row s="35149" customFormat="1" customHeight="1" ht="11.25">
      <c r="A106" s="8474"/>
      <c r="B106" s="8474"/>
      <c r="C106" s="8474"/>
      <c r="D106" s="8474"/>
      <c r="E106" s="11456"/>
      <c r="F106" s="11456" t="s">
        <v>105</v>
      </c>
      <c r="G106" s="11456"/>
      <c r="H106" s="11456"/>
      <c r="I106" s="11479"/>
      <c r="J106" s="8474"/>
      <c r="K106" s="8474"/>
      <c r="L106" s="8474"/>
      <c r="M106" s="11458"/>
      <c r="N106" s="11462"/>
      <c r="O106" s="11480"/>
      <c r="P106" s="11480"/>
      <c r="Q106" s="11481"/>
      <c r="R106" s="11481"/>
      <c r="S106" s="11481"/>
      <c r="T106" s="11482"/>
      <c r="U106" s="11651"/>
      <c r="V106" s="11652" t="s">
        <v>472</v>
      </c>
      <c r="W106" s="11653"/>
      <c r="X106" s="11654"/>
      <c r="Y106" s="11655"/>
      <c r="Z106" s="11656"/>
      <c r="AA106" s="11657"/>
      <c r="AB106" s="11658"/>
      <c r="AC106" s="11659"/>
      <c r="AD106" s="11660"/>
      <c r="AE106" s="11661"/>
      <c r="AF106" s="11662"/>
      <c r="AG106" s="11663"/>
      <c r="AH106" s="11664"/>
      <c r="AI106" s="11665"/>
      <c r="AJ106" s="11666"/>
      <c r="AK106" s="11667"/>
      <c r="AL106" s="11668"/>
      <c r="AM106" s="11669"/>
      <c r="AN106" s="11670"/>
      <c r="AO106" s="11671"/>
      <c r="AP106" s="18373"/>
      <c r="AQ106" s="18374"/>
      <c r="AR106" s="18375"/>
      <c r="AS106" s="18376"/>
      <c r="AT106" s="18377"/>
      <c r="AU106" s="18378"/>
      <c r="AV106" s="18379"/>
      <c r="AW106" s="18380"/>
      <c r="AX106" s="18381"/>
      <c r="AY106" s="18382"/>
      <c r="AZ106" s="18383"/>
      <c r="BA106" s="18384"/>
      <c r="BB106" s="18385"/>
      <c r="BC106" s="18386"/>
      <c r="BD106" s="18387"/>
      <c r="BE106" s="18388"/>
      <c r="BF106" s="18389"/>
      <c r="BG106" s="18390"/>
      <c r="BH106" s="18391"/>
      <c r="BI106" s="18392"/>
      <c r="BJ106" s="18393"/>
      <c r="BK106" s="18394"/>
      <c r="BL106" s="18395"/>
      <c r="BM106" s="18396"/>
      <c r="BN106" s="18397"/>
      <c r="BO106" s="18398"/>
      <c r="BP106" s="18399"/>
      <c r="BQ106" s="18400"/>
      <c r="BR106" s="18401"/>
      <c r="BS106" s="18402"/>
      <c r="BT106" s="18403"/>
      <c r="BU106" s="18404"/>
      <c r="BV106" s="18405"/>
      <c r="BW106" s="18406"/>
      <c r="BX106" s="18407"/>
      <c r="BY106" s="18408"/>
      <c r="BZ106" s="18409"/>
      <c r="CA106" s="18410"/>
      <c r="CB106" s="18411"/>
      <c r="CC106" s="18412"/>
      <c r="CD106" s="18413"/>
      <c r="CE106" s="18414"/>
      <c r="CF106" s="18415"/>
      <c r="CG106" s="18416"/>
      <c r="CH106" s="18417"/>
      <c r="CI106" s="18418"/>
      <c r="CJ106" s="18419"/>
      <c r="CK106" s="18420"/>
      <c r="CL106" s="18421"/>
      <c r="CM106" s="18422"/>
      <c r="CN106" s="18423"/>
      <c r="CO106" s="18424"/>
      <c r="CP106" s="18425"/>
      <c r="CQ106" s="18426"/>
      <c r="CR106" s="18427"/>
      <c r="CS106" s="18428"/>
      <c r="CT106" s="18429"/>
      <c r="CU106" s="18430"/>
      <c r="CV106" s="18431"/>
      <c r="CW106" s="18432"/>
      <c r="CX106" s="18433"/>
      <c r="CY106" s="18434"/>
      <c r="CZ106" s="18435"/>
      <c r="DA106" s="18436"/>
      <c r="DB106" s="18437"/>
      <c r="DC106" s="18438"/>
      <c r="DD106" s="18439"/>
      <c r="DE106" s="18440"/>
      <c r="DF106" s="18441"/>
      <c r="DG106" s="18442"/>
      <c r="DH106" s="18443"/>
      <c r="DI106" s="18444"/>
      <c r="DJ106" s="18445"/>
      <c r="DK106" s="18446"/>
      <c r="DL106" s="18447"/>
      <c r="DM106" s="18448"/>
      <c r="DN106" s="18449"/>
      <c r="DO106" s="18450"/>
      <c r="DP106" s="18451"/>
      <c r="DQ106" s="18452"/>
      <c r="DR106" s="18453"/>
      <c r="DS106" s="18454"/>
      <c r="DT106" s="18455"/>
      <c r="DU106" s="18456"/>
      <c r="DV106" s="18457"/>
      <c r="DW106" s="18458"/>
      <c r="DX106" s="18459"/>
      <c r="DY106" s="18460"/>
      <c r="DZ106" s="18461"/>
      <c r="EA106" s="18462"/>
      <c r="EB106" s="11672"/>
      <c r="EC106" s="11673"/>
      <c r="ED106" s="11471"/>
      <c r="EE106" s="11472"/>
      <c r="EF106" s="11472" t="str">
        <f>IF(V106="","",V106)</f>
        <v>Добавить группу потребителей</v>
      </c>
      <c r="EG106" s="11472"/>
      <c r="EH106" s="11472"/>
      <c r="EI106" s="11462">
        <v>0</v>
      </c>
    </row>
    <row s="35263" customFormat="1" customHeight="1" ht="14.25">
      <c r="A107" s="8474"/>
      <c r="B107" s="8474"/>
      <c r="C107" s="8474"/>
      <c r="D107" s="8474"/>
      <c r="E107" s="11456"/>
      <c r="F107" s="11456" t="s">
        <v>105</v>
      </c>
      <c r="G107" s="11456"/>
      <c r="H107" s="11457"/>
      <c r="I107" s="8474"/>
      <c r="J107" s="8474"/>
      <c r="K107" s="8474"/>
      <c r="L107" s="8474"/>
      <c r="M107" s="11458"/>
      <c r="N107" s="11459"/>
      <c r="O107" s="11459"/>
      <c r="P107" s="11462"/>
      <c r="Q107" s="11582"/>
      <c r="R107" s="11583"/>
      <c r="S107" s="11584"/>
      <c r="T107" s="11582"/>
      <c r="U107" s="11585"/>
      <c r="V107" s="11586"/>
      <c r="W107" s="11587"/>
      <c r="X107" s="11587"/>
      <c r="Y107" s="11587"/>
      <c r="Z107" s="11587"/>
      <c r="AA107" s="11587"/>
      <c r="AB107" s="11587"/>
      <c r="AC107" s="11587"/>
      <c r="AD107" s="11587"/>
      <c r="AE107" s="11587"/>
      <c r="AF107" s="11587"/>
      <c r="AG107" s="11587"/>
      <c r="AH107" s="11587"/>
      <c r="AI107" s="11587"/>
      <c r="AJ107" s="11587"/>
      <c r="AK107" s="11587"/>
      <c r="AL107" s="11587"/>
      <c r="AM107" s="11587"/>
      <c r="AN107" s="11587"/>
      <c r="AO107" s="11587"/>
      <c r="AP107" s="17004"/>
      <c r="AQ107" s="17004"/>
      <c r="AR107" s="17004"/>
      <c r="AS107" s="17004"/>
      <c r="AT107" s="17004"/>
      <c r="AU107" s="17004"/>
      <c r="AV107" s="17004"/>
      <c r="AW107" s="17004"/>
      <c r="AX107" s="17004"/>
      <c r="AY107" s="17004"/>
      <c r="AZ107" s="17004"/>
      <c r="BA107" s="17004"/>
      <c r="BB107" s="17004"/>
      <c r="BC107" s="17004"/>
      <c r="BD107" s="17004"/>
      <c r="BE107" s="17004"/>
      <c r="BF107" s="17004"/>
      <c r="BG107" s="17004"/>
      <c r="BH107" s="17004"/>
      <c r="BI107" s="17004"/>
      <c r="BJ107" s="17004"/>
      <c r="BK107" s="17004"/>
      <c r="BL107" s="17004"/>
      <c r="BM107" s="17004"/>
      <c r="BN107" s="17004"/>
      <c r="BO107" s="17004"/>
      <c r="BP107" s="17004"/>
      <c r="BQ107" s="17004"/>
      <c r="BR107" s="17004"/>
      <c r="BS107" s="17004"/>
      <c r="BT107" s="17004"/>
      <c r="BU107" s="17004"/>
      <c r="BV107" s="17004"/>
      <c r="BW107" s="17004"/>
      <c r="BX107" s="17004"/>
      <c r="BY107" s="17004"/>
      <c r="BZ107" s="17004"/>
      <c r="CA107" s="17004"/>
      <c r="CB107" s="17004"/>
      <c r="CC107" s="17004"/>
      <c r="CD107" s="17004"/>
      <c r="CE107" s="17004"/>
      <c r="CF107" s="17004"/>
      <c r="CG107" s="17004"/>
      <c r="CH107" s="17004"/>
      <c r="CI107" s="17004"/>
      <c r="CJ107" s="17004"/>
      <c r="CK107" s="17004"/>
      <c r="CL107" s="17004"/>
      <c r="CM107" s="17004"/>
      <c r="CN107" s="17004"/>
      <c r="CO107" s="17004"/>
      <c r="CP107" s="17004"/>
      <c r="CQ107" s="17004"/>
      <c r="CR107" s="17004"/>
      <c r="CS107" s="17004"/>
      <c r="CT107" s="17004"/>
      <c r="CU107" s="17004"/>
      <c r="CV107" s="17004"/>
      <c r="CW107" s="17004"/>
      <c r="CX107" s="17004"/>
      <c r="CY107" s="17004"/>
      <c r="CZ107" s="17004"/>
      <c r="DA107" s="17004"/>
      <c r="DB107" s="17004"/>
      <c r="DC107" s="17004"/>
      <c r="DD107" s="17004"/>
      <c r="DE107" s="17004"/>
      <c r="DF107" s="17004"/>
      <c r="DG107" s="17004"/>
      <c r="DH107" s="17004"/>
      <c r="DI107" s="17004"/>
      <c r="DJ107" s="17004"/>
      <c r="DK107" s="17004"/>
      <c r="DL107" s="17004"/>
      <c r="DM107" s="17004"/>
      <c r="DN107" s="17004"/>
      <c r="DO107" s="17004"/>
      <c r="DP107" s="17004"/>
      <c r="DQ107" s="17004"/>
      <c r="DR107" s="17004"/>
      <c r="DS107" s="17004"/>
      <c r="DT107" s="17004"/>
      <c r="DU107" s="17004"/>
      <c r="DV107" s="17004"/>
      <c r="DW107" s="17004"/>
      <c r="DX107" s="17004"/>
      <c r="DY107" s="17004"/>
      <c r="DZ107" s="17004"/>
      <c r="EA107" s="17004"/>
      <c r="EB107" s="11587"/>
      <c r="EC107" s="11588"/>
      <c r="ED107" s="11471"/>
      <c r="EE107" s="11472"/>
      <c r="EF107" s="11472" t="str">
        <f>IF(V107="","",V107)</f>
        <v/>
      </c>
      <c r="EG107" s="11472"/>
      <c r="EH107" s="11472"/>
      <c r="EI107" s="11462">
        <v>0</v>
      </c>
    </row>
    <row s="35264" customFormat="1" customHeight="1" ht="14.25">
      <c r="A108" s="11590"/>
      <c r="B108" s="11590"/>
      <c r="C108" s="11590"/>
      <c r="D108" s="11590"/>
      <c r="E108" s="11456"/>
      <c r="F108" s="11456" t="s">
        <v>105</v>
      </c>
      <c r="G108" s="11457"/>
      <c r="H108" s="11590"/>
      <c r="I108" s="11590"/>
      <c r="J108" s="11590"/>
      <c r="K108" s="11590"/>
      <c r="L108" s="11590"/>
      <c r="M108" s="11591"/>
      <c r="N108" s="11592"/>
      <c r="O108" s="11592"/>
      <c r="P108" s="11593"/>
      <c r="Q108" s="11594"/>
      <c r="R108" s="11595"/>
      <c r="S108" s="11594"/>
      <c r="T108" s="11594"/>
      <c r="U108" s="11596"/>
      <c r="V108" s="11597" t="s">
        <v>213</v>
      </c>
      <c r="W108" s="11598"/>
      <c r="X108" s="11598"/>
      <c r="Y108" s="11598"/>
      <c r="Z108" s="11598"/>
      <c r="AA108" s="11598"/>
      <c r="AB108" s="11598"/>
      <c r="AC108" s="11598"/>
      <c r="AD108" s="11598"/>
      <c r="AE108" s="11598"/>
      <c r="AF108" s="11598"/>
      <c r="AG108" s="11598"/>
      <c r="AH108" s="11598"/>
      <c r="AI108" s="11598"/>
      <c r="AJ108" s="11598"/>
      <c r="AK108" s="11598"/>
      <c r="AL108" s="11598"/>
      <c r="AM108" s="11598"/>
      <c r="AN108" s="11598"/>
      <c r="AO108" s="11598"/>
      <c r="AP108" s="17005"/>
      <c r="AQ108" s="17005"/>
      <c r="AR108" s="17005"/>
      <c r="AS108" s="17005"/>
      <c r="AT108" s="17005"/>
      <c r="AU108" s="17005"/>
      <c r="AV108" s="17005"/>
      <c r="AW108" s="17005"/>
      <c r="AX108" s="17005"/>
      <c r="AY108" s="17005"/>
      <c r="AZ108" s="17005"/>
      <c r="BA108" s="17005"/>
      <c r="BB108" s="17005"/>
      <c r="BC108" s="17005"/>
      <c r="BD108" s="17005"/>
      <c r="BE108" s="17005"/>
      <c r="BF108" s="17005"/>
      <c r="BG108" s="17005"/>
      <c r="BH108" s="17005"/>
      <c r="BI108" s="17005"/>
      <c r="BJ108" s="17005"/>
      <c r="BK108" s="17005"/>
      <c r="BL108" s="17005"/>
      <c r="BM108" s="17005"/>
      <c r="BN108" s="17005"/>
      <c r="BO108" s="17005"/>
      <c r="BP108" s="17005"/>
      <c r="BQ108" s="17005"/>
      <c r="BR108" s="17005"/>
      <c r="BS108" s="17005"/>
      <c r="BT108" s="17005"/>
      <c r="BU108" s="17005"/>
      <c r="BV108" s="17005"/>
      <c r="BW108" s="17005"/>
      <c r="BX108" s="17005"/>
      <c r="BY108" s="17005"/>
      <c r="BZ108" s="17005"/>
      <c r="CA108" s="17005"/>
      <c r="CB108" s="17005"/>
      <c r="CC108" s="17005"/>
      <c r="CD108" s="17005"/>
      <c r="CE108" s="17005"/>
      <c r="CF108" s="17005"/>
      <c r="CG108" s="17005"/>
      <c r="CH108" s="17005"/>
      <c r="CI108" s="17005"/>
      <c r="CJ108" s="17005"/>
      <c r="CK108" s="17005"/>
      <c r="CL108" s="17005"/>
      <c r="CM108" s="17005"/>
      <c r="CN108" s="17005"/>
      <c r="CO108" s="17005"/>
      <c r="CP108" s="17005"/>
      <c r="CQ108" s="17005"/>
      <c r="CR108" s="17005"/>
      <c r="CS108" s="17005"/>
      <c r="CT108" s="17005"/>
      <c r="CU108" s="17005"/>
      <c r="CV108" s="17005"/>
      <c r="CW108" s="17005"/>
      <c r="CX108" s="17005"/>
      <c r="CY108" s="17005"/>
      <c r="CZ108" s="17005"/>
      <c r="DA108" s="17005"/>
      <c r="DB108" s="17005"/>
      <c r="DC108" s="17005"/>
      <c r="DD108" s="17005"/>
      <c r="DE108" s="17005"/>
      <c r="DF108" s="17005"/>
      <c r="DG108" s="17005"/>
      <c r="DH108" s="17005"/>
      <c r="DI108" s="17005"/>
      <c r="DJ108" s="17005"/>
      <c r="DK108" s="17005"/>
      <c r="DL108" s="17005"/>
      <c r="DM108" s="17005"/>
      <c r="DN108" s="17005"/>
      <c r="DO108" s="17005"/>
      <c r="DP108" s="17005"/>
      <c r="DQ108" s="17005"/>
      <c r="DR108" s="17005"/>
      <c r="DS108" s="17005"/>
      <c r="DT108" s="17005"/>
      <c r="DU108" s="17005"/>
      <c r="DV108" s="17005"/>
      <c r="DW108" s="17005"/>
      <c r="DX108" s="17005"/>
      <c r="DY108" s="17005"/>
      <c r="DZ108" s="17005"/>
      <c r="EA108" s="17005"/>
      <c r="EB108" s="11598"/>
      <c r="EC108" s="11598"/>
      <c r="ED108" s="11471"/>
      <c r="EE108" s="11472"/>
      <c r="EF108" s="11472" t="str">
        <f>IF(V108="","",V108)</f>
        <v>Добавить источник для дифференциации</v>
      </c>
      <c r="EG108" s="11472"/>
      <c r="EH108" s="11472"/>
      <c r="EI108" s="11471">
        <v>0</v>
      </c>
    </row>
    <row s="35265" customFormat="1" customHeight="1" ht="14.25">
      <c r="A109" s="11590"/>
      <c r="B109" s="11590"/>
      <c r="C109" s="11590"/>
      <c r="D109" s="11590"/>
      <c r="E109" s="11456"/>
      <c r="F109" s="11457" t="s">
        <v>105</v>
      </c>
      <c r="G109" s="11590"/>
      <c r="H109" s="11590"/>
      <c r="I109" s="11590"/>
      <c r="J109" s="11590"/>
      <c r="K109" s="11590"/>
      <c r="L109" s="11590"/>
      <c r="M109" s="11591"/>
      <c r="N109" s="11600"/>
      <c r="O109" s="11600"/>
      <c r="P109" s="11593"/>
      <c r="Q109" s="11594"/>
      <c r="R109" s="11595"/>
      <c r="S109" s="11594"/>
      <c r="T109" s="11594"/>
      <c r="U109" s="11601"/>
      <c r="V109" s="11602" t="s">
        <v>214</v>
      </c>
      <c r="W109" s="11603"/>
      <c r="X109" s="11603"/>
      <c r="Y109" s="11603"/>
      <c r="Z109" s="11603"/>
      <c r="AA109" s="11603"/>
      <c r="AB109" s="11603"/>
      <c r="AC109" s="11603"/>
      <c r="AD109" s="11603"/>
      <c r="AE109" s="11603"/>
      <c r="AF109" s="11603"/>
      <c r="AG109" s="11603"/>
      <c r="AH109" s="11603"/>
      <c r="AI109" s="11603"/>
      <c r="AJ109" s="11603"/>
      <c r="AK109" s="11603"/>
      <c r="AL109" s="11603"/>
      <c r="AM109" s="11603"/>
      <c r="AN109" s="11603"/>
      <c r="AO109" s="11603"/>
      <c r="AP109" s="17006"/>
      <c r="AQ109" s="17006"/>
      <c r="AR109" s="17006"/>
      <c r="AS109" s="17006"/>
      <c r="AT109" s="17006"/>
      <c r="AU109" s="17006"/>
      <c r="AV109" s="17006"/>
      <c r="AW109" s="17006"/>
      <c r="AX109" s="17006"/>
      <c r="AY109" s="17006"/>
      <c r="AZ109" s="17006"/>
      <c r="BA109" s="17006"/>
      <c r="BB109" s="17006"/>
      <c r="BC109" s="17006"/>
      <c r="BD109" s="17006"/>
      <c r="BE109" s="17006"/>
      <c r="BF109" s="17006"/>
      <c r="BG109" s="17006"/>
      <c r="BH109" s="17006"/>
      <c r="BI109" s="17006"/>
      <c r="BJ109" s="17006"/>
      <c r="BK109" s="17006"/>
      <c r="BL109" s="17006"/>
      <c r="BM109" s="17006"/>
      <c r="BN109" s="17006"/>
      <c r="BO109" s="17006"/>
      <c r="BP109" s="17006"/>
      <c r="BQ109" s="17006"/>
      <c r="BR109" s="17006"/>
      <c r="BS109" s="17006"/>
      <c r="BT109" s="17006"/>
      <c r="BU109" s="17006"/>
      <c r="BV109" s="17006"/>
      <c r="BW109" s="17006"/>
      <c r="BX109" s="17006"/>
      <c r="BY109" s="17006"/>
      <c r="BZ109" s="17006"/>
      <c r="CA109" s="17006"/>
      <c r="CB109" s="17006"/>
      <c r="CC109" s="17006"/>
      <c r="CD109" s="17006"/>
      <c r="CE109" s="17006"/>
      <c r="CF109" s="17006"/>
      <c r="CG109" s="17006"/>
      <c r="CH109" s="17006"/>
      <c r="CI109" s="17006"/>
      <c r="CJ109" s="17006"/>
      <c r="CK109" s="17006"/>
      <c r="CL109" s="17006"/>
      <c r="CM109" s="17006"/>
      <c r="CN109" s="17006"/>
      <c r="CO109" s="17006"/>
      <c r="CP109" s="17006"/>
      <c r="CQ109" s="17006"/>
      <c r="CR109" s="17006"/>
      <c r="CS109" s="17006"/>
      <c r="CT109" s="17006"/>
      <c r="CU109" s="17006"/>
      <c r="CV109" s="17006"/>
      <c r="CW109" s="17006"/>
      <c r="CX109" s="17006"/>
      <c r="CY109" s="17006"/>
      <c r="CZ109" s="17006"/>
      <c r="DA109" s="17006"/>
      <c r="DB109" s="17006"/>
      <c r="DC109" s="17006"/>
      <c r="DD109" s="17006"/>
      <c r="DE109" s="17006"/>
      <c r="DF109" s="17006"/>
      <c r="DG109" s="17006"/>
      <c r="DH109" s="17006"/>
      <c r="DI109" s="17006"/>
      <c r="DJ109" s="17006"/>
      <c r="DK109" s="17006"/>
      <c r="DL109" s="17006"/>
      <c r="DM109" s="17006"/>
      <c r="DN109" s="17006"/>
      <c r="DO109" s="17006"/>
      <c r="DP109" s="17006"/>
      <c r="DQ109" s="17006"/>
      <c r="DR109" s="17006"/>
      <c r="DS109" s="17006"/>
      <c r="DT109" s="17006"/>
      <c r="DU109" s="17006"/>
      <c r="DV109" s="17006"/>
      <c r="DW109" s="17006"/>
      <c r="DX109" s="17006"/>
      <c r="DY109" s="17006"/>
      <c r="DZ109" s="17006"/>
      <c r="EA109" s="17006"/>
      <c r="EB109" s="11603"/>
      <c r="EC109" s="11603"/>
      <c r="ED109" s="11471"/>
      <c r="EE109" s="11472"/>
      <c r="EF109" s="11472" t="str">
        <f>IF(V109="","",V109)</f>
        <v>Добавить централизованную систему для дифференциации</v>
      </c>
      <c r="EG109" s="11472"/>
      <c r="EH109" s="11472"/>
      <c r="EI109" s="11471">
        <v>0</v>
      </c>
    </row>
    <row s="35266" customFormat="1" customHeight="1" ht="21">
      <c r="A110" s="8474"/>
      <c r="B110" s="8474" t="s">
        <v>221</v>
      </c>
      <c r="C110" s="8474"/>
      <c r="D110" s="8474"/>
      <c r="E110" s="11456"/>
      <c r="F110" s="11457" t="s">
        <v>94</v>
      </c>
      <c r="G110" s="8474"/>
      <c r="H110" s="8474"/>
      <c r="I110" s="8474"/>
      <c r="J110" s="8474"/>
      <c r="K110" s="8474"/>
      <c r="L110" s="8474"/>
      <c r="M110" s="11458"/>
      <c r="N110" s="11459"/>
      <c r="O110" s="11459"/>
      <c r="P110" s="11459"/>
      <c r="Q110" s="11460"/>
      <c r="R110" s="11461"/>
      <c r="S110" s="11462"/>
      <c r="T110" s="11463"/>
      <c r="U110" s="11464" t="str">
        <f>INDEX(PT_DIFFERENTIATION_NUM_TER,MATCH(B110,PT_DIFFERENTIATION_TER_ID,0))</f>
        <v>1.4</v>
      </c>
      <c r="V110" s="11465" t="s">
        <v>457</v>
      </c>
      <c r="W110" s="11466"/>
      <c r="X110" s="11467"/>
      <c r="Y110" s="11468"/>
      <c r="Z110" s="11468"/>
      <c r="AA110" s="11468"/>
      <c r="AB110" s="11468"/>
      <c r="AC110" s="11468"/>
      <c r="AD110" s="11468"/>
      <c r="AE110" s="11468"/>
      <c r="AF110" s="11469"/>
      <c r="AG110" s="11467" t="str">
        <f>INDEX(PT_DIFFERENTIATION_TER,MATCH(B110,PT_DIFFERENTIATION_TER_ID,0))</f>
        <v>Территория 4</v>
      </c>
      <c r="AH110" s="11468"/>
      <c r="AI110" s="11468"/>
      <c r="AJ110" s="11468"/>
      <c r="AK110" s="11468"/>
      <c r="AL110" s="11468"/>
      <c r="AM110" s="11468"/>
      <c r="AN110" s="11468"/>
      <c r="AO110" s="11468"/>
      <c r="AP110" s="16743"/>
      <c r="AQ110" s="16744"/>
      <c r="AR110" s="16744"/>
      <c r="AS110" s="16744"/>
      <c r="AT110" s="16744"/>
      <c r="AU110" s="16744"/>
      <c r="AV110" s="16744"/>
      <c r="AW110" s="16744"/>
      <c r="AX110" s="16745"/>
      <c r="AY110" s="16743"/>
      <c r="AZ110" s="16744"/>
      <c r="BA110" s="16744"/>
      <c r="BB110" s="16744"/>
      <c r="BC110" s="16744"/>
      <c r="BD110" s="16744"/>
      <c r="BE110" s="16744"/>
      <c r="BF110" s="16744"/>
      <c r="BG110" s="16745"/>
      <c r="BH110" s="16743"/>
      <c r="BI110" s="16744"/>
      <c r="BJ110" s="16744"/>
      <c r="BK110" s="16744"/>
      <c r="BL110" s="16744"/>
      <c r="BM110" s="16744"/>
      <c r="BN110" s="16744"/>
      <c r="BO110" s="16744"/>
      <c r="BP110" s="16745"/>
      <c r="BQ110" s="16743"/>
      <c r="BR110" s="16744"/>
      <c r="BS110" s="16744"/>
      <c r="BT110" s="16744"/>
      <c r="BU110" s="16744"/>
      <c r="BV110" s="16744"/>
      <c r="BW110" s="16744"/>
      <c r="BX110" s="16744"/>
      <c r="BY110" s="16745"/>
      <c r="BZ110" s="16743"/>
      <c r="CA110" s="16744"/>
      <c r="CB110" s="16744"/>
      <c r="CC110" s="16744"/>
      <c r="CD110" s="16744"/>
      <c r="CE110" s="16744"/>
      <c r="CF110" s="16744"/>
      <c r="CG110" s="16744"/>
      <c r="CH110" s="16745"/>
      <c r="CI110" s="16743"/>
      <c r="CJ110" s="16744"/>
      <c r="CK110" s="16744"/>
      <c r="CL110" s="16744"/>
      <c r="CM110" s="16744"/>
      <c r="CN110" s="16744"/>
      <c r="CO110" s="16744"/>
      <c r="CP110" s="16744"/>
      <c r="CQ110" s="16745"/>
      <c r="CR110" s="16743"/>
      <c r="CS110" s="16744"/>
      <c r="CT110" s="16744"/>
      <c r="CU110" s="16744"/>
      <c r="CV110" s="16744"/>
      <c r="CW110" s="16744"/>
      <c r="CX110" s="16744"/>
      <c r="CY110" s="16744"/>
      <c r="CZ110" s="16745"/>
      <c r="DA110" s="16743"/>
      <c r="DB110" s="16744"/>
      <c r="DC110" s="16744"/>
      <c r="DD110" s="16744"/>
      <c r="DE110" s="16744"/>
      <c r="DF110" s="16744"/>
      <c r="DG110" s="16744"/>
      <c r="DH110" s="16744"/>
      <c r="DI110" s="16745"/>
      <c r="DJ110" s="16743"/>
      <c r="DK110" s="16744"/>
      <c r="DL110" s="16744"/>
      <c r="DM110" s="16744"/>
      <c r="DN110" s="16744"/>
      <c r="DO110" s="16744"/>
      <c r="DP110" s="16744"/>
      <c r="DQ110" s="16744"/>
      <c r="DR110" s="16745"/>
      <c r="DS110" s="16743"/>
      <c r="DT110" s="16744"/>
      <c r="DU110" s="16744"/>
      <c r="DV110" s="16744"/>
      <c r="DW110" s="16744"/>
      <c r="DX110" s="16744"/>
      <c r="DY110" s="16744"/>
      <c r="DZ110" s="16744"/>
      <c r="EA110" s="16745"/>
      <c r="EB110" s="11469"/>
      <c r="EC110" s="11470" t="s">
        <v>458</v>
      </c>
      <c r="ED110" s="11471"/>
      <c r="EE110" s="11472"/>
      <c r="EF110" s="11472" t="str">
        <f>IF(V110="","",V110)</f>
        <v>Территория действия тарифа</v>
      </c>
      <c r="EG110" s="11472"/>
      <c r="EH110" s="11472"/>
      <c r="EI110" s="11462">
        <v>0</v>
      </c>
    </row>
    <row s="35267" customFormat="1" customHeight="1" ht="22.5">
      <c r="A111" s="8474"/>
      <c r="B111" s="8474"/>
      <c r="C111" s="8474" t="s">
        <v>222</v>
      </c>
      <c r="D111" s="8474"/>
      <c r="E111" s="11456"/>
      <c r="F111" s="11456" t="s">
        <v>93</v>
      </c>
      <c r="G111" s="11457">
        <v>1</v>
      </c>
      <c r="H111" s="8474"/>
      <c r="I111" s="8474"/>
      <c r="J111" s="8474"/>
      <c r="K111" s="8474"/>
      <c r="L111" s="8474"/>
      <c r="M111" s="11458"/>
      <c r="N111" s="11459"/>
      <c r="O111" s="11459"/>
      <c r="P111" s="11459"/>
      <c r="Q111" s="11474"/>
      <c r="R111" s="11461"/>
      <c r="S111" s="11462"/>
      <c r="T111" s="11463"/>
      <c r="U111" s="11464" t="str">
        <f>INDEX(PT_DIFFERENTIATION_NUM_CS,MATCH(C111,PT_DIFFERENTIATION_CS_ID,0))</f>
        <v>1.4.1</v>
      </c>
      <c r="V111" s="11475" t="s">
        <v>459</v>
      </c>
      <c r="W111" s="11466"/>
      <c r="X111" s="11467"/>
      <c r="Y111" s="11468"/>
      <c r="Z111" s="11468"/>
      <c r="AA111" s="11468"/>
      <c r="AB111" s="11468"/>
      <c r="AC111" s="11468"/>
      <c r="AD111" s="11468"/>
      <c r="AE111" s="11468"/>
      <c r="AF111" s="11469"/>
      <c r="AG111" s="11467" t="str">
        <f>INDEX(PT_DIFFERENTIATION_CS,MATCH(C111,PT_DIFFERENTIATION_CS_ID,0))</f>
        <v>без дифференциации</v>
      </c>
      <c r="AH111" s="11468"/>
      <c r="AI111" s="11468"/>
      <c r="AJ111" s="11468"/>
      <c r="AK111" s="11468"/>
      <c r="AL111" s="11468"/>
      <c r="AM111" s="11468"/>
      <c r="AN111" s="11468"/>
      <c r="AO111" s="11468"/>
      <c r="AP111" s="16743"/>
      <c r="AQ111" s="16744"/>
      <c r="AR111" s="16744"/>
      <c r="AS111" s="16744"/>
      <c r="AT111" s="16744"/>
      <c r="AU111" s="16744"/>
      <c r="AV111" s="16744"/>
      <c r="AW111" s="16744"/>
      <c r="AX111" s="16745"/>
      <c r="AY111" s="16743"/>
      <c r="AZ111" s="16744"/>
      <c r="BA111" s="16744"/>
      <c r="BB111" s="16744"/>
      <c r="BC111" s="16744"/>
      <c r="BD111" s="16744"/>
      <c r="BE111" s="16744"/>
      <c r="BF111" s="16744"/>
      <c r="BG111" s="16745"/>
      <c r="BH111" s="16743"/>
      <c r="BI111" s="16744"/>
      <c r="BJ111" s="16744"/>
      <c r="BK111" s="16744"/>
      <c r="BL111" s="16744"/>
      <c r="BM111" s="16744"/>
      <c r="BN111" s="16744"/>
      <c r="BO111" s="16744"/>
      <c r="BP111" s="16745"/>
      <c r="BQ111" s="16743"/>
      <c r="BR111" s="16744"/>
      <c r="BS111" s="16744"/>
      <c r="BT111" s="16744"/>
      <c r="BU111" s="16744"/>
      <c r="BV111" s="16744"/>
      <c r="BW111" s="16744"/>
      <c r="BX111" s="16744"/>
      <c r="BY111" s="16745"/>
      <c r="BZ111" s="16743"/>
      <c r="CA111" s="16744"/>
      <c r="CB111" s="16744"/>
      <c r="CC111" s="16744"/>
      <c r="CD111" s="16744"/>
      <c r="CE111" s="16744"/>
      <c r="CF111" s="16744"/>
      <c r="CG111" s="16744"/>
      <c r="CH111" s="16745"/>
      <c r="CI111" s="16743"/>
      <c r="CJ111" s="16744"/>
      <c r="CK111" s="16744"/>
      <c r="CL111" s="16744"/>
      <c r="CM111" s="16744"/>
      <c r="CN111" s="16744"/>
      <c r="CO111" s="16744"/>
      <c r="CP111" s="16744"/>
      <c r="CQ111" s="16745"/>
      <c r="CR111" s="16743"/>
      <c r="CS111" s="16744"/>
      <c r="CT111" s="16744"/>
      <c r="CU111" s="16744"/>
      <c r="CV111" s="16744"/>
      <c r="CW111" s="16744"/>
      <c r="CX111" s="16744"/>
      <c r="CY111" s="16744"/>
      <c r="CZ111" s="16745"/>
      <c r="DA111" s="16743"/>
      <c r="DB111" s="16744"/>
      <c r="DC111" s="16744"/>
      <c r="DD111" s="16744"/>
      <c r="DE111" s="16744"/>
      <c r="DF111" s="16744"/>
      <c r="DG111" s="16744"/>
      <c r="DH111" s="16744"/>
      <c r="DI111" s="16745"/>
      <c r="DJ111" s="16743"/>
      <c r="DK111" s="16744"/>
      <c r="DL111" s="16744"/>
      <c r="DM111" s="16744"/>
      <c r="DN111" s="16744"/>
      <c r="DO111" s="16744"/>
      <c r="DP111" s="16744"/>
      <c r="DQ111" s="16744"/>
      <c r="DR111" s="16745"/>
      <c r="DS111" s="16743"/>
      <c r="DT111" s="16744"/>
      <c r="DU111" s="16744"/>
      <c r="DV111" s="16744"/>
      <c r="DW111" s="16744"/>
      <c r="DX111" s="16744"/>
      <c r="DY111" s="16744"/>
      <c r="DZ111" s="16744"/>
      <c r="EA111" s="16745"/>
      <c r="EB111" s="11469"/>
      <c r="EC111" s="11470" t="s">
        <v>460</v>
      </c>
      <c r="ED111" s="11471"/>
      <c r="EE111" s="11472"/>
      <c r="EF111" s="11472" t="str">
        <f>IF(V111="","",V111)</f>
        <v>Наименование системы теплоснабжения </v>
      </c>
      <c r="EG111" s="11472"/>
      <c r="EH111" s="11472"/>
      <c r="EI111" s="11462">
        <v>0</v>
      </c>
    </row>
    <row s="35268" customFormat="1" customHeight="1" ht="21">
      <c r="A112" s="8474"/>
      <c r="B112" s="8474"/>
      <c r="C112" s="8474"/>
      <c r="D112" s="8474" t="s">
        <v>223</v>
      </c>
      <c r="E112" s="11456"/>
      <c r="F112" s="11456" t="s">
        <v>93</v>
      </c>
      <c r="G112" s="11456"/>
      <c r="H112" s="11457">
        <v>1</v>
      </c>
      <c r="I112" s="8474"/>
      <c r="J112" s="8474"/>
      <c r="K112" s="8474"/>
      <c r="L112" s="8474"/>
      <c r="M112" s="11458"/>
      <c r="N112" s="11459"/>
      <c r="O112" s="11459"/>
      <c r="P112" s="11459"/>
      <c r="Q112" s="11474"/>
      <c r="R112" s="11461"/>
      <c r="S112" s="11462"/>
      <c r="T112" s="11463"/>
      <c r="U112" s="11464" t="str">
        <f>INDEX(PT_DIFFERENTIATION_NUM_IST_TE,MATCH(D112,PT_DIFFERENTIATION_IST_TE_ID,0))</f>
        <v>1.4.1.1</v>
      </c>
      <c r="V112" s="11477" t="s">
        <v>461</v>
      </c>
      <c r="W112" s="11466"/>
      <c r="X112" s="11467"/>
      <c r="Y112" s="11468"/>
      <c r="Z112" s="11468"/>
      <c r="AA112" s="11468"/>
      <c r="AB112" s="11468"/>
      <c r="AC112" s="11468"/>
      <c r="AD112" s="11468"/>
      <c r="AE112" s="11468"/>
      <c r="AF112" s="11469"/>
      <c r="AG112" s="11467" t="str">
        <f>INDEX(PT_DIFFERENTIATION_IST_TE,MATCH(D112,PT_DIFFERENTIATION_IST_TE_ID,0))</f>
        <v>без дифференциации</v>
      </c>
      <c r="AH112" s="11468"/>
      <c r="AI112" s="11468"/>
      <c r="AJ112" s="11468"/>
      <c r="AK112" s="11468"/>
      <c r="AL112" s="11468"/>
      <c r="AM112" s="11468"/>
      <c r="AN112" s="11468"/>
      <c r="AO112" s="11468"/>
      <c r="AP112" s="16743"/>
      <c r="AQ112" s="16744"/>
      <c r="AR112" s="16744"/>
      <c r="AS112" s="16744"/>
      <c r="AT112" s="16744"/>
      <c r="AU112" s="16744"/>
      <c r="AV112" s="16744"/>
      <c r="AW112" s="16744"/>
      <c r="AX112" s="16745"/>
      <c r="AY112" s="16743"/>
      <c r="AZ112" s="16744"/>
      <c r="BA112" s="16744"/>
      <c r="BB112" s="16744"/>
      <c r="BC112" s="16744"/>
      <c r="BD112" s="16744"/>
      <c r="BE112" s="16744"/>
      <c r="BF112" s="16744"/>
      <c r="BG112" s="16745"/>
      <c r="BH112" s="16743"/>
      <c r="BI112" s="16744"/>
      <c r="BJ112" s="16744"/>
      <c r="BK112" s="16744"/>
      <c r="BL112" s="16744"/>
      <c r="BM112" s="16744"/>
      <c r="BN112" s="16744"/>
      <c r="BO112" s="16744"/>
      <c r="BP112" s="16745"/>
      <c r="BQ112" s="16743"/>
      <c r="BR112" s="16744"/>
      <c r="BS112" s="16744"/>
      <c r="BT112" s="16744"/>
      <c r="BU112" s="16744"/>
      <c r="BV112" s="16744"/>
      <c r="BW112" s="16744"/>
      <c r="BX112" s="16744"/>
      <c r="BY112" s="16745"/>
      <c r="BZ112" s="16743"/>
      <c r="CA112" s="16744"/>
      <c r="CB112" s="16744"/>
      <c r="CC112" s="16744"/>
      <c r="CD112" s="16744"/>
      <c r="CE112" s="16744"/>
      <c r="CF112" s="16744"/>
      <c r="CG112" s="16744"/>
      <c r="CH112" s="16745"/>
      <c r="CI112" s="16743"/>
      <c r="CJ112" s="16744"/>
      <c r="CK112" s="16744"/>
      <c r="CL112" s="16744"/>
      <c r="CM112" s="16744"/>
      <c r="CN112" s="16744"/>
      <c r="CO112" s="16744"/>
      <c r="CP112" s="16744"/>
      <c r="CQ112" s="16745"/>
      <c r="CR112" s="16743"/>
      <c r="CS112" s="16744"/>
      <c r="CT112" s="16744"/>
      <c r="CU112" s="16744"/>
      <c r="CV112" s="16744"/>
      <c r="CW112" s="16744"/>
      <c r="CX112" s="16744"/>
      <c r="CY112" s="16744"/>
      <c r="CZ112" s="16745"/>
      <c r="DA112" s="16743"/>
      <c r="DB112" s="16744"/>
      <c r="DC112" s="16744"/>
      <c r="DD112" s="16744"/>
      <c r="DE112" s="16744"/>
      <c r="DF112" s="16744"/>
      <c r="DG112" s="16744"/>
      <c r="DH112" s="16744"/>
      <c r="DI112" s="16745"/>
      <c r="DJ112" s="16743"/>
      <c r="DK112" s="16744"/>
      <c r="DL112" s="16744"/>
      <c r="DM112" s="16744"/>
      <c r="DN112" s="16744"/>
      <c r="DO112" s="16744"/>
      <c r="DP112" s="16744"/>
      <c r="DQ112" s="16744"/>
      <c r="DR112" s="16745"/>
      <c r="DS112" s="16743"/>
      <c r="DT112" s="16744"/>
      <c r="DU112" s="16744"/>
      <c r="DV112" s="16744"/>
      <c r="DW112" s="16744"/>
      <c r="DX112" s="16744"/>
      <c r="DY112" s="16744"/>
      <c r="DZ112" s="16744"/>
      <c r="EA112" s="16745"/>
      <c r="EB112" s="11469"/>
      <c r="EC112" s="11470" t="s">
        <v>462</v>
      </c>
      <c r="ED112" s="11471"/>
      <c r="EE112" s="11472"/>
      <c r="EF112" s="11472" t="str">
        <f>IF(V112="","",V112)</f>
        <v>Источник тепловой энергии  </v>
      </c>
      <c r="EG112" s="11472"/>
      <c r="EH112" s="11472"/>
      <c r="EI112" s="11462">
        <v>0</v>
      </c>
    </row>
    <row s="35269" customFormat="1" customHeight="1" ht="14.25">
      <c r="A113" s="8474"/>
      <c r="B113" s="8474"/>
      <c r="C113" s="8474"/>
      <c r="D113" s="8474"/>
      <c r="E113" s="11456"/>
      <c r="F113" s="11456" t="s">
        <v>93</v>
      </c>
      <c r="G113" s="11456"/>
      <c r="H113" s="11456"/>
      <c r="I113" s="11479" t="str">
        <f>U112&amp;".1"</f>
        <v>1.4.1.1.1</v>
      </c>
      <c r="J113" s="8474"/>
      <c r="K113" s="8474"/>
      <c r="L113" s="8474"/>
      <c r="M113" s="11458" t="s">
        <v>463</v>
      </c>
      <c r="N113" s="11462"/>
      <c r="O113" s="11480"/>
      <c r="P113" s="11480"/>
      <c r="Q113" s="11481">
        <v>1</v>
      </c>
      <c r="R113" s="11481"/>
      <c r="S113" s="11481"/>
      <c r="T113" s="11482"/>
      <c r="U113" s="11483"/>
      <c r="V113" s="11484"/>
      <c r="W113" s="11485"/>
      <c r="X113" s="11486"/>
      <c r="Y113" s="11487"/>
      <c r="Z113" s="11487"/>
      <c r="AA113" s="11487"/>
      <c r="AB113" s="11487"/>
      <c r="AC113" s="11487"/>
      <c r="AD113" s="11487"/>
      <c r="AE113" s="11487"/>
      <c r="AF113" s="11488"/>
      <c r="AG113" s="11486"/>
      <c r="AH113" s="11487"/>
      <c r="AI113" s="11487"/>
      <c r="AJ113" s="11487"/>
      <c r="AK113" s="11487"/>
      <c r="AL113" s="11487"/>
      <c r="AM113" s="11487"/>
      <c r="AN113" s="11487"/>
      <c r="AO113" s="11487"/>
      <c r="AP113" s="16746"/>
      <c r="AQ113" s="16747"/>
      <c r="AR113" s="16747"/>
      <c r="AS113" s="16747"/>
      <c r="AT113" s="16747"/>
      <c r="AU113" s="16747"/>
      <c r="AV113" s="16747"/>
      <c r="AW113" s="16747"/>
      <c r="AX113" s="16748"/>
      <c r="AY113" s="16746"/>
      <c r="AZ113" s="16747"/>
      <c r="BA113" s="16747"/>
      <c r="BB113" s="16747"/>
      <c r="BC113" s="16747"/>
      <c r="BD113" s="16747"/>
      <c r="BE113" s="16747"/>
      <c r="BF113" s="16747"/>
      <c r="BG113" s="16748"/>
      <c r="BH113" s="16746"/>
      <c r="BI113" s="16747"/>
      <c r="BJ113" s="16747"/>
      <c r="BK113" s="16747"/>
      <c r="BL113" s="16747"/>
      <c r="BM113" s="16747"/>
      <c r="BN113" s="16747"/>
      <c r="BO113" s="16747"/>
      <c r="BP113" s="16748"/>
      <c r="BQ113" s="16746"/>
      <c r="BR113" s="16747"/>
      <c r="BS113" s="16747"/>
      <c r="BT113" s="16747"/>
      <c r="BU113" s="16747"/>
      <c r="BV113" s="16747"/>
      <c r="BW113" s="16747"/>
      <c r="BX113" s="16747"/>
      <c r="BY113" s="16748"/>
      <c r="BZ113" s="16746"/>
      <c r="CA113" s="16747"/>
      <c r="CB113" s="16747"/>
      <c r="CC113" s="16747"/>
      <c r="CD113" s="16747"/>
      <c r="CE113" s="16747"/>
      <c r="CF113" s="16747"/>
      <c r="CG113" s="16747"/>
      <c r="CH113" s="16748"/>
      <c r="CI113" s="16746"/>
      <c r="CJ113" s="16747"/>
      <c r="CK113" s="16747"/>
      <c r="CL113" s="16747"/>
      <c r="CM113" s="16747"/>
      <c r="CN113" s="16747"/>
      <c r="CO113" s="16747"/>
      <c r="CP113" s="16747"/>
      <c r="CQ113" s="16748"/>
      <c r="CR113" s="16746"/>
      <c r="CS113" s="16747"/>
      <c r="CT113" s="16747"/>
      <c r="CU113" s="16747"/>
      <c r="CV113" s="16747"/>
      <c r="CW113" s="16747"/>
      <c r="CX113" s="16747"/>
      <c r="CY113" s="16747"/>
      <c r="CZ113" s="16748"/>
      <c r="DA113" s="16746"/>
      <c r="DB113" s="16747"/>
      <c r="DC113" s="16747"/>
      <c r="DD113" s="16747"/>
      <c r="DE113" s="16747"/>
      <c r="DF113" s="16747"/>
      <c r="DG113" s="16747"/>
      <c r="DH113" s="16747"/>
      <c r="DI113" s="16748"/>
      <c r="DJ113" s="16746"/>
      <c r="DK113" s="16747"/>
      <c r="DL113" s="16747"/>
      <c r="DM113" s="16747"/>
      <c r="DN113" s="16747"/>
      <c r="DO113" s="16747"/>
      <c r="DP113" s="16747"/>
      <c r="DQ113" s="16747"/>
      <c r="DR113" s="16748"/>
      <c r="DS113" s="16746"/>
      <c r="DT113" s="16747"/>
      <c r="DU113" s="16747"/>
      <c r="DV113" s="16747"/>
      <c r="DW113" s="16747"/>
      <c r="DX113" s="16747"/>
      <c r="DY113" s="16747"/>
      <c r="DZ113" s="16747"/>
      <c r="EA113" s="16748"/>
      <c r="EB113" s="11488"/>
      <c r="EC113" s="11489"/>
      <c r="ED113" s="11471"/>
      <c r="EE113" s="11472"/>
      <c r="EF113" s="11472" t="str">
        <f>IF(V113="","",V113)</f>
        <v/>
      </c>
      <c r="EG113" s="11472"/>
      <c r="EH113" s="11472"/>
      <c r="EI113" s="11462">
        <v>0</v>
      </c>
    </row>
    <row s="35270" customFormat="1" customHeight="1" ht="21">
      <c r="A114" s="8474"/>
      <c r="B114" s="8474"/>
      <c r="C114" s="8474"/>
      <c r="D114" s="8474"/>
      <c r="E114" s="11456"/>
      <c r="F114" s="11456" t="s">
        <v>93</v>
      </c>
      <c r="G114" s="11456"/>
      <c r="H114" s="11456"/>
      <c r="I114" s="11491"/>
      <c r="J114" s="11479" t="str">
        <f>I113&amp;".1"</f>
        <v>1.4.1.1.1.1</v>
      </c>
      <c r="K114" s="8474"/>
      <c r="L114" s="8474"/>
      <c r="M114" s="11458" t="s">
        <v>466</v>
      </c>
      <c r="N114" s="11462"/>
      <c r="O114" s="11462"/>
      <c r="P114" s="11480"/>
      <c r="Q114" s="11481"/>
      <c r="R114" s="11481">
        <v>1</v>
      </c>
      <c r="S114" s="11471"/>
      <c r="T114" s="11492"/>
      <c r="U114" s="11464" t="str">
        <f>$J114</f>
        <v>1.4.1.1.1.1</v>
      </c>
      <c r="V114" s="11493" t="s">
        <v>467</v>
      </c>
      <c r="W114" s="11466"/>
      <c r="X114" s="11494"/>
      <c r="Y114" s="11495"/>
      <c r="Z114" s="11495"/>
      <c r="AA114" s="11495"/>
      <c r="AB114" s="11495"/>
      <c r="AC114" s="11496"/>
      <c r="AD114" s="11496"/>
      <c r="AE114" s="11496"/>
      <c r="AF114" s="11497"/>
      <c r="AG114" s="11494" t="s">
        <v>535</v>
      </c>
      <c r="AH114" s="11495"/>
      <c r="AI114" s="11495"/>
      <c r="AJ114" s="11495"/>
      <c r="AK114" s="11495"/>
      <c r="AL114" s="11495"/>
      <c r="AM114" s="11495"/>
      <c r="AN114" s="11495"/>
      <c r="AO114" s="11495"/>
      <c r="AP114" s="16750"/>
      <c r="AQ114" s="16751"/>
      <c r="AR114" s="16751"/>
      <c r="AS114" s="16751"/>
      <c r="AT114" s="16751"/>
      <c r="AU114" s="16752"/>
      <c r="AV114" s="16752"/>
      <c r="AW114" s="16752"/>
      <c r="AX114" s="16753"/>
      <c r="AY114" s="16750"/>
      <c r="AZ114" s="16751"/>
      <c r="BA114" s="16751"/>
      <c r="BB114" s="16751"/>
      <c r="BC114" s="16751"/>
      <c r="BD114" s="16752"/>
      <c r="BE114" s="16752"/>
      <c r="BF114" s="16752"/>
      <c r="BG114" s="16753"/>
      <c r="BH114" s="16750"/>
      <c r="BI114" s="16751"/>
      <c r="BJ114" s="16751"/>
      <c r="BK114" s="16751"/>
      <c r="BL114" s="16751"/>
      <c r="BM114" s="16752"/>
      <c r="BN114" s="16752"/>
      <c r="BO114" s="16752"/>
      <c r="BP114" s="16753"/>
      <c r="BQ114" s="16750"/>
      <c r="BR114" s="16751"/>
      <c r="BS114" s="16751"/>
      <c r="BT114" s="16751"/>
      <c r="BU114" s="16751"/>
      <c r="BV114" s="16752"/>
      <c r="BW114" s="16752"/>
      <c r="BX114" s="16752"/>
      <c r="BY114" s="16753"/>
      <c r="BZ114" s="16750"/>
      <c r="CA114" s="16751"/>
      <c r="CB114" s="16751"/>
      <c r="CC114" s="16751"/>
      <c r="CD114" s="16751"/>
      <c r="CE114" s="16752"/>
      <c r="CF114" s="16752"/>
      <c r="CG114" s="16752"/>
      <c r="CH114" s="16753"/>
      <c r="CI114" s="16750"/>
      <c r="CJ114" s="16751"/>
      <c r="CK114" s="16751"/>
      <c r="CL114" s="16751"/>
      <c r="CM114" s="16751"/>
      <c r="CN114" s="16752"/>
      <c r="CO114" s="16752"/>
      <c r="CP114" s="16752"/>
      <c r="CQ114" s="16753"/>
      <c r="CR114" s="16750"/>
      <c r="CS114" s="16751"/>
      <c r="CT114" s="16751"/>
      <c r="CU114" s="16751"/>
      <c r="CV114" s="16751"/>
      <c r="CW114" s="16752"/>
      <c r="CX114" s="16752"/>
      <c r="CY114" s="16752"/>
      <c r="CZ114" s="16753"/>
      <c r="DA114" s="16750"/>
      <c r="DB114" s="16751"/>
      <c r="DC114" s="16751"/>
      <c r="DD114" s="16751"/>
      <c r="DE114" s="16751"/>
      <c r="DF114" s="16752"/>
      <c r="DG114" s="16752"/>
      <c r="DH114" s="16752"/>
      <c r="DI114" s="16753"/>
      <c r="DJ114" s="16750"/>
      <c r="DK114" s="16751"/>
      <c r="DL114" s="16751"/>
      <c r="DM114" s="16751"/>
      <c r="DN114" s="16751"/>
      <c r="DO114" s="16752"/>
      <c r="DP114" s="16752"/>
      <c r="DQ114" s="16752"/>
      <c r="DR114" s="16753"/>
      <c r="DS114" s="16750"/>
      <c r="DT114" s="16751"/>
      <c r="DU114" s="16751"/>
      <c r="DV114" s="16751"/>
      <c r="DW114" s="16751"/>
      <c r="DX114" s="16752"/>
      <c r="DY114" s="16752"/>
      <c r="DZ114" s="16752"/>
      <c r="EA114" s="16753"/>
      <c r="EB114" s="11498"/>
      <c r="EC114" s="11470" t="s">
        <v>468</v>
      </c>
      <c r="ED114" s="11471"/>
      <c r="EE114" s="11472"/>
      <c r="EF114" s="11472" t="str">
        <f>IF(V114="","",V114)</f>
        <v>Группа потребителей</v>
      </c>
      <c r="EG114" s="11472"/>
      <c r="EH114" s="11472"/>
      <c r="EI114" s="11462">
        <v>0</v>
      </c>
    </row>
    <row s="35271" customFormat="1" customHeight="1" ht="21">
      <c r="A115" s="8474"/>
      <c r="B115" s="8474"/>
      <c r="C115" s="8474"/>
      <c r="D115" s="8474"/>
      <c r="E115" s="11456"/>
      <c r="F115" s="11456" t="s">
        <v>93</v>
      </c>
      <c r="G115" s="11456"/>
      <c r="H115" s="11456"/>
      <c r="I115" s="11491"/>
      <c r="J115" s="11491"/>
      <c r="K115" s="11479" t="str">
        <f>J114&amp;".1"</f>
        <v>1.4.1.1.1.1.1</v>
      </c>
      <c r="L115" s="11460"/>
      <c r="M115" s="11458" t="s">
        <v>469</v>
      </c>
      <c r="N115" s="11462"/>
      <c r="O115" s="11462"/>
      <c r="P115" s="11462"/>
      <c r="Q115" s="11481"/>
      <c r="R115" s="11481"/>
      <c r="S115" s="11481">
        <v>1</v>
      </c>
      <c r="T115" s="11492"/>
      <c r="U115" s="11464" t="str">
        <f>$K115</f>
        <v>1.4.1.1.1.1.1</v>
      </c>
      <c r="V115" s="11500" t="s">
        <v>508</v>
      </c>
      <c r="W115" s="11466"/>
      <c r="X115" s="17062"/>
      <c r="Y115" s="17062"/>
      <c r="Z115" s="17062"/>
      <c r="AA115" s="17062"/>
      <c r="AB115" s="17063"/>
      <c r="AC115" s="17064"/>
      <c r="AD115" s="17065" t="s">
        <v>64</v>
      </c>
      <c r="AE115" s="17064"/>
      <c r="AF115" s="17065" t="s">
        <v>64</v>
      </c>
      <c r="AG115" s="11504"/>
      <c r="AH115" s="11501">
        <v>87.24</v>
      </c>
      <c r="AI115" s="11501">
        <v>1906.98</v>
      </c>
      <c r="AJ115" s="11501"/>
      <c r="AK115" s="11505"/>
      <c r="AL115" s="16759">
        <v>45292</v>
      </c>
      <c r="AM115" s="8452" t="s">
        <v>64</v>
      </c>
      <c r="AN115" s="16759">
        <v>45473</v>
      </c>
      <c r="AO115" s="8452" t="s">
        <v>64</v>
      </c>
      <c r="AP115" s="16757"/>
      <c r="AQ115" s="16757">
        <v>95.5</v>
      </c>
      <c r="AR115" s="16757">
        <v>2193.03</v>
      </c>
      <c r="AS115" s="16757"/>
      <c r="AT115" s="16758"/>
      <c r="AU115" s="16759">
        <v>45474</v>
      </c>
      <c r="AV115" s="16760" t="s">
        <v>64</v>
      </c>
      <c r="AW115" s="16759">
        <v>45657</v>
      </c>
      <c r="AX115" s="16760" t="s">
        <v>64</v>
      </c>
      <c r="AY115" s="16757"/>
      <c r="AZ115" s="16757">
        <v>95.5</v>
      </c>
      <c r="BA115" s="16757">
        <v>2193.03</v>
      </c>
      <c r="BB115" s="16757"/>
      <c r="BC115" s="16758"/>
      <c r="BD115" s="16759">
        <v>45658</v>
      </c>
      <c r="BE115" s="16760" t="s">
        <v>64</v>
      </c>
      <c r="BF115" s="16759">
        <v>45838</v>
      </c>
      <c r="BG115" s="16760" t="s">
        <v>64</v>
      </c>
      <c r="BH115" s="16757"/>
      <c r="BI115" s="16757">
        <v>107.15</v>
      </c>
      <c r="BJ115" s="16757">
        <v>2460.58</v>
      </c>
      <c r="BK115" s="16757"/>
      <c r="BL115" s="16758"/>
      <c r="BM115" s="16759">
        <v>45839</v>
      </c>
      <c r="BN115" s="16760" t="s">
        <v>64</v>
      </c>
      <c r="BO115" s="16759">
        <v>46022</v>
      </c>
      <c r="BP115" s="16760" t="s">
        <v>64</v>
      </c>
      <c r="BQ115" s="16757"/>
      <c r="BR115" s="16757">
        <v>101.97</v>
      </c>
      <c r="BS115" s="16757">
        <v>2301.63</v>
      </c>
      <c r="BT115" s="16757"/>
      <c r="BU115" s="16758"/>
      <c r="BV115" s="16759">
        <v>46023</v>
      </c>
      <c r="BW115" s="16760" t="s">
        <v>64</v>
      </c>
      <c r="BX115" s="16759">
        <v>46203</v>
      </c>
      <c r="BY115" s="16760" t="s">
        <v>64</v>
      </c>
      <c r="BZ115" s="16757"/>
      <c r="CA115" s="16757">
        <v>102.14</v>
      </c>
      <c r="CB115" s="16757">
        <v>2301.63</v>
      </c>
      <c r="CC115" s="16757"/>
      <c r="CD115" s="16758"/>
      <c r="CE115" s="16759">
        <v>46204</v>
      </c>
      <c r="CF115" s="16760" t="s">
        <v>64</v>
      </c>
      <c r="CG115" s="16759">
        <v>46387</v>
      </c>
      <c r="CH115" s="16760" t="s">
        <v>64</v>
      </c>
      <c r="CI115" s="16757"/>
      <c r="CJ115" s="16757">
        <v>102.14</v>
      </c>
      <c r="CK115" s="16757">
        <v>2301.63</v>
      </c>
      <c r="CL115" s="16757"/>
      <c r="CM115" s="16758"/>
      <c r="CN115" s="16759">
        <v>46388</v>
      </c>
      <c r="CO115" s="16760" t="s">
        <v>64</v>
      </c>
      <c r="CP115" s="16759">
        <v>46568</v>
      </c>
      <c r="CQ115" s="16760" t="s">
        <v>64</v>
      </c>
      <c r="CR115" s="16757"/>
      <c r="CS115" s="16757">
        <v>107.6</v>
      </c>
      <c r="CT115" s="16757">
        <v>2367.79</v>
      </c>
      <c r="CU115" s="16757"/>
      <c r="CV115" s="16758"/>
      <c r="CW115" s="16759">
        <v>46569</v>
      </c>
      <c r="CX115" s="16760" t="s">
        <v>64</v>
      </c>
      <c r="CY115" s="16759">
        <v>46752</v>
      </c>
      <c r="CZ115" s="16760" t="s">
        <v>64</v>
      </c>
      <c r="DA115" s="16757"/>
      <c r="DB115" s="16757">
        <v>107.6</v>
      </c>
      <c r="DC115" s="16757">
        <v>2367.79</v>
      </c>
      <c r="DD115" s="16757"/>
      <c r="DE115" s="16758"/>
      <c r="DF115" s="16759">
        <v>46753</v>
      </c>
      <c r="DG115" s="16760" t="s">
        <v>64</v>
      </c>
      <c r="DH115" s="16759">
        <v>46934</v>
      </c>
      <c r="DI115" s="16760" t="s">
        <v>64</v>
      </c>
      <c r="DJ115" s="16757"/>
      <c r="DK115" s="16757">
        <v>109.99</v>
      </c>
      <c r="DL115" s="16757">
        <v>2400.63</v>
      </c>
      <c r="DM115" s="16757"/>
      <c r="DN115" s="16758"/>
      <c r="DO115" s="16759">
        <v>46935</v>
      </c>
      <c r="DP115" s="16760" t="s">
        <v>64</v>
      </c>
      <c r="DQ115" s="16759">
        <v>47118</v>
      </c>
      <c r="DR115" s="16760" t="s">
        <v>19</v>
      </c>
      <c r="DS115" s="17062"/>
      <c r="DT115" s="17062"/>
      <c r="DU115" s="17062"/>
      <c r="DV115" s="17062"/>
      <c r="DW115" s="17063"/>
      <c r="DX115" s="17064"/>
      <c r="DY115" s="17065" t="s">
        <v>64</v>
      </c>
      <c r="DZ115" s="17064"/>
      <c r="EA115" s="17065" t="s">
        <v>64</v>
      </c>
      <c r="EB115" s="11506"/>
      <c r="EC115" s="11507" t="s">
        <v>523</v>
      </c>
      <c r="ED115" s="11471">
        <f>STRCHECKDATE(X117:EB117)</f>
      </c>
      <c r="EE115" s="11472"/>
      <c r="EF115" s="11472" t="str">
        <f>IF(V115="","",V115)</f>
        <v>вода</v>
      </c>
      <c r="EG115" s="11472"/>
      <c r="EH115" s="11472"/>
      <c r="EI115" s="11462">
        <v>0</v>
      </c>
    </row>
    <row s="35272" customFormat="1" customHeight="1" ht="21">
      <c r="A116" s="8474"/>
      <c r="B116" s="8474"/>
      <c r="C116" s="8474"/>
      <c r="D116" s="8474"/>
      <c r="E116" s="11456"/>
      <c r="F116" s="11456" t="s">
        <v>93</v>
      </c>
      <c r="G116" s="11456"/>
      <c r="H116" s="11456"/>
      <c r="I116" s="11491"/>
      <c r="J116" s="11491"/>
      <c r="K116" s="11491"/>
      <c r="L116" s="11479" t="str">
        <f>K115&amp;".1"</f>
        <v>1.4.1.1.1.1.1.1</v>
      </c>
      <c r="M116" s="11458"/>
      <c r="N116" s="11462"/>
      <c r="O116" s="11462"/>
      <c r="P116" s="11462"/>
      <c r="Q116" s="11481"/>
      <c r="R116" s="11481"/>
      <c r="S116" s="11481"/>
      <c r="T116" s="11492"/>
      <c r="U116" s="11464" t="str">
        <f>$L116</f>
        <v>1.4.1.1.1.1.1.1</v>
      </c>
      <c r="V116" s="11509"/>
      <c r="W116" s="11466"/>
      <c r="X116" s="17062"/>
      <c r="Y116" s="17062"/>
      <c r="Z116" s="17062"/>
      <c r="AA116" s="17062"/>
      <c r="AB116" s="17063"/>
      <c r="AC116" s="17064"/>
      <c r="AD116" s="17065"/>
      <c r="AE116" s="17064"/>
      <c r="AF116" s="17065"/>
      <c r="AG116" s="11504"/>
      <c r="AH116" s="11501"/>
      <c r="AI116" s="11501"/>
      <c r="AJ116" s="11501"/>
      <c r="AK116" s="11505"/>
      <c r="AL116" s="11510"/>
      <c r="AM116" s="8452"/>
      <c r="AN116" s="11510"/>
      <c r="AO116" s="8452"/>
      <c r="AP116" s="16764"/>
      <c r="AQ116" s="16757"/>
      <c r="AR116" s="16757"/>
      <c r="AS116" s="16757"/>
      <c r="AT116" s="16758"/>
      <c r="AU116" s="16765"/>
      <c r="AV116" s="16760"/>
      <c r="AW116" s="16765"/>
      <c r="AX116" s="16760"/>
      <c r="AY116" s="16764"/>
      <c r="AZ116" s="16757"/>
      <c r="BA116" s="16757"/>
      <c r="BB116" s="16757"/>
      <c r="BC116" s="16758"/>
      <c r="BD116" s="16765"/>
      <c r="BE116" s="16760"/>
      <c r="BF116" s="16765"/>
      <c r="BG116" s="16760"/>
      <c r="BH116" s="16764"/>
      <c r="BI116" s="16757"/>
      <c r="BJ116" s="16757"/>
      <c r="BK116" s="16757"/>
      <c r="BL116" s="16758"/>
      <c r="BM116" s="16765"/>
      <c r="BN116" s="16760"/>
      <c r="BO116" s="16765"/>
      <c r="BP116" s="16760"/>
      <c r="BQ116" s="16764"/>
      <c r="BR116" s="16757"/>
      <c r="BS116" s="16757"/>
      <c r="BT116" s="16757"/>
      <c r="BU116" s="16758"/>
      <c r="BV116" s="16765"/>
      <c r="BW116" s="16760"/>
      <c r="BX116" s="16765"/>
      <c r="BY116" s="16760"/>
      <c r="BZ116" s="16764"/>
      <c r="CA116" s="16757"/>
      <c r="CB116" s="16757"/>
      <c r="CC116" s="16757"/>
      <c r="CD116" s="16758"/>
      <c r="CE116" s="16765"/>
      <c r="CF116" s="16760"/>
      <c r="CG116" s="16765"/>
      <c r="CH116" s="16760"/>
      <c r="CI116" s="16764"/>
      <c r="CJ116" s="16757"/>
      <c r="CK116" s="16757"/>
      <c r="CL116" s="16757"/>
      <c r="CM116" s="16758"/>
      <c r="CN116" s="16765"/>
      <c r="CO116" s="16760"/>
      <c r="CP116" s="16765"/>
      <c r="CQ116" s="16760"/>
      <c r="CR116" s="16764"/>
      <c r="CS116" s="16757"/>
      <c r="CT116" s="16757"/>
      <c r="CU116" s="16757"/>
      <c r="CV116" s="16758"/>
      <c r="CW116" s="16765"/>
      <c r="CX116" s="16760"/>
      <c r="CY116" s="16765"/>
      <c r="CZ116" s="16760"/>
      <c r="DA116" s="16764"/>
      <c r="DB116" s="16757"/>
      <c r="DC116" s="16757"/>
      <c r="DD116" s="16757"/>
      <c r="DE116" s="16758"/>
      <c r="DF116" s="16765"/>
      <c r="DG116" s="16760"/>
      <c r="DH116" s="16765"/>
      <c r="DI116" s="16760"/>
      <c r="DJ116" s="16764"/>
      <c r="DK116" s="16757"/>
      <c r="DL116" s="16757"/>
      <c r="DM116" s="16757"/>
      <c r="DN116" s="16758"/>
      <c r="DO116" s="16765"/>
      <c r="DP116" s="16760"/>
      <c r="DQ116" s="16765"/>
      <c r="DR116" s="16760"/>
      <c r="DS116" s="17062"/>
      <c r="DT116" s="17062"/>
      <c r="DU116" s="17062"/>
      <c r="DV116" s="17062"/>
      <c r="DW116" s="17063"/>
      <c r="DX116" s="17064"/>
      <c r="DY116" s="17065"/>
      <c r="DZ116" s="17064"/>
      <c r="EA116" s="17065"/>
      <c r="EB116" s="11506"/>
      <c r="EC116" s="11511" t="s">
        <v>524</v>
      </c>
      <c r="ED116" s="11471"/>
      <c r="EE116" s="11472"/>
      <c r="EF116" s="11472"/>
      <c r="EG116" s="11472"/>
      <c r="EH116" s="11472"/>
      <c r="EI116" s="11462">
        <v>0</v>
      </c>
    </row>
    <row s="35273" customFormat="1" customHeight="1" ht="14.25">
      <c r="A117" s="8474"/>
      <c r="B117" s="8474"/>
      <c r="C117" s="8474"/>
      <c r="D117" s="8474"/>
      <c r="E117" s="11456"/>
      <c r="F117" s="11456" t="s">
        <v>93</v>
      </c>
      <c r="G117" s="11456"/>
      <c r="H117" s="11456"/>
      <c r="I117" s="11491"/>
      <c r="J117" s="11491"/>
      <c r="K117" s="11491"/>
      <c r="L117" s="11479"/>
      <c r="M117" s="11458"/>
      <c r="N117" s="11462"/>
      <c r="O117" s="11462"/>
      <c r="P117" s="11462"/>
      <c r="Q117" s="11481"/>
      <c r="R117" s="11481"/>
      <c r="S117" s="11481"/>
      <c r="T117" s="11492"/>
      <c r="U117" s="11513"/>
      <c r="V117" s="11466"/>
      <c r="W117" s="11466"/>
      <c r="X117" s="17062"/>
      <c r="Y117" s="17062"/>
      <c r="Z117" s="17062"/>
      <c r="AA117" s="17062"/>
      <c r="AB117" s="17063"/>
      <c r="AC117" s="17064"/>
      <c r="AD117" s="17065"/>
      <c r="AE117" s="17064"/>
      <c r="AF117" s="17065"/>
      <c r="AG117" s="11515"/>
      <c r="AH117" s="11506"/>
      <c r="AI117" s="11506"/>
      <c r="AJ117" s="11506"/>
      <c r="AK117" s="11516" t="str">
        <f>AL115&amp;"-"&amp;AN115</f>
        <v>45292-45473</v>
      </c>
      <c r="AL117" s="11510"/>
      <c r="AM117" s="8452"/>
      <c r="AN117" s="11510"/>
      <c r="AO117" s="8452"/>
      <c r="AP117" s="16764"/>
      <c r="AQ117" s="16764"/>
      <c r="AR117" s="16764"/>
      <c r="AS117" s="16764"/>
      <c r="AT117" s="16768" t="str">
        <f>AU115&amp;"-"&amp;AW115</f>
        <v>45474-45657</v>
      </c>
      <c r="AU117" s="16765"/>
      <c r="AV117" s="16760"/>
      <c r="AW117" s="16765"/>
      <c r="AX117" s="16760"/>
      <c r="AY117" s="16764"/>
      <c r="AZ117" s="16764"/>
      <c r="BA117" s="16764"/>
      <c r="BB117" s="16764"/>
      <c r="BC117" s="16768" t="str">
        <f>BD115&amp;"-"&amp;BF115</f>
        <v>45658-45838</v>
      </c>
      <c r="BD117" s="16765"/>
      <c r="BE117" s="16760"/>
      <c r="BF117" s="16765"/>
      <c r="BG117" s="16760"/>
      <c r="BH117" s="16764"/>
      <c r="BI117" s="16764"/>
      <c r="BJ117" s="16764"/>
      <c r="BK117" s="16764"/>
      <c r="BL117" s="16768" t="str">
        <f>BM115&amp;"-"&amp;BO115</f>
        <v>45839-46022</v>
      </c>
      <c r="BM117" s="16765"/>
      <c r="BN117" s="16760"/>
      <c r="BO117" s="16765"/>
      <c r="BP117" s="16760"/>
      <c r="BQ117" s="16764"/>
      <c r="BR117" s="16764"/>
      <c r="BS117" s="16764"/>
      <c r="BT117" s="16764"/>
      <c r="BU117" s="16768" t="str">
        <f>BV115&amp;"-"&amp;BX115</f>
        <v>46023-46203</v>
      </c>
      <c r="BV117" s="16765"/>
      <c r="BW117" s="16760"/>
      <c r="BX117" s="16765"/>
      <c r="BY117" s="16760"/>
      <c r="BZ117" s="16764"/>
      <c r="CA117" s="16764"/>
      <c r="CB117" s="16764"/>
      <c r="CC117" s="16764"/>
      <c r="CD117" s="16768" t="str">
        <f>CE115&amp;"-"&amp;CG115</f>
        <v>46204-46387</v>
      </c>
      <c r="CE117" s="16765"/>
      <c r="CF117" s="16760"/>
      <c r="CG117" s="16765"/>
      <c r="CH117" s="16760"/>
      <c r="CI117" s="16764"/>
      <c r="CJ117" s="16764"/>
      <c r="CK117" s="16764"/>
      <c r="CL117" s="16764"/>
      <c r="CM117" s="16768" t="str">
        <f>CN115&amp;"-"&amp;CP115</f>
        <v>46388-46568</v>
      </c>
      <c r="CN117" s="16765"/>
      <c r="CO117" s="16760"/>
      <c r="CP117" s="16765"/>
      <c r="CQ117" s="16760"/>
      <c r="CR117" s="16764"/>
      <c r="CS117" s="16764"/>
      <c r="CT117" s="16764"/>
      <c r="CU117" s="16764"/>
      <c r="CV117" s="16768" t="str">
        <f>CW115&amp;"-"&amp;CY115</f>
        <v>46569-46752</v>
      </c>
      <c r="CW117" s="16765"/>
      <c r="CX117" s="16760"/>
      <c r="CY117" s="16765"/>
      <c r="CZ117" s="16760"/>
      <c r="DA117" s="16764"/>
      <c r="DB117" s="16764"/>
      <c r="DC117" s="16764"/>
      <c r="DD117" s="16764"/>
      <c r="DE117" s="16768" t="str">
        <f>DF115&amp;"-"&amp;DH115</f>
        <v>46753-46934</v>
      </c>
      <c r="DF117" s="16765"/>
      <c r="DG117" s="16760"/>
      <c r="DH117" s="16765"/>
      <c r="DI117" s="16760"/>
      <c r="DJ117" s="16764"/>
      <c r="DK117" s="16764"/>
      <c r="DL117" s="16764"/>
      <c r="DM117" s="16764"/>
      <c r="DN117" s="16768" t="str">
        <f>DO115&amp;"-"&amp;DQ115</f>
        <v>46935-47118</v>
      </c>
      <c r="DO117" s="16765"/>
      <c r="DP117" s="16760"/>
      <c r="DQ117" s="16765"/>
      <c r="DR117" s="16760"/>
      <c r="DS117" s="17062"/>
      <c r="DT117" s="17062"/>
      <c r="DU117" s="17062"/>
      <c r="DV117" s="17062"/>
      <c r="DW117" s="17063"/>
      <c r="DX117" s="17064"/>
      <c r="DY117" s="17065"/>
      <c r="DZ117" s="17064"/>
      <c r="EA117" s="17065"/>
      <c r="EB117" s="11506"/>
      <c r="EC117" s="11517"/>
      <c r="ED117" s="11471"/>
      <c r="EE117" s="11472"/>
      <c r="EF117" s="11472" t="str">
        <f>IF(V117="","",V117)</f>
        <v/>
      </c>
      <c r="EG117" s="11472"/>
      <c r="EH117" s="11472"/>
      <c r="EI117" s="11462">
        <v>0</v>
      </c>
    </row>
    <row s="35274" customFormat="1" customHeight="1" ht="11.25">
      <c r="A118" s="8474"/>
      <c r="B118" s="8474"/>
      <c r="C118" s="8474"/>
      <c r="D118" s="8474"/>
      <c r="E118" s="11456"/>
      <c r="F118" s="11456" t="s">
        <v>93</v>
      </c>
      <c r="G118" s="11456"/>
      <c r="H118" s="11456"/>
      <c r="I118" s="11491"/>
      <c r="J118" s="11491"/>
      <c r="K118" s="11479"/>
      <c r="L118" s="8474"/>
      <c r="M118" s="11458"/>
      <c r="N118" s="11462"/>
      <c r="O118" s="11462"/>
      <c r="P118" s="11462"/>
      <c r="Q118" s="11481"/>
      <c r="R118" s="11481"/>
      <c r="S118" s="11481"/>
      <c r="T118" s="11492"/>
      <c r="U118" s="11686"/>
      <c r="V118" s="11687" t="s">
        <v>525</v>
      </c>
      <c r="W118" s="11688"/>
      <c r="X118" s="17062"/>
      <c r="Y118" s="17062"/>
      <c r="Z118" s="17062"/>
      <c r="AA118" s="17062"/>
      <c r="AB118" s="17069" t="str">
        <f>AC115&amp;"-"&amp;AE115</f>
        <v>-</v>
      </c>
      <c r="AC118" s="17065"/>
      <c r="AD118" s="17065"/>
      <c r="AE118" s="17065"/>
      <c r="AF118" s="17065"/>
      <c r="AG118" s="11694"/>
      <c r="AH118" s="11695"/>
      <c r="AI118" s="11696"/>
      <c r="AJ118" s="11697"/>
      <c r="AK118" s="11698"/>
      <c r="AL118" s="11510"/>
      <c r="AM118" s="8452"/>
      <c r="AN118" s="11510"/>
      <c r="AO118" s="8452"/>
      <c r="AP118" s="18485"/>
      <c r="AQ118" s="18486"/>
      <c r="AR118" s="18487"/>
      <c r="AS118" s="18488"/>
      <c r="AT118" s="18489"/>
      <c r="AU118" s="16765"/>
      <c r="AV118" s="16760"/>
      <c r="AW118" s="16765"/>
      <c r="AX118" s="16760"/>
      <c r="AY118" s="18490"/>
      <c r="AZ118" s="18491"/>
      <c r="BA118" s="18492"/>
      <c r="BB118" s="18493"/>
      <c r="BC118" s="18494"/>
      <c r="BD118" s="16765"/>
      <c r="BE118" s="16760"/>
      <c r="BF118" s="16765"/>
      <c r="BG118" s="16760"/>
      <c r="BH118" s="18495"/>
      <c r="BI118" s="18496"/>
      <c r="BJ118" s="18497"/>
      <c r="BK118" s="18498"/>
      <c r="BL118" s="18499"/>
      <c r="BM118" s="16765"/>
      <c r="BN118" s="16760"/>
      <c r="BO118" s="16765"/>
      <c r="BP118" s="16760"/>
      <c r="BQ118" s="18500"/>
      <c r="BR118" s="18501"/>
      <c r="BS118" s="18502"/>
      <c r="BT118" s="18503"/>
      <c r="BU118" s="18504"/>
      <c r="BV118" s="16765"/>
      <c r="BW118" s="16760"/>
      <c r="BX118" s="16765"/>
      <c r="BY118" s="16760"/>
      <c r="BZ118" s="18505"/>
      <c r="CA118" s="18506"/>
      <c r="CB118" s="18507"/>
      <c r="CC118" s="18508"/>
      <c r="CD118" s="18509"/>
      <c r="CE118" s="16765"/>
      <c r="CF118" s="16760"/>
      <c r="CG118" s="16765"/>
      <c r="CH118" s="16760"/>
      <c r="CI118" s="18510"/>
      <c r="CJ118" s="18511"/>
      <c r="CK118" s="18512"/>
      <c r="CL118" s="18513"/>
      <c r="CM118" s="18514"/>
      <c r="CN118" s="16765"/>
      <c r="CO118" s="16760"/>
      <c r="CP118" s="16765"/>
      <c r="CQ118" s="16760"/>
      <c r="CR118" s="18515"/>
      <c r="CS118" s="18516"/>
      <c r="CT118" s="18517"/>
      <c r="CU118" s="18518"/>
      <c r="CV118" s="18519"/>
      <c r="CW118" s="16765"/>
      <c r="CX118" s="16760"/>
      <c r="CY118" s="16765"/>
      <c r="CZ118" s="16760"/>
      <c r="DA118" s="18520"/>
      <c r="DB118" s="18521"/>
      <c r="DC118" s="18522"/>
      <c r="DD118" s="18523"/>
      <c r="DE118" s="18524"/>
      <c r="DF118" s="16765"/>
      <c r="DG118" s="16760"/>
      <c r="DH118" s="16765"/>
      <c r="DI118" s="16760"/>
      <c r="DJ118" s="18525"/>
      <c r="DK118" s="18526"/>
      <c r="DL118" s="18527"/>
      <c r="DM118" s="18528"/>
      <c r="DN118" s="18529"/>
      <c r="DO118" s="16765"/>
      <c r="DP118" s="16760"/>
      <c r="DQ118" s="16765"/>
      <c r="DR118" s="16760"/>
      <c r="DS118" s="17062"/>
      <c r="DT118" s="17062"/>
      <c r="DU118" s="17062"/>
      <c r="DV118" s="17062"/>
      <c r="DW118" s="17069" t="str">
        <f>DX115&amp;"-"&amp;DZ115</f>
        <v>-</v>
      </c>
      <c r="DX118" s="17065"/>
      <c r="DY118" s="17065"/>
      <c r="DZ118" s="17065"/>
      <c r="EA118" s="17065"/>
      <c r="EB118" s="11699"/>
      <c r="EC118" s="11517"/>
      <c r="ED118" s="11471"/>
      <c r="EE118" s="11472"/>
      <c r="EF118" s="11472"/>
      <c r="EG118" s="11472"/>
      <c r="EH118" s="11472"/>
      <c r="EI118" s="11462">
        <v>0</v>
      </c>
    </row>
    <row s="35329" customFormat="1" customHeight="1" ht="15">
      <c r="A119" s="8474"/>
      <c r="B119" s="8474"/>
      <c r="C119" s="8474"/>
      <c r="D119" s="8474"/>
      <c r="E119" s="11456"/>
      <c r="F119" s="11456" t="s">
        <v>93</v>
      </c>
      <c r="G119" s="11456"/>
      <c r="H119" s="11456"/>
      <c r="I119" s="11491"/>
      <c r="J119" s="11479"/>
      <c r="K119" s="8474"/>
      <c r="L119" s="8474"/>
      <c r="M119" s="11458"/>
      <c r="N119" s="11462"/>
      <c r="O119" s="11462"/>
      <c r="P119" s="11480"/>
      <c r="Q119" s="11481"/>
      <c r="R119" s="11481"/>
      <c r="S119" s="11481"/>
      <c r="T119" s="11482"/>
      <c r="U119" s="11701"/>
      <c r="V119" s="11702" t="s">
        <v>471</v>
      </c>
      <c r="W119" s="11703"/>
      <c r="X119" s="11704"/>
      <c r="Y119" s="11705"/>
      <c r="Z119" s="11706"/>
      <c r="AA119" s="11707"/>
      <c r="AB119" s="11708"/>
      <c r="AC119" s="11709"/>
      <c r="AD119" s="11710"/>
      <c r="AE119" s="11711"/>
      <c r="AF119" s="11712"/>
      <c r="AG119" s="11713"/>
      <c r="AH119" s="11714"/>
      <c r="AI119" s="11715"/>
      <c r="AJ119" s="11716"/>
      <c r="AK119" s="11717"/>
      <c r="AL119" s="11718"/>
      <c r="AM119" s="11719"/>
      <c r="AN119" s="11720"/>
      <c r="AO119" s="11721"/>
      <c r="AP119" s="18553"/>
      <c r="AQ119" s="18554"/>
      <c r="AR119" s="18555"/>
      <c r="AS119" s="18556"/>
      <c r="AT119" s="18557"/>
      <c r="AU119" s="18558"/>
      <c r="AV119" s="18559"/>
      <c r="AW119" s="18560"/>
      <c r="AX119" s="18561"/>
      <c r="AY119" s="18562"/>
      <c r="AZ119" s="18563"/>
      <c r="BA119" s="18564"/>
      <c r="BB119" s="18565"/>
      <c r="BC119" s="18566"/>
      <c r="BD119" s="18567"/>
      <c r="BE119" s="18568"/>
      <c r="BF119" s="18569"/>
      <c r="BG119" s="18570"/>
      <c r="BH119" s="18571"/>
      <c r="BI119" s="18572"/>
      <c r="BJ119" s="18573"/>
      <c r="BK119" s="18574"/>
      <c r="BL119" s="18575"/>
      <c r="BM119" s="18576"/>
      <c r="BN119" s="18577"/>
      <c r="BO119" s="18578"/>
      <c r="BP119" s="18579"/>
      <c r="BQ119" s="18580"/>
      <c r="BR119" s="18581"/>
      <c r="BS119" s="18582"/>
      <c r="BT119" s="18583"/>
      <c r="BU119" s="18584"/>
      <c r="BV119" s="18585"/>
      <c r="BW119" s="18586"/>
      <c r="BX119" s="18587"/>
      <c r="BY119" s="18588"/>
      <c r="BZ119" s="18589"/>
      <c r="CA119" s="18590"/>
      <c r="CB119" s="18591"/>
      <c r="CC119" s="18592"/>
      <c r="CD119" s="18593"/>
      <c r="CE119" s="18594"/>
      <c r="CF119" s="18595"/>
      <c r="CG119" s="18596"/>
      <c r="CH119" s="18597"/>
      <c r="CI119" s="18598"/>
      <c r="CJ119" s="18599"/>
      <c r="CK119" s="18600"/>
      <c r="CL119" s="18601"/>
      <c r="CM119" s="18602"/>
      <c r="CN119" s="18603"/>
      <c r="CO119" s="18604"/>
      <c r="CP119" s="18605"/>
      <c r="CQ119" s="18606"/>
      <c r="CR119" s="18607"/>
      <c r="CS119" s="18608"/>
      <c r="CT119" s="18609"/>
      <c r="CU119" s="18610"/>
      <c r="CV119" s="18611"/>
      <c r="CW119" s="18612"/>
      <c r="CX119" s="18613"/>
      <c r="CY119" s="18614"/>
      <c r="CZ119" s="18615"/>
      <c r="DA119" s="18616"/>
      <c r="DB119" s="18617"/>
      <c r="DC119" s="18618"/>
      <c r="DD119" s="18619"/>
      <c r="DE119" s="18620"/>
      <c r="DF119" s="18621"/>
      <c r="DG119" s="18622"/>
      <c r="DH119" s="18623"/>
      <c r="DI119" s="18624"/>
      <c r="DJ119" s="18625"/>
      <c r="DK119" s="18626"/>
      <c r="DL119" s="18627"/>
      <c r="DM119" s="18628"/>
      <c r="DN119" s="18629"/>
      <c r="DO119" s="18630"/>
      <c r="DP119" s="18631"/>
      <c r="DQ119" s="18632"/>
      <c r="DR119" s="18633"/>
      <c r="DS119" s="18634"/>
      <c r="DT119" s="18635"/>
      <c r="DU119" s="18636"/>
      <c r="DV119" s="18637"/>
      <c r="DW119" s="18638"/>
      <c r="DX119" s="18639"/>
      <c r="DY119" s="18640"/>
      <c r="DZ119" s="18641"/>
      <c r="EA119" s="18642"/>
      <c r="EB119" s="11722"/>
      <c r="EC119" s="11556"/>
      <c r="ED119" s="11471"/>
      <c r="EE119" s="11472"/>
      <c r="EF119" s="11472" t="str">
        <f>IF(V119="","",V119)</f>
        <v>Добавить вид теплоносителя (параметры теплоносителя)</v>
      </c>
      <c r="EG119" s="11472"/>
      <c r="EH119" s="11472"/>
      <c r="EI119" s="11462">
        <v>0</v>
      </c>
    </row>
    <row s="35442" customFormat="1" customHeight="1" ht="21">
      <c r="A120" s="17181"/>
      <c r="B120" s="17181"/>
      <c r="C120" s="17181"/>
      <c r="D120" s="17181"/>
      <c r="E120" s="17182"/>
      <c r="F120" s="17182"/>
      <c r="G120" s="17182"/>
      <c r="H120" s="17182"/>
      <c r="I120" s="17183"/>
      <c r="J120" s="17018" t="str">
        <f>I113&amp;".2"</f>
        <v>1.4.1.1.1.2</v>
      </c>
      <c r="K120" s="17181"/>
      <c r="L120" s="17181"/>
      <c r="M120" s="17184" t="s">
        <v>466</v>
      </c>
      <c r="N120" s="16741"/>
      <c r="O120" s="16741"/>
      <c r="P120" s="17185"/>
      <c r="Q120" s="17186"/>
      <c r="R120" s="17187" t="s">
        <v>106</v>
      </c>
      <c r="S120" s="17016"/>
      <c r="T120" s="17188"/>
      <c r="U120" s="17189" t="str">
        <f>$J120</f>
        <v>1.4.1.1.1.2</v>
      </c>
      <c r="V120" s="17190" t="s">
        <v>467</v>
      </c>
      <c r="W120" s="17191"/>
      <c r="X120" s="16750"/>
      <c r="Y120" s="16751"/>
      <c r="Z120" s="16751"/>
      <c r="AA120" s="16751"/>
      <c r="AB120" s="16751"/>
      <c r="AC120" s="16752"/>
      <c r="AD120" s="16752"/>
      <c r="AE120" s="16752"/>
      <c r="AF120" s="16753"/>
      <c r="AG120" s="16750" t="s">
        <v>510</v>
      </c>
      <c r="AH120" s="16751"/>
      <c r="AI120" s="16751"/>
      <c r="AJ120" s="16751"/>
      <c r="AK120" s="16751"/>
      <c r="AL120" s="16751"/>
      <c r="AM120" s="16751"/>
      <c r="AN120" s="16751"/>
      <c r="AO120" s="16751"/>
      <c r="AP120" s="16750"/>
      <c r="AQ120" s="16751"/>
      <c r="AR120" s="16751"/>
      <c r="AS120" s="16751"/>
      <c r="AT120" s="16751"/>
      <c r="AU120" s="16752"/>
      <c r="AV120" s="16752"/>
      <c r="AW120" s="16752"/>
      <c r="AX120" s="16753"/>
      <c r="AY120" s="16750"/>
      <c r="AZ120" s="16751"/>
      <c r="BA120" s="16751"/>
      <c r="BB120" s="16751"/>
      <c r="BC120" s="16751"/>
      <c r="BD120" s="16752"/>
      <c r="BE120" s="16752"/>
      <c r="BF120" s="16752"/>
      <c r="BG120" s="16753"/>
      <c r="BH120" s="16750"/>
      <c r="BI120" s="16751"/>
      <c r="BJ120" s="16751"/>
      <c r="BK120" s="16751"/>
      <c r="BL120" s="16751"/>
      <c r="BM120" s="16752"/>
      <c r="BN120" s="16752"/>
      <c r="BO120" s="16752"/>
      <c r="BP120" s="16753"/>
      <c r="BQ120" s="16750"/>
      <c r="BR120" s="16751"/>
      <c r="BS120" s="16751"/>
      <c r="BT120" s="16751"/>
      <c r="BU120" s="16751"/>
      <c r="BV120" s="16752"/>
      <c r="BW120" s="16752"/>
      <c r="BX120" s="16752"/>
      <c r="BY120" s="16753"/>
      <c r="BZ120" s="16750"/>
      <c r="CA120" s="16751"/>
      <c r="CB120" s="16751"/>
      <c r="CC120" s="16751"/>
      <c r="CD120" s="16751"/>
      <c r="CE120" s="16752"/>
      <c r="CF120" s="16752"/>
      <c r="CG120" s="16752"/>
      <c r="CH120" s="16753"/>
      <c r="CI120" s="16750"/>
      <c r="CJ120" s="16751"/>
      <c r="CK120" s="16751"/>
      <c r="CL120" s="16751"/>
      <c r="CM120" s="16751"/>
      <c r="CN120" s="16752"/>
      <c r="CO120" s="16752"/>
      <c r="CP120" s="16752"/>
      <c r="CQ120" s="16753"/>
      <c r="CR120" s="16750"/>
      <c r="CS120" s="16751"/>
      <c r="CT120" s="16751"/>
      <c r="CU120" s="16751"/>
      <c r="CV120" s="16751"/>
      <c r="CW120" s="16752"/>
      <c r="CX120" s="16752"/>
      <c r="CY120" s="16752"/>
      <c r="CZ120" s="16753"/>
      <c r="DA120" s="16750"/>
      <c r="DB120" s="16751"/>
      <c r="DC120" s="16751"/>
      <c r="DD120" s="16751"/>
      <c r="DE120" s="16751"/>
      <c r="DF120" s="16752"/>
      <c r="DG120" s="16752"/>
      <c r="DH120" s="16752"/>
      <c r="DI120" s="16753"/>
      <c r="DJ120" s="16750"/>
      <c r="DK120" s="16751"/>
      <c r="DL120" s="16751"/>
      <c r="DM120" s="16751"/>
      <c r="DN120" s="16751"/>
      <c r="DO120" s="16752"/>
      <c r="DP120" s="16752"/>
      <c r="DQ120" s="16752"/>
      <c r="DR120" s="16753"/>
      <c r="DS120" s="16750"/>
      <c r="DT120" s="16751"/>
      <c r="DU120" s="16751"/>
      <c r="DV120" s="16751"/>
      <c r="DW120" s="16751"/>
      <c r="DX120" s="16752"/>
      <c r="DY120" s="16752"/>
      <c r="DZ120" s="16752"/>
      <c r="EA120" s="16753"/>
      <c r="EB120" s="17192"/>
      <c r="EC120" s="17193" t="s">
        <v>468</v>
      </c>
      <c r="ED120" s="17016"/>
      <c r="EE120" s="17194"/>
      <c r="EF120" s="17194" t="str">
        <f>IF(V120="","",V120)</f>
        <v>Группа потребителей</v>
      </c>
      <c r="EG120" s="17194"/>
      <c r="EH120" s="17194"/>
      <c r="EI120" s="16741">
        <v>0</v>
      </c>
    </row>
    <row s="35443" customFormat="1" customHeight="1" ht="21">
      <c r="A121" s="17181"/>
      <c r="B121" s="17181"/>
      <c r="C121" s="17181"/>
      <c r="D121" s="17181"/>
      <c r="E121" s="17182"/>
      <c r="F121" s="17182"/>
      <c r="G121" s="17182"/>
      <c r="H121" s="17182"/>
      <c r="I121" s="17183"/>
      <c r="J121" s="17183" t="str">
        <f>I113&amp;".1"</f>
        <v>1.4.1.1.1.1</v>
      </c>
      <c r="K121" s="17018" t="str">
        <f>J120&amp;".1"</f>
        <v>1.4.1.1.1.2.1</v>
      </c>
      <c r="L121" s="17196"/>
      <c r="M121" s="17184" t="s">
        <v>469</v>
      </c>
      <c r="N121" s="16741"/>
      <c r="O121" s="16741"/>
      <c r="P121" s="16741"/>
      <c r="Q121" s="17186"/>
      <c r="R121" s="17186"/>
      <c r="S121" s="17186">
        <v>1</v>
      </c>
      <c r="T121" s="17188"/>
      <c r="U121" s="17189" t="str">
        <f>$K121</f>
        <v>1.4.1.1.1.2.1</v>
      </c>
      <c r="V121" s="17197" t="s">
        <v>508</v>
      </c>
      <c r="W121" s="17191"/>
      <c r="X121" s="17062"/>
      <c r="Y121" s="17062"/>
      <c r="Z121" s="17062"/>
      <c r="AA121" s="17062"/>
      <c r="AB121" s="17063"/>
      <c r="AC121" s="17064"/>
      <c r="AD121" s="17065" t="s">
        <v>64</v>
      </c>
      <c r="AE121" s="17064"/>
      <c r="AF121" s="17065" t="s">
        <v>64</v>
      </c>
      <c r="AG121" s="17066"/>
      <c r="AH121" s="16757">
        <v>104.69</v>
      </c>
      <c r="AI121" s="16757">
        <v>2288.38</v>
      </c>
      <c r="AJ121" s="16757"/>
      <c r="AK121" s="17067"/>
      <c r="AL121" s="16759">
        <v>45292</v>
      </c>
      <c r="AM121" s="16760" t="s">
        <v>64</v>
      </c>
      <c r="AN121" s="16759">
        <v>45473</v>
      </c>
      <c r="AO121" s="16760" t="s">
        <v>64</v>
      </c>
      <c r="AP121" s="16757"/>
      <c r="AQ121" s="16757">
        <v>114.6</v>
      </c>
      <c r="AR121" s="16757">
        <v>2631.64</v>
      </c>
      <c r="AS121" s="16757"/>
      <c r="AT121" s="16758"/>
      <c r="AU121" s="16759">
        <v>45474</v>
      </c>
      <c r="AV121" s="16760" t="s">
        <v>64</v>
      </c>
      <c r="AW121" s="16759">
        <v>45657</v>
      </c>
      <c r="AX121" s="16760" t="s">
        <v>64</v>
      </c>
      <c r="AY121" s="16757"/>
      <c r="AZ121" s="16757">
        <v>114.6</v>
      </c>
      <c r="BA121" s="16757">
        <v>2631.64</v>
      </c>
      <c r="BB121" s="16757"/>
      <c r="BC121" s="16758"/>
      <c r="BD121" s="16759">
        <v>45658</v>
      </c>
      <c r="BE121" s="16760" t="s">
        <v>64</v>
      </c>
      <c r="BF121" s="16759">
        <v>45838</v>
      </c>
      <c r="BG121" s="16760" t="s">
        <v>64</v>
      </c>
      <c r="BH121" s="16757"/>
      <c r="BI121" s="16757">
        <v>128.58</v>
      </c>
      <c r="BJ121" s="16757">
        <v>2952.7</v>
      </c>
      <c r="BK121" s="16757"/>
      <c r="BL121" s="16758"/>
      <c r="BM121" s="16759">
        <v>45839</v>
      </c>
      <c r="BN121" s="16760" t="s">
        <v>64</v>
      </c>
      <c r="BO121" s="16759">
        <v>46022</v>
      </c>
      <c r="BP121" s="16760" t="s">
        <v>64</v>
      </c>
      <c r="BQ121" s="16757"/>
      <c r="BR121" s="16757">
        <v>122.37</v>
      </c>
      <c r="BS121" s="16757">
        <v>2761.96</v>
      </c>
      <c r="BT121" s="16757"/>
      <c r="BU121" s="16758"/>
      <c r="BV121" s="16759">
        <v>46023</v>
      </c>
      <c r="BW121" s="16760" t="s">
        <v>64</v>
      </c>
      <c r="BX121" s="16759">
        <v>46203</v>
      </c>
      <c r="BY121" s="16760" t="s">
        <v>64</v>
      </c>
      <c r="BZ121" s="16757"/>
      <c r="CA121" s="16757">
        <v>122.56</v>
      </c>
      <c r="CB121" s="16757">
        <v>2761.96</v>
      </c>
      <c r="CC121" s="16757"/>
      <c r="CD121" s="16758"/>
      <c r="CE121" s="16759">
        <v>46204</v>
      </c>
      <c r="CF121" s="16760" t="s">
        <v>64</v>
      </c>
      <c r="CG121" s="16759">
        <v>46387</v>
      </c>
      <c r="CH121" s="16760" t="s">
        <v>64</v>
      </c>
      <c r="CI121" s="16757"/>
      <c r="CJ121" s="16757">
        <v>122.56</v>
      </c>
      <c r="CK121" s="16757">
        <v>2761.96</v>
      </c>
      <c r="CL121" s="16757"/>
      <c r="CM121" s="16758"/>
      <c r="CN121" s="16759">
        <v>46388</v>
      </c>
      <c r="CO121" s="16760" t="s">
        <v>64</v>
      </c>
      <c r="CP121" s="16759">
        <v>46568</v>
      </c>
      <c r="CQ121" s="16760" t="s">
        <v>64</v>
      </c>
      <c r="CR121" s="16757"/>
      <c r="CS121" s="16757">
        <v>129.12</v>
      </c>
      <c r="CT121" s="16757">
        <v>2841.34</v>
      </c>
      <c r="CU121" s="16757"/>
      <c r="CV121" s="16758"/>
      <c r="CW121" s="16759">
        <v>46569</v>
      </c>
      <c r="CX121" s="16760" t="s">
        <v>64</v>
      </c>
      <c r="CY121" s="16759">
        <v>46752</v>
      </c>
      <c r="CZ121" s="16760" t="s">
        <v>64</v>
      </c>
      <c r="DA121" s="16757"/>
      <c r="DB121" s="16757">
        <v>129.12</v>
      </c>
      <c r="DC121" s="16757">
        <v>2841.34</v>
      </c>
      <c r="DD121" s="16757"/>
      <c r="DE121" s="16758"/>
      <c r="DF121" s="16759">
        <v>46753</v>
      </c>
      <c r="DG121" s="16760" t="s">
        <v>64</v>
      </c>
      <c r="DH121" s="16759">
        <v>46934</v>
      </c>
      <c r="DI121" s="16760" t="s">
        <v>64</v>
      </c>
      <c r="DJ121" s="16757"/>
      <c r="DK121" s="16757">
        <v>131.99</v>
      </c>
      <c r="DL121" s="16757">
        <v>2880.76</v>
      </c>
      <c r="DM121" s="16757"/>
      <c r="DN121" s="16758"/>
      <c r="DO121" s="16759">
        <v>46935</v>
      </c>
      <c r="DP121" s="16760" t="s">
        <v>64</v>
      </c>
      <c r="DQ121" s="16759">
        <v>47118</v>
      </c>
      <c r="DR121" s="16760" t="s">
        <v>19</v>
      </c>
      <c r="DS121" s="17062"/>
      <c r="DT121" s="17062"/>
      <c r="DU121" s="17062"/>
      <c r="DV121" s="17062"/>
      <c r="DW121" s="17063"/>
      <c r="DX121" s="17064"/>
      <c r="DY121" s="17065" t="s">
        <v>64</v>
      </c>
      <c r="DZ121" s="17064"/>
      <c r="EA121" s="17065" t="s">
        <v>64</v>
      </c>
      <c r="EB121" s="16764"/>
      <c r="EC121" s="17198" t="s">
        <v>523</v>
      </c>
      <c r="ED121" s="17016">
        <f>STRCHECKDATE(X123:EB123)</f>
      </c>
      <c r="EE121" s="17194"/>
      <c r="EF121" s="17194" t="str">
        <f>IF(V121="","",V121)</f>
        <v>вода</v>
      </c>
      <c r="EG121" s="17194"/>
      <c r="EH121" s="17194"/>
      <c r="EI121" s="16741">
        <v>0</v>
      </c>
    </row>
    <row s="35444" customFormat="1" customHeight="1" ht="21">
      <c r="A122" s="17181"/>
      <c r="B122" s="17181"/>
      <c r="C122" s="17181"/>
      <c r="D122" s="17181"/>
      <c r="E122" s="17182"/>
      <c r="F122" s="17182"/>
      <c r="G122" s="17182"/>
      <c r="H122" s="17182"/>
      <c r="I122" s="17183"/>
      <c r="J122" s="17183" t="str">
        <f>I113&amp;".1"</f>
        <v>1.4.1.1.1.1</v>
      </c>
      <c r="K122" s="17183"/>
      <c r="L122" s="17018" t="str">
        <f>K121&amp;".1"</f>
        <v>1.4.1.1.1.2.1.1</v>
      </c>
      <c r="M122" s="17184"/>
      <c r="N122" s="16741"/>
      <c r="O122" s="16741"/>
      <c r="P122" s="16741"/>
      <c r="Q122" s="17186"/>
      <c r="R122" s="17186"/>
      <c r="S122" s="17186"/>
      <c r="T122" s="17188"/>
      <c r="U122" s="17189" t="str">
        <f>$L122</f>
        <v>1.4.1.1.1.2.1.1</v>
      </c>
      <c r="V122" s="17200"/>
      <c r="W122" s="17191"/>
      <c r="X122" s="17062"/>
      <c r="Y122" s="17062"/>
      <c r="Z122" s="17062"/>
      <c r="AA122" s="17062"/>
      <c r="AB122" s="17063"/>
      <c r="AC122" s="17064"/>
      <c r="AD122" s="17065"/>
      <c r="AE122" s="17064"/>
      <c r="AF122" s="17065"/>
      <c r="AG122" s="17066"/>
      <c r="AH122" s="16757"/>
      <c r="AI122" s="16757"/>
      <c r="AJ122" s="16757"/>
      <c r="AK122" s="17067"/>
      <c r="AL122" s="16765"/>
      <c r="AM122" s="16760"/>
      <c r="AN122" s="16765"/>
      <c r="AO122" s="16760"/>
      <c r="AP122" s="16764"/>
      <c r="AQ122" s="16757"/>
      <c r="AR122" s="16757"/>
      <c r="AS122" s="16757"/>
      <c r="AT122" s="16758"/>
      <c r="AU122" s="16765"/>
      <c r="AV122" s="16760"/>
      <c r="AW122" s="16765"/>
      <c r="AX122" s="16760"/>
      <c r="AY122" s="16764"/>
      <c r="AZ122" s="16757"/>
      <c r="BA122" s="16757"/>
      <c r="BB122" s="16757"/>
      <c r="BC122" s="16758"/>
      <c r="BD122" s="16765"/>
      <c r="BE122" s="16760"/>
      <c r="BF122" s="16765"/>
      <c r="BG122" s="16760"/>
      <c r="BH122" s="16764"/>
      <c r="BI122" s="16757"/>
      <c r="BJ122" s="16757"/>
      <c r="BK122" s="16757"/>
      <c r="BL122" s="16758"/>
      <c r="BM122" s="16765"/>
      <c r="BN122" s="16760"/>
      <c r="BO122" s="16765"/>
      <c r="BP122" s="16760"/>
      <c r="BQ122" s="16764"/>
      <c r="BR122" s="16757"/>
      <c r="BS122" s="16757"/>
      <c r="BT122" s="16757"/>
      <c r="BU122" s="16758"/>
      <c r="BV122" s="16765"/>
      <c r="BW122" s="16760"/>
      <c r="BX122" s="16765"/>
      <c r="BY122" s="16760"/>
      <c r="BZ122" s="16764"/>
      <c r="CA122" s="16757"/>
      <c r="CB122" s="16757"/>
      <c r="CC122" s="16757"/>
      <c r="CD122" s="16758"/>
      <c r="CE122" s="16765"/>
      <c r="CF122" s="16760"/>
      <c r="CG122" s="16765"/>
      <c r="CH122" s="16760"/>
      <c r="CI122" s="16764"/>
      <c r="CJ122" s="16757"/>
      <c r="CK122" s="16757"/>
      <c r="CL122" s="16757"/>
      <c r="CM122" s="16758"/>
      <c r="CN122" s="16765"/>
      <c r="CO122" s="16760"/>
      <c r="CP122" s="16765"/>
      <c r="CQ122" s="16760"/>
      <c r="CR122" s="16764"/>
      <c r="CS122" s="16757"/>
      <c r="CT122" s="16757"/>
      <c r="CU122" s="16757"/>
      <c r="CV122" s="16758"/>
      <c r="CW122" s="16765"/>
      <c r="CX122" s="16760"/>
      <c r="CY122" s="16765"/>
      <c r="CZ122" s="16760"/>
      <c r="DA122" s="16764"/>
      <c r="DB122" s="16757"/>
      <c r="DC122" s="16757"/>
      <c r="DD122" s="16757"/>
      <c r="DE122" s="16758"/>
      <c r="DF122" s="16765"/>
      <c r="DG122" s="16760"/>
      <c r="DH122" s="16765"/>
      <c r="DI122" s="16760"/>
      <c r="DJ122" s="16764"/>
      <c r="DK122" s="16757"/>
      <c r="DL122" s="16757"/>
      <c r="DM122" s="16757"/>
      <c r="DN122" s="16758"/>
      <c r="DO122" s="16765"/>
      <c r="DP122" s="16760"/>
      <c r="DQ122" s="16765"/>
      <c r="DR122" s="16760"/>
      <c r="DS122" s="17062"/>
      <c r="DT122" s="17062"/>
      <c r="DU122" s="17062"/>
      <c r="DV122" s="17062"/>
      <c r="DW122" s="17063"/>
      <c r="DX122" s="17064"/>
      <c r="DY122" s="17065"/>
      <c r="DZ122" s="17064"/>
      <c r="EA122" s="17065"/>
      <c r="EB122" s="16764"/>
      <c r="EC122" s="17201" t="s">
        <v>524</v>
      </c>
      <c r="ED122" s="17016"/>
      <c r="EE122" s="17194"/>
      <c r="EF122" s="17194"/>
      <c r="EG122" s="17194"/>
      <c r="EH122" s="17194"/>
      <c r="EI122" s="16741">
        <v>0</v>
      </c>
    </row>
    <row s="35445" customFormat="1" customHeight="1" ht="14.25">
      <c r="A123" s="17181"/>
      <c r="B123" s="17181"/>
      <c r="C123" s="17181"/>
      <c r="D123" s="17181"/>
      <c r="E123" s="17182"/>
      <c r="F123" s="17182"/>
      <c r="G123" s="17182"/>
      <c r="H123" s="17182"/>
      <c r="I123" s="17183"/>
      <c r="J123" s="17183" t="str">
        <f>I113&amp;".1"</f>
        <v>1.4.1.1.1.1</v>
      </c>
      <c r="K123" s="17183"/>
      <c r="L123" s="17018"/>
      <c r="M123" s="17184"/>
      <c r="N123" s="16741"/>
      <c r="O123" s="16741"/>
      <c r="P123" s="16741"/>
      <c r="Q123" s="17186"/>
      <c r="R123" s="17186"/>
      <c r="S123" s="17186"/>
      <c r="T123" s="17188"/>
      <c r="U123" s="17203"/>
      <c r="V123" s="17191"/>
      <c r="W123" s="17191"/>
      <c r="X123" s="17062"/>
      <c r="Y123" s="17062"/>
      <c r="Z123" s="17062"/>
      <c r="AA123" s="17062"/>
      <c r="AB123" s="17063"/>
      <c r="AC123" s="17064"/>
      <c r="AD123" s="17065"/>
      <c r="AE123" s="17064"/>
      <c r="AF123" s="17065"/>
      <c r="AG123" s="17068"/>
      <c r="AH123" s="16764"/>
      <c r="AI123" s="16764"/>
      <c r="AJ123" s="16764"/>
      <c r="AK123" s="17069" t="str">
        <f>AL121&amp;"-"&amp;AN121</f>
        <v>45292-45473</v>
      </c>
      <c r="AL123" s="16765"/>
      <c r="AM123" s="16760"/>
      <c r="AN123" s="16765"/>
      <c r="AO123" s="16760"/>
      <c r="AP123" s="16764"/>
      <c r="AQ123" s="16764"/>
      <c r="AR123" s="16764"/>
      <c r="AS123" s="16764"/>
      <c r="AT123" s="16768" t="str">
        <f>AU121&amp;"-"&amp;AW121</f>
        <v>45474-45657</v>
      </c>
      <c r="AU123" s="16765"/>
      <c r="AV123" s="16760"/>
      <c r="AW123" s="16765"/>
      <c r="AX123" s="16760"/>
      <c r="AY123" s="16764"/>
      <c r="AZ123" s="16764"/>
      <c r="BA123" s="16764"/>
      <c r="BB123" s="16764"/>
      <c r="BC123" s="16768" t="str">
        <f>BD121&amp;"-"&amp;BF121</f>
        <v>45658-45838</v>
      </c>
      <c r="BD123" s="16765"/>
      <c r="BE123" s="16760"/>
      <c r="BF123" s="16765"/>
      <c r="BG123" s="16760"/>
      <c r="BH123" s="16764"/>
      <c r="BI123" s="16764"/>
      <c r="BJ123" s="16764"/>
      <c r="BK123" s="16764"/>
      <c r="BL123" s="16768" t="str">
        <f>BM121&amp;"-"&amp;BO121</f>
        <v>45839-46022</v>
      </c>
      <c r="BM123" s="16765"/>
      <c r="BN123" s="16760"/>
      <c r="BO123" s="16765"/>
      <c r="BP123" s="16760"/>
      <c r="BQ123" s="16764"/>
      <c r="BR123" s="16764"/>
      <c r="BS123" s="16764"/>
      <c r="BT123" s="16764"/>
      <c r="BU123" s="16768" t="str">
        <f>BV121&amp;"-"&amp;BX121</f>
        <v>46023-46203</v>
      </c>
      <c r="BV123" s="16765"/>
      <c r="BW123" s="16760"/>
      <c r="BX123" s="16765"/>
      <c r="BY123" s="16760"/>
      <c r="BZ123" s="16764"/>
      <c r="CA123" s="16764"/>
      <c r="CB123" s="16764"/>
      <c r="CC123" s="16764"/>
      <c r="CD123" s="16768" t="str">
        <f>CE121&amp;"-"&amp;CG121</f>
        <v>46204-46387</v>
      </c>
      <c r="CE123" s="16765"/>
      <c r="CF123" s="16760"/>
      <c r="CG123" s="16765"/>
      <c r="CH123" s="16760"/>
      <c r="CI123" s="16764"/>
      <c r="CJ123" s="16764"/>
      <c r="CK123" s="16764"/>
      <c r="CL123" s="16764"/>
      <c r="CM123" s="16768" t="str">
        <f>CN121&amp;"-"&amp;CP121</f>
        <v>46388-46568</v>
      </c>
      <c r="CN123" s="16765"/>
      <c r="CO123" s="16760"/>
      <c r="CP123" s="16765"/>
      <c r="CQ123" s="16760"/>
      <c r="CR123" s="16764"/>
      <c r="CS123" s="16764"/>
      <c r="CT123" s="16764"/>
      <c r="CU123" s="16764"/>
      <c r="CV123" s="16768" t="str">
        <f>CW121&amp;"-"&amp;CY121</f>
        <v>46569-46752</v>
      </c>
      <c r="CW123" s="16765"/>
      <c r="CX123" s="16760"/>
      <c r="CY123" s="16765"/>
      <c r="CZ123" s="16760"/>
      <c r="DA123" s="16764"/>
      <c r="DB123" s="16764"/>
      <c r="DC123" s="16764"/>
      <c r="DD123" s="16764"/>
      <c r="DE123" s="16768" t="str">
        <f>DF121&amp;"-"&amp;DH121</f>
        <v>46753-46934</v>
      </c>
      <c r="DF123" s="16765"/>
      <c r="DG123" s="16760"/>
      <c r="DH123" s="16765"/>
      <c r="DI123" s="16760"/>
      <c r="DJ123" s="16764"/>
      <c r="DK123" s="16764"/>
      <c r="DL123" s="16764"/>
      <c r="DM123" s="16764"/>
      <c r="DN123" s="16768" t="str">
        <f>DO121&amp;"-"&amp;DQ121</f>
        <v>46935-47118</v>
      </c>
      <c r="DO123" s="16765"/>
      <c r="DP123" s="16760"/>
      <c r="DQ123" s="16765"/>
      <c r="DR123" s="16760"/>
      <c r="DS123" s="17062"/>
      <c r="DT123" s="17062"/>
      <c r="DU123" s="17062"/>
      <c r="DV123" s="17062"/>
      <c r="DW123" s="17063"/>
      <c r="DX123" s="17064"/>
      <c r="DY123" s="17065"/>
      <c r="DZ123" s="17064"/>
      <c r="EA123" s="17065"/>
      <c r="EB123" s="16764"/>
      <c r="EC123" s="17204"/>
      <c r="ED123" s="17016"/>
      <c r="EE123" s="17194"/>
      <c r="EF123" s="17194" t="str">
        <f>IF(V123="","",V123)</f>
        <v/>
      </c>
      <c r="EG123" s="17194"/>
      <c r="EH123" s="17194"/>
      <c r="EI123" s="16741">
        <v>0</v>
      </c>
    </row>
    <row s="35446" customFormat="1" customHeight="1" ht="11.25">
      <c r="A124" s="17181"/>
      <c r="B124" s="17181"/>
      <c r="C124" s="17181"/>
      <c r="D124" s="17181"/>
      <c r="E124" s="17182"/>
      <c r="F124" s="17182"/>
      <c r="G124" s="17182"/>
      <c r="H124" s="17182"/>
      <c r="I124" s="17183"/>
      <c r="J124" s="17183" t="str">
        <f>I113&amp;".1"</f>
        <v>1.4.1.1.1.1</v>
      </c>
      <c r="K124" s="17018"/>
      <c r="L124" s="17181"/>
      <c r="M124" s="17184"/>
      <c r="N124" s="16741"/>
      <c r="O124" s="16741"/>
      <c r="P124" s="16741"/>
      <c r="Q124" s="17186"/>
      <c r="R124" s="17186"/>
      <c r="S124" s="17186"/>
      <c r="T124" s="17188"/>
      <c r="U124" s="18649"/>
      <c r="V124" s="18650" t="s">
        <v>525</v>
      </c>
      <c r="W124" s="18651"/>
      <c r="X124" s="17062"/>
      <c r="Y124" s="17062"/>
      <c r="Z124" s="17062"/>
      <c r="AA124" s="17062"/>
      <c r="AB124" s="17069" t="str">
        <f>AC121&amp;"-"&amp;AE121</f>
        <v>-</v>
      </c>
      <c r="AC124" s="17065"/>
      <c r="AD124" s="17065"/>
      <c r="AE124" s="17065"/>
      <c r="AF124" s="17065"/>
      <c r="AG124" s="18652"/>
      <c r="AH124" s="18653"/>
      <c r="AI124" s="18654"/>
      <c r="AJ124" s="18655"/>
      <c r="AK124" s="18656"/>
      <c r="AL124" s="16765"/>
      <c r="AM124" s="16760"/>
      <c r="AN124" s="16765"/>
      <c r="AO124" s="16760"/>
      <c r="AP124" s="18657"/>
      <c r="AQ124" s="18658"/>
      <c r="AR124" s="18659"/>
      <c r="AS124" s="18660"/>
      <c r="AT124" s="18661"/>
      <c r="AU124" s="16765"/>
      <c r="AV124" s="16760"/>
      <c r="AW124" s="16765"/>
      <c r="AX124" s="16760"/>
      <c r="AY124" s="18662"/>
      <c r="AZ124" s="18663"/>
      <c r="BA124" s="18664"/>
      <c r="BB124" s="18665"/>
      <c r="BC124" s="18666"/>
      <c r="BD124" s="16765"/>
      <c r="BE124" s="16760"/>
      <c r="BF124" s="16765"/>
      <c r="BG124" s="16760"/>
      <c r="BH124" s="18667"/>
      <c r="BI124" s="18668"/>
      <c r="BJ124" s="18669"/>
      <c r="BK124" s="18670"/>
      <c r="BL124" s="18671"/>
      <c r="BM124" s="16765"/>
      <c r="BN124" s="16760"/>
      <c r="BO124" s="16765"/>
      <c r="BP124" s="16760"/>
      <c r="BQ124" s="18672"/>
      <c r="BR124" s="18673"/>
      <c r="BS124" s="18674"/>
      <c r="BT124" s="18675"/>
      <c r="BU124" s="18676"/>
      <c r="BV124" s="16765"/>
      <c r="BW124" s="16760"/>
      <c r="BX124" s="16765"/>
      <c r="BY124" s="16760"/>
      <c r="BZ124" s="18677"/>
      <c r="CA124" s="18678"/>
      <c r="CB124" s="18679"/>
      <c r="CC124" s="18680"/>
      <c r="CD124" s="18681"/>
      <c r="CE124" s="16765"/>
      <c r="CF124" s="16760"/>
      <c r="CG124" s="16765"/>
      <c r="CH124" s="16760"/>
      <c r="CI124" s="18682"/>
      <c r="CJ124" s="18683"/>
      <c r="CK124" s="18684"/>
      <c r="CL124" s="18685"/>
      <c r="CM124" s="18686"/>
      <c r="CN124" s="16765"/>
      <c r="CO124" s="16760"/>
      <c r="CP124" s="16765"/>
      <c r="CQ124" s="16760"/>
      <c r="CR124" s="18687"/>
      <c r="CS124" s="18688"/>
      <c r="CT124" s="18689"/>
      <c r="CU124" s="18690"/>
      <c r="CV124" s="18691"/>
      <c r="CW124" s="16765"/>
      <c r="CX124" s="16760"/>
      <c r="CY124" s="16765"/>
      <c r="CZ124" s="16760"/>
      <c r="DA124" s="18692"/>
      <c r="DB124" s="18693"/>
      <c r="DC124" s="18694"/>
      <c r="DD124" s="18695"/>
      <c r="DE124" s="18696"/>
      <c r="DF124" s="16765"/>
      <c r="DG124" s="16760"/>
      <c r="DH124" s="16765"/>
      <c r="DI124" s="16760"/>
      <c r="DJ124" s="18697"/>
      <c r="DK124" s="18698"/>
      <c r="DL124" s="18699"/>
      <c r="DM124" s="18700"/>
      <c r="DN124" s="18701"/>
      <c r="DO124" s="16765"/>
      <c r="DP124" s="16760"/>
      <c r="DQ124" s="16765"/>
      <c r="DR124" s="16760"/>
      <c r="DS124" s="17062"/>
      <c r="DT124" s="17062"/>
      <c r="DU124" s="17062"/>
      <c r="DV124" s="17062"/>
      <c r="DW124" s="17069" t="str">
        <f>DX121&amp;"-"&amp;DZ121</f>
        <v>-</v>
      </c>
      <c r="DX124" s="17065"/>
      <c r="DY124" s="17065"/>
      <c r="DZ124" s="17065"/>
      <c r="EA124" s="17065"/>
      <c r="EB124" s="18702"/>
      <c r="EC124" s="17204"/>
      <c r="ED124" s="17016"/>
      <c r="EE124" s="17194"/>
      <c r="EF124" s="17194"/>
      <c r="EG124" s="17194"/>
      <c r="EH124" s="17194"/>
      <c r="EI124" s="16741">
        <v>0</v>
      </c>
    </row>
    <row s="35501" customFormat="1" customHeight="1" ht="15">
      <c r="A125" s="17181"/>
      <c r="B125" s="17181"/>
      <c r="C125" s="17181"/>
      <c r="D125" s="17181"/>
      <c r="E125" s="17182"/>
      <c r="F125" s="17182"/>
      <c r="G125" s="17182"/>
      <c r="H125" s="17182"/>
      <c r="I125" s="17183"/>
      <c r="J125" s="17018" t="str">
        <f>I113&amp;".1"</f>
        <v>1.4.1.1.1.1</v>
      </c>
      <c r="K125" s="17181"/>
      <c r="L125" s="17181"/>
      <c r="M125" s="17184"/>
      <c r="N125" s="16741"/>
      <c r="O125" s="16741"/>
      <c r="P125" s="17185"/>
      <c r="Q125" s="17186"/>
      <c r="R125" s="17186"/>
      <c r="S125" s="17186"/>
      <c r="T125" s="17261"/>
      <c r="U125" s="18704"/>
      <c r="V125" s="18705" t="s">
        <v>471</v>
      </c>
      <c r="W125" s="18706"/>
      <c r="X125" s="18707"/>
      <c r="Y125" s="18708"/>
      <c r="Z125" s="18709"/>
      <c r="AA125" s="18710"/>
      <c r="AB125" s="18711"/>
      <c r="AC125" s="18712"/>
      <c r="AD125" s="18713"/>
      <c r="AE125" s="18714"/>
      <c r="AF125" s="18715"/>
      <c r="AG125" s="18716"/>
      <c r="AH125" s="18717"/>
      <c r="AI125" s="18718"/>
      <c r="AJ125" s="18719"/>
      <c r="AK125" s="18720"/>
      <c r="AL125" s="18721"/>
      <c r="AM125" s="18722"/>
      <c r="AN125" s="18723"/>
      <c r="AO125" s="18724"/>
      <c r="AP125" s="18725"/>
      <c r="AQ125" s="18726"/>
      <c r="AR125" s="18727"/>
      <c r="AS125" s="18728"/>
      <c r="AT125" s="18729"/>
      <c r="AU125" s="18730"/>
      <c r="AV125" s="18731"/>
      <c r="AW125" s="18732"/>
      <c r="AX125" s="18733"/>
      <c r="AY125" s="18734"/>
      <c r="AZ125" s="18735"/>
      <c r="BA125" s="18736"/>
      <c r="BB125" s="18737"/>
      <c r="BC125" s="18738"/>
      <c r="BD125" s="18739"/>
      <c r="BE125" s="18740"/>
      <c r="BF125" s="18741"/>
      <c r="BG125" s="18742"/>
      <c r="BH125" s="18743"/>
      <c r="BI125" s="18744"/>
      <c r="BJ125" s="18745"/>
      <c r="BK125" s="18746"/>
      <c r="BL125" s="18747"/>
      <c r="BM125" s="18748"/>
      <c r="BN125" s="18749"/>
      <c r="BO125" s="18750"/>
      <c r="BP125" s="18751"/>
      <c r="BQ125" s="18752"/>
      <c r="BR125" s="18753"/>
      <c r="BS125" s="18754"/>
      <c r="BT125" s="18755"/>
      <c r="BU125" s="18756"/>
      <c r="BV125" s="18757"/>
      <c r="BW125" s="18758"/>
      <c r="BX125" s="18759"/>
      <c r="BY125" s="18760"/>
      <c r="BZ125" s="18761"/>
      <c r="CA125" s="18762"/>
      <c r="CB125" s="18763"/>
      <c r="CC125" s="18764"/>
      <c r="CD125" s="18765"/>
      <c r="CE125" s="18766"/>
      <c r="CF125" s="18767"/>
      <c r="CG125" s="18768"/>
      <c r="CH125" s="18769"/>
      <c r="CI125" s="18770"/>
      <c r="CJ125" s="18771"/>
      <c r="CK125" s="18772"/>
      <c r="CL125" s="18773"/>
      <c r="CM125" s="18774"/>
      <c r="CN125" s="18775"/>
      <c r="CO125" s="18776"/>
      <c r="CP125" s="18777"/>
      <c r="CQ125" s="18778"/>
      <c r="CR125" s="18779"/>
      <c r="CS125" s="18780"/>
      <c r="CT125" s="18781"/>
      <c r="CU125" s="18782"/>
      <c r="CV125" s="18783"/>
      <c r="CW125" s="18784"/>
      <c r="CX125" s="18785"/>
      <c r="CY125" s="18786"/>
      <c r="CZ125" s="18787"/>
      <c r="DA125" s="18788"/>
      <c r="DB125" s="18789"/>
      <c r="DC125" s="18790"/>
      <c r="DD125" s="18791"/>
      <c r="DE125" s="18792"/>
      <c r="DF125" s="18793"/>
      <c r="DG125" s="18794"/>
      <c r="DH125" s="18795"/>
      <c r="DI125" s="18796"/>
      <c r="DJ125" s="18797"/>
      <c r="DK125" s="18798"/>
      <c r="DL125" s="18799"/>
      <c r="DM125" s="18800"/>
      <c r="DN125" s="18801"/>
      <c r="DO125" s="18802"/>
      <c r="DP125" s="18803"/>
      <c r="DQ125" s="18804"/>
      <c r="DR125" s="18805"/>
      <c r="DS125" s="18806"/>
      <c r="DT125" s="18807"/>
      <c r="DU125" s="18808"/>
      <c r="DV125" s="18809"/>
      <c r="DW125" s="18810"/>
      <c r="DX125" s="18811"/>
      <c r="DY125" s="18812"/>
      <c r="DZ125" s="18813"/>
      <c r="EA125" s="18814"/>
      <c r="EB125" s="18815"/>
      <c r="EC125" s="17374"/>
      <c r="ED125" s="17016"/>
      <c r="EE125" s="17194"/>
      <c r="EF125" s="17194" t="str">
        <f>IF(V125="","",V125)</f>
        <v>Добавить вид теплоносителя (параметры теплоносителя)</v>
      </c>
      <c r="EG125" s="17194"/>
      <c r="EH125" s="17194"/>
      <c r="EI125" s="16741">
        <v>0</v>
      </c>
    </row>
    <row s="35614" customFormat="1" customHeight="1" ht="11.25">
      <c r="A126" s="8474"/>
      <c r="B126" s="8474"/>
      <c r="C126" s="8474"/>
      <c r="D126" s="8474"/>
      <c r="E126" s="11456"/>
      <c r="F126" s="11456" t="s">
        <v>93</v>
      </c>
      <c r="G126" s="11456"/>
      <c r="H126" s="11456"/>
      <c r="I126" s="11479"/>
      <c r="J126" s="8474"/>
      <c r="K126" s="8474"/>
      <c r="L126" s="8474"/>
      <c r="M126" s="11458"/>
      <c r="N126" s="11462"/>
      <c r="O126" s="11480"/>
      <c r="P126" s="11480"/>
      <c r="Q126" s="11481"/>
      <c r="R126" s="11481"/>
      <c r="S126" s="11481"/>
      <c r="T126" s="11482"/>
      <c r="U126" s="11724"/>
      <c r="V126" s="11725" t="s">
        <v>472</v>
      </c>
      <c r="W126" s="11726"/>
      <c r="X126" s="11727"/>
      <c r="Y126" s="11728"/>
      <c r="Z126" s="11729"/>
      <c r="AA126" s="11730"/>
      <c r="AB126" s="11731"/>
      <c r="AC126" s="11732"/>
      <c r="AD126" s="11733"/>
      <c r="AE126" s="11734"/>
      <c r="AF126" s="11735"/>
      <c r="AG126" s="11736"/>
      <c r="AH126" s="11737"/>
      <c r="AI126" s="11738"/>
      <c r="AJ126" s="11739"/>
      <c r="AK126" s="11740"/>
      <c r="AL126" s="11741"/>
      <c r="AM126" s="11742"/>
      <c r="AN126" s="11743"/>
      <c r="AO126" s="11744"/>
      <c r="AP126" s="18838"/>
      <c r="AQ126" s="18839"/>
      <c r="AR126" s="18840"/>
      <c r="AS126" s="18841"/>
      <c r="AT126" s="18842"/>
      <c r="AU126" s="18843"/>
      <c r="AV126" s="18844"/>
      <c r="AW126" s="18845"/>
      <c r="AX126" s="18846"/>
      <c r="AY126" s="18847"/>
      <c r="AZ126" s="18848"/>
      <c r="BA126" s="18849"/>
      <c r="BB126" s="18850"/>
      <c r="BC126" s="18851"/>
      <c r="BD126" s="18852"/>
      <c r="BE126" s="18853"/>
      <c r="BF126" s="18854"/>
      <c r="BG126" s="18855"/>
      <c r="BH126" s="18856"/>
      <c r="BI126" s="18857"/>
      <c r="BJ126" s="18858"/>
      <c r="BK126" s="18859"/>
      <c r="BL126" s="18860"/>
      <c r="BM126" s="18861"/>
      <c r="BN126" s="18862"/>
      <c r="BO126" s="18863"/>
      <c r="BP126" s="18864"/>
      <c r="BQ126" s="18865"/>
      <c r="BR126" s="18866"/>
      <c r="BS126" s="18867"/>
      <c r="BT126" s="18868"/>
      <c r="BU126" s="18869"/>
      <c r="BV126" s="18870"/>
      <c r="BW126" s="18871"/>
      <c r="BX126" s="18872"/>
      <c r="BY126" s="18873"/>
      <c r="BZ126" s="18874"/>
      <c r="CA126" s="18875"/>
      <c r="CB126" s="18876"/>
      <c r="CC126" s="18877"/>
      <c r="CD126" s="18878"/>
      <c r="CE126" s="18879"/>
      <c r="CF126" s="18880"/>
      <c r="CG126" s="18881"/>
      <c r="CH126" s="18882"/>
      <c r="CI126" s="18883"/>
      <c r="CJ126" s="18884"/>
      <c r="CK126" s="18885"/>
      <c r="CL126" s="18886"/>
      <c r="CM126" s="18887"/>
      <c r="CN126" s="18888"/>
      <c r="CO126" s="18889"/>
      <c r="CP126" s="18890"/>
      <c r="CQ126" s="18891"/>
      <c r="CR126" s="18892"/>
      <c r="CS126" s="18893"/>
      <c r="CT126" s="18894"/>
      <c r="CU126" s="18895"/>
      <c r="CV126" s="18896"/>
      <c r="CW126" s="18897"/>
      <c r="CX126" s="18898"/>
      <c r="CY126" s="18899"/>
      <c r="CZ126" s="18900"/>
      <c r="DA126" s="18901"/>
      <c r="DB126" s="18902"/>
      <c r="DC126" s="18903"/>
      <c r="DD126" s="18904"/>
      <c r="DE126" s="18905"/>
      <c r="DF126" s="18906"/>
      <c r="DG126" s="18907"/>
      <c r="DH126" s="18908"/>
      <c r="DI126" s="18909"/>
      <c r="DJ126" s="18910"/>
      <c r="DK126" s="18911"/>
      <c r="DL126" s="18912"/>
      <c r="DM126" s="18913"/>
      <c r="DN126" s="18914"/>
      <c r="DO126" s="18915"/>
      <c r="DP126" s="18916"/>
      <c r="DQ126" s="18917"/>
      <c r="DR126" s="18918"/>
      <c r="DS126" s="18919"/>
      <c r="DT126" s="18920"/>
      <c r="DU126" s="18921"/>
      <c r="DV126" s="18922"/>
      <c r="DW126" s="18923"/>
      <c r="DX126" s="18924"/>
      <c r="DY126" s="18925"/>
      <c r="DZ126" s="18926"/>
      <c r="EA126" s="18927"/>
      <c r="EB126" s="11745"/>
      <c r="EC126" s="11746"/>
      <c r="ED126" s="11471"/>
      <c r="EE126" s="11472"/>
      <c r="EF126" s="11472" t="str">
        <f>IF(V126="","",V126)</f>
        <v>Добавить группу потребителей</v>
      </c>
      <c r="EG126" s="11472"/>
      <c r="EH126" s="11472"/>
      <c r="EI126" s="11462">
        <v>0</v>
      </c>
    </row>
    <row s="35728" customFormat="1" customHeight="1" ht="14.25">
      <c r="A127" s="8474"/>
      <c r="B127" s="8474"/>
      <c r="C127" s="8474"/>
      <c r="D127" s="8474"/>
      <c r="E127" s="11456"/>
      <c r="F127" s="11456" t="s">
        <v>93</v>
      </c>
      <c r="G127" s="11456"/>
      <c r="H127" s="11457"/>
      <c r="I127" s="8474"/>
      <c r="J127" s="8474"/>
      <c r="K127" s="8474"/>
      <c r="L127" s="8474"/>
      <c r="M127" s="11458"/>
      <c r="N127" s="11459"/>
      <c r="O127" s="11459"/>
      <c r="P127" s="11462"/>
      <c r="Q127" s="11582"/>
      <c r="R127" s="11583"/>
      <c r="S127" s="11584"/>
      <c r="T127" s="11582"/>
      <c r="U127" s="11585"/>
      <c r="V127" s="11586"/>
      <c r="W127" s="11587"/>
      <c r="X127" s="11587"/>
      <c r="Y127" s="11587"/>
      <c r="Z127" s="11587"/>
      <c r="AA127" s="11587"/>
      <c r="AB127" s="11587"/>
      <c r="AC127" s="11587"/>
      <c r="AD127" s="11587"/>
      <c r="AE127" s="11587"/>
      <c r="AF127" s="11587"/>
      <c r="AG127" s="11587"/>
      <c r="AH127" s="11587"/>
      <c r="AI127" s="11587"/>
      <c r="AJ127" s="11587"/>
      <c r="AK127" s="11587"/>
      <c r="AL127" s="11587"/>
      <c r="AM127" s="11587"/>
      <c r="AN127" s="11587"/>
      <c r="AO127" s="11587"/>
      <c r="AP127" s="17004"/>
      <c r="AQ127" s="17004"/>
      <c r="AR127" s="17004"/>
      <c r="AS127" s="17004"/>
      <c r="AT127" s="17004"/>
      <c r="AU127" s="17004"/>
      <c r="AV127" s="17004"/>
      <c r="AW127" s="17004"/>
      <c r="AX127" s="17004"/>
      <c r="AY127" s="17004"/>
      <c r="AZ127" s="17004"/>
      <c r="BA127" s="17004"/>
      <c r="BB127" s="17004"/>
      <c r="BC127" s="17004"/>
      <c r="BD127" s="17004"/>
      <c r="BE127" s="17004"/>
      <c r="BF127" s="17004"/>
      <c r="BG127" s="17004"/>
      <c r="BH127" s="17004"/>
      <c r="BI127" s="17004"/>
      <c r="BJ127" s="17004"/>
      <c r="BK127" s="17004"/>
      <c r="BL127" s="17004"/>
      <c r="BM127" s="17004"/>
      <c r="BN127" s="17004"/>
      <c r="BO127" s="17004"/>
      <c r="BP127" s="17004"/>
      <c r="BQ127" s="17004"/>
      <c r="BR127" s="17004"/>
      <c r="BS127" s="17004"/>
      <c r="BT127" s="17004"/>
      <c r="BU127" s="17004"/>
      <c r="BV127" s="17004"/>
      <c r="BW127" s="17004"/>
      <c r="BX127" s="17004"/>
      <c r="BY127" s="17004"/>
      <c r="BZ127" s="17004"/>
      <c r="CA127" s="17004"/>
      <c r="CB127" s="17004"/>
      <c r="CC127" s="17004"/>
      <c r="CD127" s="17004"/>
      <c r="CE127" s="17004"/>
      <c r="CF127" s="17004"/>
      <c r="CG127" s="17004"/>
      <c r="CH127" s="17004"/>
      <c r="CI127" s="17004"/>
      <c r="CJ127" s="17004"/>
      <c r="CK127" s="17004"/>
      <c r="CL127" s="17004"/>
      <c r="CM127" s="17004"/>
      <c r="CN127" s="17004"/>
      <c r="CO127" s="17004"/>
      <c r="CP127" s="17004"/>
      <c r="CQ127" s="17004"/>
      <c r="CR127" s="17004"/>
      <c r="CS127" s="17004"/>
      <c r="CT127" s="17004"/>
      <c r="CU127" s="17004"/>
      <c r="CV127" s="17004"/>
      <c r="CW127" s="17004"/>
      <c r="CX127" s="17004"/>
      <c r="CY127" s="17004"/>
      <c r="CZ127" s="17004"/>
      <c r="DA127" s="17004"/>
      <c r="DB127" s="17004"/>
      <c r="DC127" s="17004"/>
      <c r="DD127" s="17004"/>
      <c r="DE127" s="17004"/>
      <c r="DF127" s="17004"/>
      <c r="DG127" s="17004"/>
      <c r="DH127" s="17004"/>
      <c r="DI127" s="17004"/>
      <c r="DJ127" s="17004"/>
      <c r="DK127" s="17004"/>
      <c r="DL127" s="17004"/>
      <c r="DM127" s="17004"/>
      <c r="DN127" s="17004"/>
      <c r="DO127" s="17004"/>
      <c r="DP127" s="17004"/>
      <c r="DQ127" s="17004"/>
      <c r="DR127" s="17004"/>
      <c r="DS127" s="17004"/>
      <c r="DT127" s="17004"/>
      <c r="DU127" s="17004"/>
      <c r="DV127" s="17004"/>
      <c r="DW127" s="17004"/>
      <c r="DX127" s="17004"/>
      <c r="DY127" s="17004"/>
      <c r="DZ127" s="17004"/>
      <c r="EA127" s="17004"/>
      <c r="EB127" s="11587"/>
      <c r="EC127" s="11588"/>
      <c r="ED127" s="11471"/>
      <c r="EE127" s="11472"/>
      <c r="EF127" s="11472" t="str">
        <f>IF(V127="","",V127)</f>
        <v/>
      </c>
      <c r="EG127" s="11472"/>
      <c r="EH127" s="11472"/>
      <c r="EI127" s="11462">
        <v>0</v>
      </c>
    </row>
    <row s="35729" customFormat="1" customHeight="1" ht="14.25">
      <c r="A128" s="11590"/>
      <c r="B128" s="11590"/>
      <c r="C128" s="11590"/>
      <c r="D128" s="11590"/>
      <c r="E128" s="11456"/>
      <c r="F128" s="11456" t="s">
        <v>93</v>
      </c>
      <c r="G128" s="11457"/>
      <c r="H128" s="11590"/>
      <c r="I128" s="11590"/>
      <c r="J128" s="11590"/>
      <c r="K128" s="11590"/>
      <c r="L128" s="11590"/>
      <c r="M128" s="11591"/>
      <c r="N128" s="11592"/>
      <c r="O128" s="11592"/>
      <c r="P128" s="11593"/>
      <c r="Q128" s="11594"/>
      <c r="R128" s="11595"/>
      <c r="S128" s="11594"/>
      <c r="T128" s="11594"/>
      <c r="U128" s="11596"/>
      <c r="V128" s="11597" t="s">
        <v>213</v>
      </c>
      <c r="W128" s="11598"/>
      <c r="X128" s="11598"/>
      <c r="Y128" s="11598"/>
      <c r="Z128" s="11598"/>
      <c r="AA128" s="11598"/>
      <c r="AB128" s="11598"/>
      <c r="AC128" s="11598"/>
      <c r="AD128" s="11598"/>
      <c r="AE128" s="11598"/>
      <c r="AF128" s="11598"/>
      <c r="AG128" s="11598"/>
      <c r="AH128" s="11598"/>
      <c r="AI128" s="11598"/>
      <c r="AJ128" s="11598"/>
      <c r="AK128" s="11598"/>
      <c r="AL128" s="11598"/>
      <c r="AM128" s="11598"/>
      <c r="AN128" s="11598"/>
      <c r="AO128" s="11598"/>
      <c r="AP128" s="17005"/>
      <c r="AQ128" s="17005"/>
      <c r="AR128" s="17005"/>
      <c r="AS128" s="17005"/>
      <c r="AT128" s="17005"/>
      <c r="AU128" s="17005"/>
      <c r="AV128" s="17005"/>
      <c r="AW128" s="17005"/>
      <c r="AX128" s="17005"/>
      <c r="AY128" s="17005"/>
      <c r="AZ128" s="17005"/>
      <c r="BA128" s="17005"/>
      <c r="BB128" s="17005"/>
      <c r="BC128" s="17005"/>
      <c r="BD128" s="17005"/>
      <c r="BE128" s="17005"/>
      <c r="BF128" s="17005"/>
      <c r="BG128" s="17005"/>
      <c r="BH128" s="17005"/>
      <c r="BI128" s="17005"/>
      <c r="BJ128" s="17005"/>
      <c r="BK128" s="17005"/>
      <c r="BL128" s="17005"/>
      <c r="BM128" s="17005"/>
      <c r="BN128" s="17005"/>
      <c r="BO128" s="17005"/>
      <c r="BP128" s="17005"/>
      <c r="BQ128" s="17005"/>
      <c r="BR128" s="17005"/>
      <c r="BS128" s="17005"/>
      <c r="BT128" s="17005"/>
      <c r="BU128" s="17005"/>
      <c r="BV128" s="17005"/>
      <c r="BW128" s="17005"/>
      <c r="BX128" s="17005"/>
      <c r="BY128" s="17005"/>
      <c r="BZ128" s="17005"/>
      <c r="CA128" s="17005"/>
      <c r="CB128" s="17005"/>
      <c r="CC128" s="17005"/>
      <c r="CD128" s="17005"/>
      <c r="CE128" s="17005"/>
      <c r="CF128" s="17005"/>
      <c r="CG128" s="17005"/>
      <c r="CH128" s="17005"/>
      <c r="CI128" s="17005"/>
      <c r="CJ128" s="17005"/>
      <c r="CK128" s="17005"/>
      <c r="CL128" s="17005"/>
      <c r="CM128" s="17005"/>
      <c r="CN128" s="17005"/>
      <c r="CO128" s="17005"/>
      <c r="CP128" s="17005"/>
      <c r="CQ128" s="17005"/>
      <c r="CR128" s="17005"/>
      <c r="CS128" s="17005"/>
      <c r="CT128" s="17005"/>
      <c r="CU128" s="17005"/>
      <c r="CV128" s="17005"/>
      <c r="CW128" s="17005"/>
      <c r="CX128" s="17005"/>
      <c r="CY128" s="17005"/>
      <c r="CZ128" s="17005"/>
      <c r="DA128" s="17005"/>
      <c r="DB128" s="17005"/>
      <c r="DC128" s="17005"/>
      <c r="DD128" s="17005"/>
      <c r="DE128" s="17005"/>
      <c r="DF128" s="17005"/>
      <c r="DG128" s="17005"/>
      <c r="DH128" s="17005"/>
      <c r="DI128" s="17005"/>
      <c r="DJ128" s="17005"/>
      <c r="DK128" s="17005"/>
      <c r="DL128" s="17005"/>
      <c r="DM128" s="17005"/>
      <c r="DN128" s="17005"/>
      <c r="DO128" s="17005"/>
      <c r="DP128" s="17005"/>
      <c r="DQ128" s="17005"/>
      <c r="DR128" s="17005"/>
      <c r="DS128" s="17005"/>
      <c r="DT128" s="17005"/>
      <c r="DU128" s="17005"/>
      <c r="DV128" s="17005"/>
      <c r="DW128" s="17005"/>
      <c r="DX128" s="17005"/>
      <c r="DY128" s="17005"/>
      <c r="DZ128" s="17005"/>
      <c r="EA128" s="17005"/>
      <c r="EB128" s="11598"/>
      <c r="EC128" s="11598"/>
      <c r="ED128" s="11471"/>
      <c r="EE128" s="11472"/>
      <c r="EF128" s="11472" t="str">
        <f>IF(V128="","",V128)</f>
        <v>Добавить источник для дифференциации</v>
      </c>
      <c r="EG128" s="11472"/>
      <c r="EH128" s="11472"/>
      <c r="EI128" s="11471">
        <v>0</v>
      </c>
    </row>
    <row s="35730" customFormat="1" customHeight="1" ht="14.25">
      <c r="A129" s="11590"/>
      <c r="B129" s="11590"/>
      <c r="C129" s="11590"/>
      <c r="D129" s="11590"/>
      <c r="E129" s="11456"/>
      <c r="F129" s="11457" t="s">
        <v>93</v>
      </c>
      <c r="G129" s="11590"/>
      <c r="H129" s="11590"/>
      <c r="I129" s="11590"/>
      <c r="J129" s="11590"/>
      <c r="K129" s="11590"/>
      <c r="L129" s="11590"/>
      <c r="M129" s="11591"/>
      <c r="N129" s="11600"/>
      <c r="O129" s="11600"/>
      <c r="P129" s="11593"/>
      <c r="Q129" s="11594"/>
      <c r="R129" s="11595"/>
      <c r="S129" s="11594"/>
      <c r="T129" s="11594"/>
      <c r="U129" s="11601"/>
      <c r="V129" s="11602" t="s">
        <v>214</v>
      </c>
      <c r="W129" s="11603"/>
      <c r="X129" s="11603"/>
      <c r="Y129" s="11603"/>
      <c r="Z129" s="11603"/>
      <c r="AA129" s="11603"/>
      <c r="AB129" s="11603"/>
      <c r="AC129" s="11603"/>
      <c r="AD129" s="11603"/>
      <c r="AE129" s="11603"/>
      <c r="AF129" s="11603"/>
      <c r="AG129" s="11603"/>
      <c r="AH129" s="11603"/>
      <c r="AI129" s="11603"/>
      <c r="AJ129" s="11603"/>
      <c r="AK129" s="11603"/>
      <c r="AL129" s="11603"/>
      <c r="AM129" s="11603"/>
      <c r="AN129" s="11603"/>
      <c r="AO129" s="11603"/>
      <c r="AP129" s="17006"/>
      <c r="AQ129" s="17006"/>
      <c r="AR129" s="17006"/>
      <c r="AS129" s="17006"/>
      <c r="AT129" s="17006"/>
      <c r="AU129" s="17006"/>
      <c r="AV129" s="17006"/>
      <c r="AW129" s="17006"/>
      <c r="AX129" s="17006"/>
      <c r="AY129" s="17006"/>
      <c r="AZ129" s="17006"/>
      <c r="BA129" s="17006"/>
      <c r="BB129" s="17006"/>
      <c r="BC129" s="17006"/>
      <c r="BD129" s="17006"/>
      <c r="BE129" s="17006"/>
      <c r="BF129" s="17006"/>
      <c r="BG129" s="17006"/>
      <c r="BH129" s="17006"/>
      <c r="BI129" s="17006"/>
      <c r="BJ129" s="17006"/>
      <c r="BK129" s="17006"/>
      <c r="BL129" s="17006"/>
      <c r="BM129" s="17006"/>
      <c r="BN129" s="17006"/>
      <c r="BO129" s="17006"/>
      <c r="BP129" s="17006"/>
      <c r="BQ129" s="17006"/>
      <c r="BR129" s="17006"/>
      <c r="BS129" s="17006"/>
      <c r="BT129" s="17006"/>
      <c r="BU129" s="17006"/>
      <c r="BV129" s="17006"/>
      <c r="BW129" s="17006"/>
      <c r="BX129" s="17006"/>
      <c r="BY129" s="17006"/>
      <c r="BZ129" s="17006"/>
      <c r="CA129" s="17006"/>
      <c r="CB129" s="17006"/>
      <c r="CC129" s="17006"/>
      <c r="CD129" s="17006"/>
      <c r="CE129" s="17006"/>
      <c r="CF129" s="17006"/>
      <c r="CG129" s="17006"/>
      <c r="CH129" s="17006"/>
      <c r="CI129" s="17006"/>
      <c r="CJ129" s="17006"/>
      <c r="CK129" s="17006"/>
      <c r="CL129" s="17006"/>
      <c r="CM129" s="17006"/>
      <c r="CN129" s="17006"/>
      <c r="CO129" s="17006"/>
      <c r="CP129" s="17006"/>
      <c r="CQ129" s="17006"/>
      <c r="CR129" s="17006"/>
      <c r="CS129" s="17006"/>
      <c r="CT129" s="17006"/>
      <c r="CU129" s="17006"/>
      <c r="CV129" s="17006"/>
      <c r="CW129" s="17006"/>
      <c r="CX129" s="17006"/>
      <c r="CY129" s="17006"/>
      <c r="CZ129" s="17006"/>
      <c r="DA129" s="17006"/>
      <c r="DB129" s="17006"/>
      <c r="DC129" s="17006"/>
      <c r="DD129" s="17006"/>
      <c r="DE129" s="17006"/>
      <c r="DF129" s="17006"/>
      <c r="DG129" s="17006"/>
      <c r="DH129" s="17006"/>
      <c r="DI129" s="17006"/>
      <c r="DJ129" s="17006"/>
      <c r="DK129" s="17006"/>
      <c r="DL129" s="17006"/>
      <c r="DM129" s="17006"/>
      <c r="DN129" s="17006"/>
      <c r="DO129" s="17006"/>
      <c r="DP129" s="17006"/>
      <c r="DQ129" s="17006"/>
      <c r="DR129" s="17006"/>
      <c r="DS129" s="17006"/>
      <c r="DT129" s="17006"/>
      <c r="DU129" s="17006"/>
      <c r="DV129" s="17006"/>
      <c r="DW129" s="17006"/>
      <c r="DX129" s="17006"/>
      <c r="DY129" s="17006"/>
      <c r="DZ129" s="17006"/>
      <c r="EA129" s="17006"/>
      <c r="EB129" s="11603"/>
      <c r="EC129" s="11603"/>
      <c r="ED129" s="11471"/>
      <c r="EE129" s="11472"/>
      <c r="EF129" s="11472" t="str">
        <f>IF(V129="","",V129)</f>
        <v>Добавить централизованную систему для дифференциации</v>
      </c>
      <c r="EG129" s="11472"/>
      <c r="EH129" s="11472"/>
      <c r="EI129" s="11471">
        <v>0</v>
      </c>
    </row>
    <row s="35731" customFormat="1" customHeight="1" ht="21">
      <c r="A130" s="8474"/>
      <c r="B130" s="8474" t="s">
        <v>224</v>
      </c>
      <c r="C130" s="8474"/>
      <c r="D130" s="8474"/>
      <c r="E130" s="11456"/>
      <c r="F130" s="11457" t="s">
        <v>124</v>
      </c>
      <c r="G130" s="8474"/>
      <c r="H130" s="8474"/>
      <c r="I130" s="8474"/>
      <c r="J130" s="8474"/>
      <c r="K130" s="8474"/>
      <c r="L130" s="8474"/>
      <c r="M130" s="11458"/>
      <c r="N130" s="11459"/>
      <c r="O130" s="11459"/>
      <c r="P130" s="11459"/>
      <c r="Q130" s="11460"/>
      <c r="R130" s="11461"/>
      <c r="S130" s="11462"/>
      <c r="T130" s="11463"/>
      <c r="U130" s="11464" t="str">
        <f>INDEX(PT_DIFFERENTIATION_NUM_TER,MATCH(B130,PT_DIFFERENTIATION_TER_ID,0))</f>
        <v>1.5</v>
      </c>
      <c r="V130" s="11465" t="s">
        <v>457</v>
      </c>
      <c r="W130" s="11466"/>
      <c r="X130" s="11467"/>
      <c r="Y130" s="11468"/>
      <c r="Z130" s="11468"/>
      <c r="AA130" s="11468"/>
      <c r="AB130" s="11468"/>
      <c r="AC130" s="11468"/>
      <c r="AD130" s="11468"/>
      <c r="AE130" s="11468"/>
      <c r="AF130" s="11469"/>
      <c r="AG130" s="11467" t="str">
        <f>INDEX(PT_DIFFERENTIATION_TER,MATCH(B130,PT_DIFFERENTIATION_TER_ID,0))</f>
        <v>Территория 5</v>
      </c>
      <c r="AH130" s="11468"/>
      <c r="AI130" s="11468"/>
      <c r="AJ130" s="11468"/>
      <c r="AK130" s="11468"/>
      <c r="AL130" s="11468"/>
      <c r="AM130" s="11468"/>
      <c r="AN130" s="11468"/>
      <c r="AO130" s="11468"/>
      <c r="AP130" s="16743"/>
      <c r="AQ130" s="16744"/>
      <c r="AR130" s="16744"/>
      <c r="AS130" s="16744"/>
      <c r="AT130" s="16744"/>
      <c r="AU130" s="16744"/>
      <c r="AV130" s="16744"/>
      <c r="AW130" s="16744"/>
      <c r="AX130" s="16745"/>
      <c r="AY130" s="16743"/>
      <c r="AZ130" s="16744"/>
      <c r="BA130" s="16744"/>
      <c r="BB130" s="16744"/>
      <c r="BC130" s="16744"/>
      <c r="BD130" s="16744"/>
      <c r="BE130" s="16744"/>
      <c r="BF130" s="16744"/>
      <c r="BG130" s="16745"/>
      <c r="BH130" s="16743"/>
      <c r="BI130" s="16744"/>
      <c r="BJ130" s="16744"/>
      <c r="BK130" s="16744"/>
      <c r="BL130" s="16744"/>
      <c r="BM130" s="16744"/>
      <c r="BN130" s="16744"/>
      <c r="BO130" s="16744"/>
      <c r="BP130" s="16745"/>
      <c r="BQ130" s="16743"/>
      <c r="BR130" s="16744"/>
      <c r="BS130" s="16744"/>
      <c r="BT130" s="16744"/>
      <c r="BU130" s="16744"/>
      <c r="BV130" s="16744"/>
      <c r="BW130" s="16744"/>
      <c r="BX130" s="16744"/>
      <c r="BY130" s="16745"/>
      <c r="BZ130" s="16743"/>
      <c r="CA130" s="16744"/>
      <c r="CB130" s="16744"/>
      <c r="CC130" s="16744"/>
      <c r="CD130" s="16744"/>
      <c r="CE130" s="16744"/>
      <c r="CF130" s="16744"/>
      <c r="CG130" s="16744"/>
      <c r="CH130" s="16745"/>
      <c r="CI130" s="16743"/>
      <c r="CJ130" s="16744"/>
      <c r="CK130" s="16744"/>
      <c r="CL130" s="16744"/>
      <c r="CM130" s="16744"/>
      <c r="CN130" s="16744"/>
      <c r="CO130" s="16744"/>
      <c r="CP130" s="16744"/>
      <c r="CQ130" s="16745"/>
      <c r="CR130" s="16743"/>
      <c r="CS130" s="16744"/>
      <c r="CT130" s="16744"/>
      <c r="CU130" s="16744"/>
      <c r="CV130" s="16744"/>
      <c r="CW130" s="16744"/>
      <c r="CX130" s="16744"/>
      <c r="CY130" s="16744"/>
      <c r="CZ130" s="16745"/>
      <c r="DA130" s="16743"/>
      <c r="DB130" s="16744"/>
      <c r="DC130" s="16744"/>
      <c r="DD130" s="16744"/>
      <c r="DE130" s="16744"/>
      <c r="DF130" s="16744"/>
      <c r="DG130" s="16744"/>
      <c r="DH130" s="16744"/>
      <c r="DI130" s="16745"/>
      <c r="DJ130" s="16743"/>
      <c r="DK130" s="16744"/>
      <c r="DL130" s="16744"/>
      <c r="DM130" s="16744"/>
      <c r="DN130" s="16744"/>
      <c r="DO130" s="16744"/>
      <c r="DP130" s="16744"/>
      <c r="DQ130" s="16744"/>
      <c r="DR130" s="16745"/>
      <c r="DS130" s="16743"/>
      <c r="DT130" s="16744"/>
      <c r="DU130" s="16744"/>
      <c r="DV130" s="16744"/>
      <c r="DW130" s="16744"/>
      <c r="DX130" s="16744"/>
      <c r="DY130" s="16744"/>
      <c r="DZ130" s="16744"/>
      <c r="EA130" s="16745"/>
      <c r="EB130" s="11469"/>
      <c r="EC130" s="11470" t="s">
        <v>458</v>
      </c>
      <c r="ED130" s="11471"/>
      <c r="EE130" s="11472"/>
      <c r="EF130" s="11472" t="str">
        <f>IF(V130="","",V130)</f>
        <v>Территория действия тарифа</v>
      </c>
      <c r="EG130" s="11472"/>
      <c r="EH130" s="11472"/>
      <c r="EI130" s="11462">
        <v>0</v>
      </c>
    </row>
    <row s="35732" customFormat="1" customHeight="1" ht="22.5">
      <c r="A131" s="8474"/>
      <c r="B131" s="8474"/>
      <c r="C131" s="8474" t="s">
        <v>225</v>
      </c>
      <c r="D131" s="8474"/>
      <c r="E131" s="11456"/>
      <c r="F131" s="11456" t="s">
        <v>94</v>
      </c>
      <c r="G131" s="11457">
        <v>1</v>
      </c>
      <c r="H131" s="8474"/>
      <c r="I131" s="8474"/>
      <c r="J131" s="8474"/>
      <c r="K131" s="8474"/>
      <c r="L131" s="8474"/>
      <c r="M131" s="11458"/>
      <c r="N131" s="11459"/>
      <c r="O131" s="11459"/>
      <c r="P131" s="11459"/>
      <c r="Q131" s="11474"/>
      <c r="R131" s="11461"/>
      <c r="S131" s="11462"/>
      <c r="T131" s="11463"/>
      <c r="U131" s="11464" t="str">
        <f>INDEX(PT_DIFFERENTIATION_NUM_CS,MATCH(C131,PT_DIFFERENTIATION_CS_ID,0))</f>
        <v>1.5.1</v>
      </c>
      <c r="V131" s="11475" t="s">
        <v>459</v>
      </c>
      <c r="W131" s="11466"/>
      <c r="X131" s="11467"/>
      <c r="Y131" s="11468"/>
      <c r="Z131" s="11468"/>
      <c r="AA131" s="11468"/>
      <c r="AB131" s="11468"/>
      <c r="AC131" s="11468"/>
      <c r="AD131" s="11468"/>
      <c r="AE131" s="11468"/>
      <c r="AF131" s="11469"/>
      <c r="AG131" s="11467" t="str">
        <f>INDEX(PT_DIFFERENTIATION_CS,MATCH(C131,PT_DIFFERENTIATION_CS_ID,0))</f>
        <v>без дифференциации</v>
      </c>
      <c r="AH131" s="11468"/>
      <c r="AI131" s="11468"/>
      <c r="AJ131" s="11468"/>
      <c r="AK131" s="11468"/>
      <c r="AL131" s="11468"/>
      <c r="AM131" s="11468"/>
      <c r="AN131" s="11468"/>
      <c r="AO131" s="11468"/>
      <c r="AP131" s="16743"/>
      <c r="AQ131" s="16744"/>
      <c r="AR131" s="16744"/>
      <c r="AS131" s="16744"/>
      <c r="AT131" s="16744"/>
      <c r="AU131" s="16744"/>
      <c r="AV131" s="16744"/>
      <c r="AW131" s="16744"/>
      <c r="AX131" s="16745"/>
      <c r="AY131" s="16743"/>
      <c r="AZ131" s="16744"/>
      <c r="BA131" s="16744"/>
      <c r="BB131" s="16744"/>
      <c r="BC131" s="16744"/>
      <c r="BD131" s="16744"/>
      <c r="BE131" s="16744"/>
      <c r="BF131" s="16744"/>
      <c r="BG131" s="16745"/>
      <c r="BH131" s="16743"/>
      <c r="BI131" s="16744"/>
      <c r="BJ131" s="16744"/>
      <c r="BK131" s="16744"/>
      <c r="BL131" s="16744"/>
      <c r="BM131" s="16744"/>
      <c r="BN131" s="16744"/>
      <c r="BO131" s="16744"/>
      <c r="BP131" s="16745"/>
      <c r="BQ131" s="16743"/>
      <c r="BR131" s="16744"/>
      <c r="BS131" s="16744"/>
      <c r="BT131" s="16744"/>
      <c r="BU131" s="16744"/>
      <c r="BV131" s="16744"/>
      <c r="BW131" s="16744"/>
      <c r="BX131" s="16744"/>
      <c r="BY131" s="16745"/>
      <c r="BZ131" s="16743"/>
      <c r="CA131" s="16744"/>
      <c r="CB131" s="16744"/>
      <c r="CC131" s="16744"/>
      <c r="CD131" s="16744"/>
      <c r="CE131" s="16744"/>
      <c r="CF131" s="16744"/>
      <c r="CG131" s="16744"/>
      <c r="CH131" s="16745"/>
      <c r="CI131" s="16743"/>
      <c r="CJ131" s="16744"/>
      <c r="CK131" s="16744"/>
      <c r="CL131" s="16744"/>
      <c r="CM131" s="16744"/>
      <c r="CN131" s="16744"/>
      <c r="CO131" s="16744"/>
      <c r="CP131" s="16744"/>
      <c r="CQ131" s="16745"/>
      <c r="CR131" s="16743"/>
      <c r="CS131" s="16744"/>
      <c r="CT131" s="16744"/>
      <c r="CU131" s="16744"/>
      <c r="CV131" s="16744"/>
      <c r="CW131" s="16744"/>
      <c r="CX131" s="16744"/>
      <c r="CY131" s="16744"/>
      <c r="CZ131" s="16745"/>
      <c r="DA131" s="16743"/>
      <c r="DB131" s="16744"/>
      <c r="DC131" s="16744"/>
      <c r="DD131" s="16744"/>
      <c r="DE131" s="16744"/>
      <c r="DF131" s="16744"/>
      <c r="DG131" s="16744"/>
      <c r="DH131" s="16744"/>
      <c r="DI131" s="16745"/>
      <c r="DJ131" s="16743"/>
      <c r="DK131" s="16744"/>
      <c r="DL131" s="16744"/>
      <c r="DM131" s="16744"/>
      <c r="DN131" s="16744"/>
      <c r="DO131" s="16744"/>
      <c r="DP131" s="16744"/>
      <c r="DQ131" s="16744"/>
      <c r="DR131" s="16745"/>
      <c r="DS131" s="16743"/>
      <c r="DT131" s="16744"/>
      <c r="DU131" s="16744"/>
      <c r="DV131" s="16744"/>
      <c r="DW131" s="16744"/>
      <c r="DX131" s="16744"/>
      <c r="DY131" s="16744"/>
      <c r="DZ131" s="16744"/>
      <c r="EA131" s="16745"/>
      <c r="EB131" s="11469"/>
      <c r="EC131" s="11470" t="s">
        <v>460</v>
      </c>
      <c r="ED131" s="11471"/>
      <c r="EE131" s="11472"/>
      <c r="EF131" s="11472" t="str">
        <f>IF(V131="","",V131)</f>
        <v>Наименование системы теплоснабжения </v>
      </c>
      <c r="EG131" s="11472"/>
      <c r="EH131" s="11472"/>
      <c r="EI131" s="11462">
        <v>0</v>
      </c>
    </row>
    <row s="35733" customFormat="1" customHeight="1" ht="21">
      <c r="A132" s="8474"/>
      <c r="B132" s="8474"/>
      <c r="C132" s="8474"/>
      <c r="D132" s="8474" t="s">
        <v>226</v>
      </c>
      <c r="E132" s="11456"/>
      <c r="F132" s="11456" t="s">
        <v>94</v>
      </c>
      <c r="G132" s="11456"/>
      <c r="H132" s="11457">
        <v>1</v>
      </c>
      <c r="I132" s="8474"/>
      <c r="J132" s="8474"/>
      <c r="K132" s="8474"/>
      <c r="L132" s="8474"/>
      <c r="M132" s="11458"/>
      <c r="N132" s="11459"/>
      <c r="O132" s="11459"/>
      <c r="P132" s="11459"/>
      <c r="Q132" s="11474"/>
      <c r="R132" s="11461"/>
      <c r="S132" s="11462"/>
      <c r="T132" s="11463"/>
      <c r="U132" s="11464" t="str">
        <f>INDEX(PT_DIFFERENTIATION_NUM_IST_TE,MATCH(D132,PT_DIFFERENTIATION_IST_TE_ID,0))</f>
        <v>1.5.1.1</v>
      </c>
      <c r="V132" s="11477" t="s">
        <v>461</v>
      </c>
      <c r="W132" s="11466"/>
      <c r="X132" s="11467"/>
      <c r="Y132" s="11468"/>
      <c r="Z132" s="11468"/>
      <c r="AA132" s="11468"/>
      <c r="AB132" s="11468"/>
      <c r="AC132" s="11468"/>
      <c r="AD132" s="11468"/>
      <c r="AE132" s="11468"/>
      <c r="AF132" s="11469"/>
      <c r="AG132" s="11467" t="str">
        <f>INDEX(PT_DIFFERENTIATION_IST_TE,MATCH(D132,PT_DIFFERENTIATION_IST_TE_ID,0))</f>
        <v>без дифференциации</v>
      </c>
      <c r="AH132" s="11468"/>
      <c r="AI132" s="11468"/>
      <c r="AJ132" s="11468"/>
      <c r="AK132" s="11468"/>
      <c r="AL132" s="11468"/>
      <c r="AM132" s="11468"/>
      <c r="AN132" s="11468"/>
      <c r="AO132" s="11468"/>
      <c r="AP132" s="16743"/>
      <c r="AQ132" s="16744"/>
      <c r="AR132" s="16744"/>
      <c r="AS132" s="16744"/>
      <c r="AT132" s="16744"/>
      <c r="AU132" s="16744"/>
      <c r="AV132" s="16744"/>
      <c r="AW132" s="16744"/>
      <c r="AX132" s="16745"/>
      <c r="AY132" s="16743"/>
      <c r="AZ132" s="16744"/>
      <c r="BA132" s="16744"/>
      <c r="BB132" s="16744"/>
      <c r="BC132" s="16744"/>
      <c r="BD132" s="16744"/>
      <c r="BE132" s="16744"/>
      <c r="BF132" s="16744"/>
      <c r="BG132" s="16745"/>
      <c r="BH132" s="16743"/>
      <c r="BI132" s="16744"/>
      <c r="BJ132" s="16744"/>
      <c r="BK132" s="16744"/>
      <c r="BL132" s="16744"/>
      <c r="BM132" s="16744"/>
      <c r="BN132" s="16744"/>
      <c r="BO132" s="16744"/>
      <c r="BP132" s="16745"/>
      <c r="BQ132" s="16743"/>
      <c r="BR132" s="16744"/>
      <c r="BS132" s="16744"/>
      <c r="BT132" s="16744"/>
      <c r="BU132" s="16744"/>
      <c r="BV132" s="16744"/>
      <c r="BW132" s="16744"/>
      <c r="BX132" s="16744"/>
      <c r="BY132" s="16745"/>
      <c r="BZ132" s="16743"/>
      <c r="CA132" s="16744"/>
      <c r="CB132" s="16744"/>
      <c r="CC132" s="16744"/>
      <c r="CD132" s="16744"/>
      <c r="CE132" s="16744"/>
      <c r="CF132" s="16744"/>
      <c r="CG132" s="16744"/>
      <c r="CH132" s="16745"/>
      <c r="CI132" s="16743"/>
      <c r="CJ132" s="16744"/>
      <c r="CK132" s="16744"/>
      <c r="CL132" s="16744"/>
      <c r="CM132" s="16744"/>
      <c r="CN132" s="16744"/>
      <c r="CO132" s="16744"/>
      <c r="CP132" s="16744"/>
      <c r="CQ132" s="16745"/>
      <c r="CR132" s="16743"/>
      <c r="CS132" s="16744"/>
      <c r="CT132" s="16744"/>
      <c r="CU132" s="16744"/>
      <c r="CV132" s="16744"/>
      <c r="CW132" s="16744"/>
      <c r="CX132" s="16744"/>
      <c r="CY132" s="16744"/>
      <c r="CZ132" s="16745"/>
      <c r="DA132" s="16743"/>
      <c r="DB132" s="16744"/>
      <c r="DC132" s="16744"/>
      <c r="DD132" s="16744"/>
      <c r="DE132" s="16744"/>
      <c r="DF132" s="16744"/>
      <c r="DG132" s="16744"/>
      <c r="DH132" s="16744"/>
      <c r="DI132" s="16745"/>
      <c r="DJ132" s="16743"/>
      <c r="DK132" s="16744"/>
      <c r="DL132" s="16744"/>
      <c r="DM132" s="16744"/>
      <c r="DN132" s="16744"/>
      <c r="DO132" s="16744"/>
      <c r="DP132" s="16744"/>
      <c r="DQ132" s="16744"/>
      <c r="DR132" s="16745"/>
      <c r="DS132" s="16743"/>
      <c r="DT132" s="16744"/>
      <c r="DU132" s="16744"/>
      <c r="DV132" s="16744"/>
      <c r="DW132" s="16744"/>
      <c r="DX132" s="16744"/>
      <c r="DY132" s="16744"/>
      <c r="DZ132" s="16744"/>
      <c r="EA132" s="16745"/>
      <c r="EB132" s="11469"/>
      <c r="EC132" s="11470" t="s">
        <v>462</v>
      </c>
      <c r="ED132" s="11471"/>
      <c r="EE132" s="11472"/>
      <c r="EF132" s="11472" t="str">
        <f>IF(V132="","",V132)</f>
        <v>Источник тепловой энергии  </v>
      </c>
      <c r="EG132" s="11472"/>
      <c r="EH132" s="11472"/>
      <c r="EI132" s="11462">
        <v>0</v>
      </c>
    </row>
    <row s="35734" customFormat="1" customHeight="1" ht="14.25">
      <c r="A133" s="8474"/>
      <c r="B133" s="8474"/>
      <c r="C133" s="8474"/>
      <c r="D133" s="8474"/>
      <c r="E133" s="11456"/>
      <c r="F133" s="11456" t="s">
        <v>94</v>
      </c>
      <c r="G133" s="11456"/>
      <c r="H133" s="11456"/>
      <c r="I133" s="11479" t="str">
        <f>U132&amp;".1"</f>
        <v>1.5.1.1.1</v>
      </c>
      <c r="J133" s="8474"/>
      <c r="K133" s="8474"/>
      <c r="L133" s="8474"/>
      <c r="M133" s="11458" t="s">
        <v>463</v>
      </c>
      <c r="N133" s="11462"/>
      <c r="O133" s="11480"/>
      <c r="P133" s="11480"/>
      <c r="Q133" s="11481">
        <v>1</v>
      </c>
      <c r="R133" s="11481"/>
      <c r="S133" s="11481"/>
      <c r="T133" s="11482"/>
      <c r="U133" s="11483"/>
      <c r="V133" s="11484"/>
      <c r="W133" s="11485"/>
      <c r="X133" s="11486"/>
      <c r="Y133" s="11487"/>
      <c r="Z133" s="11487"/>
      <c r="AA133" s="11487"/>
      <c r="AB133" s="11487"/>
      <c r="AC133" s="11487"/>
      <c r="AD133" s="11487"/>
      <c r="AE133" s="11487"/>
      <c r="AF133" s="11488"/>
      <c r="AG133" s="11486"/>
      <c r="AH133" s="11487"/>
      <c r="AI133" s="11487"/>
      <c r="AJ133" s="11487"/>
      <c r="AK133" s="11487"/>
      <c r="AL133" s="11487"/>
      <c r="AM133" s="11487"/>
      <c r="AN133" s="11487"/>
      <c r="AO133" s="11487"/>
      <c r="AP133" s="16746"/>
      <c r="AQ133" s="16747"/>
      <c r="AR133" s="16747"/>
      <c r="AS133" s="16747"/>
      <c r="AT133" s="16747"/>
      <c r="AU133" s="16747"/>
      <c r="AV133" s="16747"/>
      <c r="AW133" s="16747"/>
      <c r="AX133" s="16748"/>
      <c r="AY133" s="16746"/>
      <c r="AZ133" s="16747"/>
      <c r="BA133" s="16747"/>
      <c r="BB133" s="16747"/>
      <c r="BC133" s="16747"/>
      <c r="BD133" s="16747"/>
      <c r="BE133" s="16747"/>
      <c r="BF133" s="16747"/>
      <c r="BG133" s="16748"/>
      <c r="BH133" s="16746"/>
      <c r="BI133" s="16747"/>
      <c r="BJ133" s="16747"/>
      <c r="BK133" s="16747"/>
      <c r="BL133" s="16747"/>
      <c r="BM133" s="16747"/>
      <c r="BN133" s="16747"/>
      <c r="BO133" s="16747"/>
      <c r="BP133" s="16748"/>
      <c r="BQ133" s="16746"/>
      <c r="BR133" s="16747"/>
      <c r="BS133" s="16747"/>
      <c r="BT133" s="16747"/>
      <c r="BU133" s="16747"/>
      <c r="BV133" s="16747"/>
      <c r="BW133" s="16747"/>
      <c r="BX133" s="16747"/>
      <c r="BY133" s="16748"/>
      <c r="BZ133" s="16746"/>
      <c r="CA133" s="16747"/>
      <c r="CB133" s="16747"/>
      <c r="CC133" s="16747"/>
      <c r="CD133" s="16747"/>
      <c r="CE133" s="16747"/>
      <c r="CF133" s="16747"/>
      <c r="CG133" s="16747"/>
      <c r="CH133" s="16748"/>
      <c r="CI133" s="16746"/>
      <c r="CJ133" s="16747"/>
      <c r="CK133" s="16747"/>
      <c r="CL133" s="16747"/>
      <c r="CM133" s="16747"/>
      <c r="CN133" s="16747"/>
      <c r="CO133" s="16747"/>
      <c r="CP133" s="16747"/>
      <c r="CQ133" s="16748"/>
      <c r="CR133" s="16746"/>
      <c r="CS133" s="16747"/>
      <c r="CT133" s="16747"/>
      <c r="CU133" s="16747"/>
      <c r="CV133" s="16747"/>
      <c r="CW133" s="16747"/>
      <c r="CX133" s="16747"/>
      <c r="CY133" s="16747"/>
      <c r="CZ133" s="16748"/>
      <c r="DA133" s="16746"/>
      <c r="DB133" s="16747"/>
      <c r="DC133" s="16747"/>
      <c r="DD133" s="16747"/>
      <c r="DE133" s="16747"/>
      <c r="DF133" s="16747"/>
      <c r="DG133" s="16747"/>
      <c r="DH133" s="16747"/>
      <c r="DI133" s="16748"/>
      <c r="DJ133" s="16746"/>
      <c r="DK133" s="16747"/>
      <c r="DL133" s="16747"/>
      <c r="DM133" s="16747"/>
      <c r="DN133" s="16747"/>
      <c r="DO133" s="16747"/>
      <c r="DP133" s="16747"/>
      <c r="DQ133" s="16747"/>
      <c r="DR133" s="16748"/>
      <c r="DS133" s="16746"/>
      <c r="DT133" s="16747"/>
      <c r="DU133" s="16747"/>
      <c r="DV133" s="16747"/>
      <c r="DW133" s="16747"/>
      <c r="DX133" s="16747"/>
      <c r="DY133" s="16747"/>
      <c r="DZ133" s="16747"/>
      <c r="EA133" s="16748"/>
      <c r="EB133" s="11488"/>
      <c r="EC133" s="11489"/>
      <c r="ED133" s="11471"/>
      <c r="EE133" s="11472"/>
      <c r="EF133" s="11472" t="str">
        <f>IF(V133="","",V133)</f>
        <v/>
      </c>
      <c r="EG133" s="11472"/>
      <c r="EH133" s="11472"/>
      <c r="EI133" s="11462">
        <v>0</v>
      </c>
    </row>
    <row s="35735" customFormat="1" customHeight="1" ht="21">
      <c r="A134" s="8474"/>
      <c r="B134" s="8474"/>
      <c r="C134" s="8474"/>
      <c r="D134" s="8474"/>
      <c r="E134" s="11456"/>
      <c r="F134" s="11456" t="s">
        <v>94</v>
      </c>
      <c r="G134" s="11456"/>
      <c r="H134" s="11456"/>
      <c r="I134" s="11491"/>
      <c r="J134" s="11479" t="str">
        <f>I133&amp;".1"</f>
        <v>1.5.1.1.1.1</v>
      </c>
      <c r="K134" s="8474"/>
      <c r="L134" s="8474"/>
      <c r="M134" s="11458" t="s">
        <v>466</v>
      </c>
      <c r="N134" s="11462"/>
      <c r="O134" s="11462"/>
      <c r="P134" s="11480"/>
      <c r="Q134" s="11481"/>
      <c r="R134" s="11481">
        <v>1</v>
      </c>
      <c r="S134" s="11471"/>
      <c r="T134" s="11492"/>
      <c r="U134" s="11464" t="str">
        <f>$J134</f>
        <v>1.5.1.1.1.1</v>
      </c>
      <c r="V134" s="11493" t="s">
        <v>467</v>
      </c>
      <c r="W134" s="11466"/>
      <c r="X134" s="11494"/>
      <c r="Y134" s="11495"/>
      <c r="Z134" s="11495"/>
      <c r="AA134" s="11495"/>
      <c r="AB134" s="11495"/>
      <c r="AC134" s="11496"/>
      <c r="AD134" s="11496"/>
      <c r="AE134" s="11496"/>
      <c r="AF134" s="11497"/>
      <c r="AG134" s="11494" t="s">
        <v>535</v>
      </c>
      <c r="AH134" s="11495"/>
      <c r="AI134" s="11495"/>
      <c r="AJ134" s="11495"/>
      <c r="AK134" s="11495"/>
      <c r="AL134" s="11495"/>
      <c r="AM134" s="11495"/>
      <c r="AN134" s="11495"/>
      <c r="AO134" s="11495"/>
      <c r="AP134" s="16750"/>
      <c r="AQ134" s="16751"/>
      <c r="AR134" s="16751"/>
      <c r="AS134" s="16751"/>
      <c r="AT134" s="16751"/>
      <c r="AU134" s="16752"/>
      <c r="AV134" s="16752"/>
      <c r="AW134" s="16752"/>
      <c r="AX134" s="16753"/>
      <c r="AY134" s="16750"/>
      <c r="AZ134" s="16751"/>
      <c r="BA134" s="16751"/>
      <c r="BB134" s="16751"/>
      <c r="BC134" s="16751"/>
      <c r="BD134" s="16752"/>
      <c r="BE134" s="16752"/>
      <c r="BF134" s="16752"/>
      <c r="BG134" s="16753"/>
      <c r="BH134" s="16750"/>
      <c r="BI134" s="16751"/>
      <c r="BJ134" s="16751"/>
      <c r="BK134" s="16751"/>
      <c r="BL134" s="16751"/>
      <c r="BM134" s="16752"/>
      <c r="BN134" s="16752"/>
      <c r="BO134" s="16752"/>
      <c r="BP134" s="16753"/>
      <c r="BQ134" s="16750"/>
      <c r="BR134" s="16751"/>
      <c r="BS134" s="16751"/>
      <c r="BT134" s="16751"/>
      <c r="BU134" s="16751"/>
      <c r="BV134" s="16752"/>
      <c r="BW134" s="16752"/>
      <c r="BX134" s="16752"/>
      <c r="BY134" s="16753"/>
      <c r="BZ134" s="16750"/>
      <c r="CA134" s="16751"/>
      <c r="CB134" s="16751"/>
      <c r="CC134" s="16751"/>
      <c r="CD134" s="16751"/>
      <c r="CE134" s="16752"/>
      <c r="CF134" s="16752"/>
      <c r="CG134" s="16752"/>
      <c r="CH134" s="16753"/>
      <c r="CI134" s="16750"/>
      <c r="CJ134" s="16751"/>
      <c r="CK134" s="16751"/>
      <c r="CL134" s="16751"/>
      <c r="CM134" s="16751"/>
      <c r="CN134" s="16752"/>
      <c r="CO134" s="16752"/>
      <c r="CP134" s="16752"/>
      <c r="CQ134" s="16753"/>
      <c r="CR134" s="16750"/>
      <c r="CS134" s="16751"/>
      <c r="CT134" s="16751"/>
      <c r="CU134" s="16751"/>
      <c r="CV134" s="16751"/>
      <c r="CW134" s="16752"/>
      <c r="CX134" s="16752"/>
      <c r="CY134" s="16752"/>
      <c r="CZ134" s="16753"/>
      <c r="DA134" s="16750"/>
      <c r="DB134" s="16751"/>
      <c r="DC134" s="16751"/>
      <c r="DD134" s="16751"/>
      <c r="DE134" s="16751"/>
      <c r="DF134" s="16752"/>
      <c r="DG134" s="16752"/>
      <c r="DH134" s="16752"/>
      <c r="DI134" s="16753"/>
      <c r="DJ134" s="16750"/>
      <c r="DK134" s="16751"/>
      <c r="DL134" s="16751"/>
      <c r="DM134" s="16751"/>
      <c r="DN134" s="16751"/>
      <c r="DO134" s="16752"/>
      <c r="DP134" s="16752"/>
      <c r="DQ134" s="16752"/>
      <c r="DR134" s="16753"/>
      <c r="DS134" s="16750"/>
      <c r="DT134" s="16751"/>
      <c r="DU134" s="16751"/>
      <c r="DV134" s="16751"/>
      <c r="DW134" s="16751"/>
      <c r="DX134" s="16752"/>
      <c r="DY134" s="16752"/>
      <c r="DZ134" s="16752"/>
      <c r="EA134" s="16753"/>
      <c r="EB134" s="11498"/>
      <c r="EC134" s="11470" t="s">
        <v>468</v>
      </c>
      <c r="ED134" s="11471"/>
      <c r="EE134" s="11472"/>
      <c r="EF134" s="11472" t="str">
        <f>IF(V134="","",V134)</f>
        <v>Группа потребителей</v>
      </c>
      <c r="EG134" s="11472"/>
      <c r="EH134" s="11472"/>
      <c r="EI134" s="11462">
        <v>0</v>
      </c>
    </row>
    <row s="35736" customFormat="1" customHeight="1" ht="21">
      <c r="A135" s="8474"/>
      <c r="B135" s="8474"/>
      <c r="C135" s="8474"/>
      <c r="D135" s="8474"/>
      <c r="E135" s="11456"/>
      <c r="F135" s="11456" t="s">
        <v>94</v>
      </c>
      <c r="G135" s="11456"/>
      <c r="H135" s="11456"/>
      <c r="I135" s="11491"/>
      <c r="J135" s="11491"/>
      <c r="K135" s="11479" t="str">
        <f>J134&amp;".1"</f>
        <v>1.5.1.1.1.1.1</v>
      </c>
      <c r="L135" s="11460"/>
      <c r="M135" s="11458" t="s">
        <v>469</v>
      </c>
      <c r="N135" s="11462"/>
      <c r="O135" s="11462"/>
      <c r="P135" s="11462"/>
      <c r="Q135" s="11481"/>
      <c r="R135" s="11481"/>
      <c r="S135" s="11481">
        <v>1</v>
      </c>
      <c r="T135" s="11492"/>
      <c r="U135" s="11464" t="str">
        <f>$K135</f>
        <v>1.5.1.1.1.1.1</v>
      </c>
      <c r="V135" s="11500" t="s">
        <v>508</v>
      </c>
      <c r="W135" s="11466"/>
      <c r="X135" s="17062"/>
      <c r="Y135" s="17062"/>
      <c r="Z135" s="17062"/>
      <c r="AA135" s="17062"/>
      <c r="AB135" s="17063"/>
      <c r="AC135" s="17064"/>
      <c r="AD135" s="17065" t="s">
        <v>64</v>
      </c>
      <c r="AE135" s="17064"/>
      <c r="AF135" s="17065" t="s">
        <v>64</v>
      </c>
      <c r="AG135" s="11504"/>
      <c r="AH135" s="11501">
        <v>365</v>
      </c>
      <c r="AI135" s="11501">
        <v>1906.98</v>
      </c>
      <c r="AJ135" s="11501"/>
      <c r="AK135" s="11505"/>
      <c r="AL135" s="16759">
        <v>45292</v>
      </c>
      <c r="AM135" s="8452" t="s">
        <v>64</v>
      </c>
      <c r="AN135" s="16759">
        <v>45473</v>
      </c>
      <c r="AO135" s="8452" t="s">
        <v>64</v>
      </c>
      <c r="AP135" s="16757"/>
      <c r="AQ135" s="16757">
        <v>399.63</v>
      </c>
      <c r="AR135" s="16757">
        <v>2193.03</v>
      </c>
      <c r="AS135" s="16757"/>
      <c r="AT135" s="16758"/>
      <c r="AU135" s="16759">
        <v>45474</v>
      </c>
      <c r="AV135" s="16760" t="s">
        <v>64</v>
      </c>
      <c r="AW135" s="16759">
        <v>45657</v>
      </c>
      <c r="AX135" s="16760" t="s">
        <v>64</v>
      </c>
      <c r="AY135" s="16757"/>
      <c r="AZ135" s="16757">
        <v>399.63</v>
      </c>
      <c r="BA135" s="16757">
        <v>2193.03</v>
      </c>
      <c r="BB135" s="16757"/>
      <c r="BC135" s="16758"/>
      <c r="BD135" s="16759">
        <v>45658</v>
      </c>
      <c r="BE135" s="16760" t="s">
        <v>64</v>
      </c>
      <c r="BF135" s="16759">
        <v>45838</v>
      </c>
      <c r="BG135" s="16760" t="s">
        <v>64</v>
      </c>
      <c r="BH135" s="16757"/>
      <c r="BI135" s="16757">
        <v>448.38</v>
      </c>
      <c r="BJ135" s="16757">
        <v>2460.58</v>
      </c>
      <c r="BK135" s="16757"/>
      <c r="BL135" s="16758"/>
      <c r="BM135" s="16759">
        <v>45839</v>
      </c>
      <c r="BN135" s="16760" t="s">
        <v>64</v>
      </c>
      <c r="BO135" s="16759">
        <v>46022</v>
      </c>
      <c r="BP135" s="16760" t="s">
        <v>64</v>
      </c>
      <c r="BQ135" s="16757"/>
      <c r="BR135" s="16757">
        <v>437.15</v>
      </c>
      <c r="BS135" s="16757">
        <v>2301.63</v>
      </c>
      <c r="BT135" s="16757"/>
      <c r="BU135" s="16758"/>
      <c r="BV135" s="16759">
        <v>46023</v>
      </c>
      <c r="BW135" s="16760" t="s">
        <v>64</v>
      </c>
      <c r="BX135" s="16759">
        <v>46203</v>
      </c>
      <c r="BY135" s="16760" t="s">
        <v>64</v>
      </c>
      <c r="BZ135" s="16757"/>
      <c r="CA135" s="16757">
        <v>477.14</v>
      </c>
      <c r="CB135" s="16757">
        <v>2301.63</v>
      </c>
      <c r="CC135" s="16757"/>
      <c r="CD135" s="16758"/>
      <c r="CE135" s="16759">
        <v>46204</v>
      </c>
      <c r="CF135" s="16760" t="s">
        <v>64</v>
      </c>
      <c r="CG135" s="16759">
        <v>46387</v>
      </c>
      <c r="CH135" s="16760" t="s">
        <v>64</v>
      </c>
      <c r="CI135" s="16757"/>
      <c r="CJ135" s="16757">
        <v>477.14</v>
      </c>
      <c r="CK135" s="16757">
        <v>2301.63</v>
      </c>
      <c r="CL135" s="16757"/>
      <c r="CM135" s="16758"/>
      <c r="CN135" s="16759">
        <v>46388</v>
      </c>
      <c r="CO135" s="16760" t="s">
        <v>64</v>
      </c>
      <c r="CP135" s="16759">
        <v>46568</v>
      </c>
      <c r="CQ135" s="16760" t="s">
        <v>64</v>
      </c>
      <c r="CR135" s="16757"/>
      <c r="CS135" s="16757">
        <v>496.69</v>
      </c>
      <c r="CT135" s="16757">
        <v>2367.79</v>
      </c>
      <c r="CU135" s="16757"/>
      <c r="CV135" s="16758"/>
      <c r="CW135" s="16759">
        <v>46569</v>
      </c>
      <c r="CX135" s="16760" t="s">
        <v>64</v>
      </c>
      <c r="CY135" s="16759">
        <v>46752</v>
      </c>
      <c r="CZ135" s="16760" t="s">
        <v>64</v>
      </c>
      <c r="DA135" s="16757"/>
      <c r="DB135" s="16757">
        <v>496.69</v>
      </c>
      <c r="DC135" s="16757">
        <v>2367.79</v>
      </c>
      <c r="DD135" s="16757"/>
      <c r="DE135" s="16758"/>
      <c r="DF135" s="16759">
        <v>46753</v>
      </c>
      <c r="DG135" s="16760" t="s">
        <v>64</v>
      </c>
      <c r="DH135" s="16759">
        <v>46934</v>
      </c>
      <c r="DI135" s="16760" t="s">
        <v>64</v>
      </c>
      <c r="DJ135" s="16757"/>
      <c r="DK135" s="16757">
        <v>500.7</v>
      </c>
      <c r="DL135" s="16757">
        <v>2400.63</v>
      </c>
      <c r="DM135" s="16757"/>
      <c r="DN135" s="16758"/>
      <c r="DO135" s="16759">
        <v>46935</v>
      </c>
      <c r="DP135" s="16760" t="s">
        <v>64</v>
      </c>
      <c r="DQ135" s="16759">
        <v>47118</v>
      </c>
      <c r="DR135" s="16760" t="s">
        <v>19</v>
      </c>
      <c r="DS135" s="17062"/>
      <c r="DT135" s="17062"/>
      <c r="DU135" s="17062"/>
      <c r="DV135" s="17062"/>
      <c r="DW135" s="17063"/>
      <c r="DX135" s="17064"/>
      <c r="DY135" s="17065" t="s">
        <v>64</v>
      </c>
      <c r="DZ135" s="17064"/>
      <c r="EA135" s="17065" t="s">
        <v>64</v>
      </c>
      <c r="EB135" s="11506"/>
      <c r="EC135" s="11507" t="s">
        <v>523</v>
      </c>
      <c r="ED135" s="11471">
        <f>STRCHECKDATE(X137:EB137)</f>
      </c>
      <c r="EE135" s="11472"/>
      <c r="EF135" s="11472" t="str">
        <f>IF(V135="","",V135)</f>
        <v>вода</v>
      </c>
      <c r="EG135" s="11472"/>
      <c r="EH135" s="11472"/>
      <c r="EI135" s="11462">
        <v>0</v>
      </c>
    </row>
    <row s="35737" customFormat="1" customHeight="1" ht="21">
      <c r="A136" s="8474"/>
      <c r="B136" s="8474"/>
      <c r="C136" s="8474"/>
      <c r="D136" s="8474"/>
      <c r="E136" s="11456"/>
      <c r="F136" s="11456" t="s">
        <v>94</v>
      </c>
      <c r="G136" s="11456"/>
      <c r="H136" s="11456"/>
      <c r="I136" s="11491"/>
      <c r="J136" s="11491"/>
      <c r="K136" s="11491"/>
      <c r="L136" s="11479" t="str">
        <f>K135&amp;".1"</f>
        <v>1.5.1.1.1.1.1.1</v>
      </c>
      <c r="M136" s="11458"/>
      <c r="N136" s="11462"/>
      <c r="O136" s="11462"/>
      <c r="P136" s="11462"/>
      <c r="Q136" s="11481"/>
      <c r="R136" s="11481"/>
      <c r="S136" s="11481"/>
      <c r="T136" s="11492"/>
      <c r="U136" s="11464" t="str">
        <f>$L136</f>
        <v>1.5.1.1.1.1.1.1</v>
      </c>
      <c r="V136" s="11509"/>
      <c r="W136" s="11466"/>
      <c r="X136" s="17062"/>
      <c r="Y136" s="17062"/>
      <c r="Z136" s="17062"/>
      <c r="AA136" s="17062"/>
      <c r="AB136" s="17063"/>
      <c r="AC136" s="17064"/>
      <c r="AD136" s="17065"/>
      <c r="AE136" s="17064"/>
      <c r="AF136" s="17065"/>
      <c r="AG136" s="11504"/>
      <c r="AH136" s="11501"/>
      <c r="AI136" s="11501"/>
      <c r="AJ136" s="11501"/>
      <c r="AK136" s="11505"/>
      <c r="AL136" s="11510"/>
      <c r="AM136" s="8452"/>
      <c r="AN136" s="11510"/>
      <c r="AO136" s="8452"/>
      <c r="AP136" s="16764"/>
      <c r="AQ136" s="16757"/>
      <c r="AR136" s="16757"/>
      <c r="AS136" s="16757"/>
      <c r="AT136" s="16758"/>
      <c r="AU136" s="16765"/>
      <c r="AV136" s="16760"/>
      <c r="AW136" s="16765"/>
      <c r="AX136" s="16760"/>
      <c r="AY136" s="16764"/>
      <c r="AZ136" s="16757"/>
      <c r="BA136" s="16757"/>
      <c r="BB136" s="16757"/>
      <c r="BC136" s="16758"/>
      <c r="BD136" s="16765"/>
      <c r="BE136" s="16760"/>
      <c r="BF136" s="16765"/>
      <c r="BG136" s="16760"/>
      <c r="BH136" s="16764"/>
      <c r="BI136" s="16757"/>
      <c r="BJ136" s="16757"/>
      <c r="BK136" s="16757"/>
      <c r="BL136" s="16758"/>
      <c r="BM136" s="16765"/>
      <c r="BN136" s="16760"/>
      <c r="BO136" s="16765"/>
      <c r="BP136" s="16760"/>
      <c r="BQ136" s="16764"/>
      <c r="BR136" s="16757"/>
      <c r="BS136" s="16757"/>
      <c r="BT136" s="16757"/>
      <c r="BU136" s="16758"/>
      <c r="BV136" s="16765"/>
      <c r="BW136" s="16760"/>
      <c r="BX136" s="16765"/>
      <c r="BY136" s="16760"/>
      <c r="BZ136" s="16764"/>
      <c r="CA136" s="16757"/>
      <c r="CB136" s="16757"/>
      <c r="CC136" s="16757"/>
      <c r="CD136" s="16758"/>
      <c r="CE136" s="16765"/>
      <c r="CF136" s="16760"/>
      <c r="CG136" s="16765"/>
      <c r="CH136" s="16760"/>
      <c r="CI136" s="16764"/>
      <c r="CJ136" s="16757"/>
      <c r="CK136" s="16757"/>
      <c r="CL136" s="16757"/>
      <c r="CM136" s="16758"/>
      <c r="CN136" s="16765"/>
      <c r="CO136" s="16760"/>
      <c r="CP136" s="16765"/>
      <c r="CQ136" s="16760"/>
      <c r="CR136" s="16764"/>
      <c r="CS136" s="16757"/>
      <c r="CT136" s="16757"/>
      <c r="CU136" s="16757"/>
      <c r="CV136" s="16758"/>
      <c r="CW136" s="16765"/>
      <c r="CX136" s="16760"/>
      <c r="CY136" s="16765"/>
      <c r="CZ136" s="16760"/>
      <c r="DA136" s="16764"/>
      <c r="DB136" s="16757"/>
      <c r="DC136" s="16757"/>
      <c r="DD136" s="16757"/>
      <c r="DE136" s="16758"/>
      <c r="DF136" s="16765"/>
      <c r="DG136" s="16760"/>
      <c r="DH136" s="16765"/>
      <c r="DI136" s="16760"/>
      <c r="DJ136" s="16764"/>
      <c r="DK136" s="16757"/>
      <c r="DL136" s="16757"/>
      <c r="DM136" s="16757"/>
      <c r="DN136" s="16758"/>
      <c r="DO136" s="16765"/>
      <c r="DP136" s="16760"/>
      <c r="DQ136" s="16765"/>
      <c r="DR136" s="16760"/>
      <c r="DS136" s="17062"/>
      <c r="DT136" s="17062"/>
      <c r="DU136" s="17062"/>
      <c r="DV136" s="17062"/>
      <c r="DW136" s="17063"/>
      <c r="DX136" s="17064"/>
      <c r="DY136" s="17065"/>
      <c r="DZ136" s="17064"/>
      <c r="EA136" s="17065"/>
      <c r="EB136" s="11506"/>
      <c r="EC136" s="11511" t="s">
        <v>524</v>
      </c>
      <c r="ED136" s="11471"/>
      <c r="EE136" s="11472"/>
      <c r="EF136" s="11472"/>
      <c r="EG136" s="11472"/>
      <c r="EH136" s="11472"/>
      <c r="EI136" s="11462">
        <v>0</v>
      </c>
    </row>
    <row s="35738" customFormat="1" customHeight="1" ht="14.25">
      <c r="A137" s="8474"/>
      <c r="B137" s="8474"/>
      <c r="C137" s="8474"/>
      <c r="D137" s="8474"/>
      <c r="E137" s="11456"/>
      <c r="F137" s="11456" t="s">
        <v>94</v>
      </c>
      <c r="G137" s="11456"/>
      <c r="H137" s="11456"/>
      <c r="I137" s="11491"/>
      <c r="J137" s="11491"/>
      <c r="K137" s="11491"/>
      <c r="L137" s="11479"/>
      <c r="M137" s="11458"/>
      <c r="N137" s="11462"/>
      <c r="O137" s="11462"/>
      <c r="P137" s="11462"/>
      <c r="Q137" s="11481"/>
      <c r="R137" s="11481"/>
      <c r="S137" s="11481"/>
      <c r="T137" s="11492"/>
      <c r="U137" s="11513"/>
      <c r="V137" s="11466"/>
      <c r="W137" s="11466"/>
      <c r="X137" s="17062"/>
      <c r="Y137" s="17062"/>
      <c r="Z137" s="17062"/>
      <c r="AA137" s="17062"/>
      <c r="AB137" s="17063"/>
      <c r="AC137" s="17064"/>
      <c r="AD137" s="17065"/>
      <c r="AE137" s="17064"/>
      <c r="AF137" s="17065"/>
      <c r="AG137" s="11515"/>
      <c r="AH137" s="11506"/>
      <c r="AI137" s="11506"/>
      <c r="AJ137" s="11506"/>
      <c r="AK137" s="11516" t="str">
        <f>AL135&amp;"-"&amp;AN135</f>
        <v>45292-45473</v>
      </c>
      <c r="AL137" s="11510"/>
      <c r="AM137" s="8452"/>
      <c r="AN137" s="11510"/>
      <c r="AO137" s="8452"/>
      <c r="AP137" s="16764"/>
      <c r="AQ137" s="16764"/>
      <c r="AR137" s="16764"/>
      <c r="AS137" s="16764"/>
      <c r="AT137" s="16768" t="str">
        <f>AU135&amp;"-"&amp;AW135</f>
        <v>45474-45657</v>
      </c>
      <c r="AU137" s="16765"/>
      <c r="AV137" s="16760"/>
      <c r="AW137" s="16765"/>
      <c r="AX137" s="16760"/>
      <c r="AY137" s="16764"/>
      <c r="AZ137" s="16764"/>
      <c r="BA137" s="16764"/>
      <c r="BB137" s="16764"/>
      <c r="BC137" s="16768" t="str">
        <f>BD135&amp;"-"&amp;BF135</f>
        <v>45658-45838</v>
      </c>
      <c r="BD137" s="16765"/>
      <c r="BE137" s="16760"/>
      <c r="BF137" s="16765"/>
      <c r="BG137" s="16760"/>
      <c r="BH137" s="16764"/>
      <c r="BI137" s="16764"/>
      <c r="BJ137" s="16764"/>
      <c r="BK137" s="16764"/>
      <c r="BL137" s="16768" t="str">
        <f>BM135&amp;"-"&amp;BO135</f>
        <v>45839-46022</v>
      </c>
      <c r="BM137" s="16765"/>
      <c r="BN137" s="16760"/>
      <c r="BO137" s="16765"/>
      <c r="BP137" s="16760"/>
      <c r="BQ137" s="16764"/>
      <c r="BR137" s="16764"/>
      <c r="BS137" s="16764"/>
      <c r="BT137" s="16764"/>
      <c r="BU137" s="16768" t="str">
        <f>BV135&amp;"-"&amp;BX135</f>
        <v>46023-46203</v>
      </c>
      <c r="BV137" s="16765"/>
      <c r="BW137" s="16760"/>
      <c r="BX137" s="16765"/>
      <c r="BY137" s="16760"/>
      <c r="BZ137" s="16764"/>
      <c r="CA137" s="16764"/>
      <c r="CB137" s="16764"/>
      <c r="CC137" s="16764"/>
      <c r="CD137" s="16768" t="str">
        <f>CE135&amp;"-"&amp;CG135</f>
        <v>46204-46387</v>
      </c>
      <c r="CE137" s="16765"/>
      <c r="CF137" s="16760"/>
      <c r="CG137" s="16765"/>
      <c r="CH137" s="16760"/>
      <c r="CI137" s="16764"/>
      <c r="CJ137" s="16764"/>
      <c r="CK137" s="16764"/>
      <c r="CL137" s="16764"/>
      <c r="CM137" s="16768" t="str">
        <f>CN135&amp;"-"&amp;CP135</f>
        <v>46388-46568</v>
      </c>
      <c r="CN137" s="16765"/>
      <c r="CO137" s="16760"/>
      <c r="CP137" s="16765"/>
      <c r="CQ137" s="16760"/>
      <c r="CR137" s="16764"/>
      <c r="CS137" s="16764"/>
      <c r="CT137" s="16764"/>
      <c r="CU137" s="16764"/>
      <c r="CV137" s="16768" t="str">
        <f>CW135&amp;"-"&amp;CY135</f>
        <v>46569-46752</v>
      </c>
      <c r="CW137" s="16765"/>
      <c r="CX137" s="16760"/>
      <c r="CY137" s="16765"/>
      <c r="CZ137" s="16760"/>
      <c r="DA137" s="16764"/>
      <c r="DB137" s="16764"/>
      <c r="DC137" s="16764"/>
      <c r="DD137" s="16764"/>
      <c r="DE137" s="16768" t="str">
        <f>DF135&amp;"-"&amp;DH135</f>
        <v>46753-46934</v>
      </c>
      <c r="DF137" s="16765"/>
      <c r="DG137" s="16760"/>
      <c r="DH137" s="16765"/>
      <c r="DI137" s="16760"/>
      <c r="DJ137" s="16764"/>
      <c r="DK137" s="16764"/>
      <c r="DL137" s="16764"/>
      <c r="DM137" s="16764"/>
      <c r="DN137" s="16768" t="str">
        <f>DO135&amp;"-"&amp;DQ135</f>
        <v>46935-47118</v>
      </c>
      <c r="DO137" s="16765"/>
      <c r="DP137" s="16760"/>
      <c r="DQ137" s="16765"/>
      <c r="DR137" s="16760"/>
      <c r="DS137" s="17062"/>
      <c r="DT137" s="17062"/>
      <c r="DU137" s="17062"/>
      <c r="DV137" s="17062"/>
      <c r="DW137" s="17063"/>
      <c r="DX137" s="17064"/>
      <c r="DY137" s="17065"/>
      <c r="DZ137" s="17064"/>
      <c r="EA137" s="17065"/>
      <c r="EB137" s="11506"/>
      <c r="EC137" s="11517"/>
      <c r="ED137" s="11471"/>
      <c r="EE137" s="11472"/>
      <c r="EF137" s="11472" t="str">
        <f>IF(V137="","",V137)</f>
        <v/>
      </c>
      <c r="EG137" s="11472"/>
      <c r="EH137" s="11472"/>
      <c r="EI137" s="11462">
        <v>0</v>
      </c>
    </row>
    <row s="35739" customFormat="1" customHeight="1" ht="11.25">
      <c r="A138" s="8474"/>
      <c r="B138" s="8474"/>
      <c r="C138" s="8474"/>
      <c r="D138" s="8474"/>
      <c r="E138" s="11456"/>
      <c r="F138" s="11456" t="s">
        <v>94</v>
      </c>
      <c r="G138" s="11456"/>
      <c r="H138" s="11456"/>
      <c r="I138" s="11491"/>
      <c r="J138" s="11491"/>
      <c r="K138" s="11479"/>
      <c r="L138" s="8474"/>
      <c r="M138" s="11458"/>
      <c r="N138" s="11462"/>
      <c r="O138" s="11462"/>
      <c r="P138" s="11462"/>
      <c r="Q138" s="11481"/>
      <c r="R138" s="11481"/>
      <c r="S138" s="11481"/>
      <c r="T138" s="11492"/>
      <c r="U138" s="11759"/>
      <c r="V138" s="11760" t="s">
        <v>525</v>
      </c>
      <c r="W138" s="11761"/>
      <c r="X138" s="17062"/>
      <c r="Y138" s="17062"/>
      <c r="Z138" s="17062"/>
      <c r="AA138" s="17062"/>
      <c r="AB138" s="17069" t="str">
        <f>AC135&amp;"-"&amp;AE135</f>
        <v>-</v>
      </c>
      <c r="AC138" s="17065"/>
      <c r="AD138" s="17065"/>
      <c r="AE138" s="17065"/>
      <c r="AF138" s="17065"/>
      <c r="AG138" s="11767"/>
      <c r="AH138" s="11768"/>
      <c r="AI138" s="11769"/>
      <c r="AJ138" s="11770"/>
      <c r="AK138" s="11771"/>
      <c r="AL138" s="11510"/>
      <c r="AM138" s="8452"/>
      <c r="AN138" s="11510"/>
      <c r="AO138" s="8452"/>
      <c r="AP138" s="18950"/>
      <c r="AQ138" s="18951"/>
      <c r="AR138" s="18952"/>
      <c r="AS138" s="18953"/>
      <c r="AT138" s="18954"/>
      <c r="AU138" s="16765"/>
      <c r="AV138" s="16760"/>
      <c r="AW138" s="16765"/>
      <c r="AX138" s="16760"/>
      <c r="AY138" s="18955"/>
      <c r="AZ138" s="18956"/>
      <c r="BA138" s="18957"/>
      <c r="BB138" s="18958"/>
      <c r="BC138" s="18959"/>
      <c r="BD138" s="16765"/>
      <c r="BE138" s="16760"/>
      <c r="BF138" s="16765"/>
      <c r="BG138" s="16760"/>
      <c r="BH138" s="18960"/>
      <c r="BI138" s="18961"/>
      <c r="BJ138" s="18962"/>
      <c r="BK138" s="18963"/>
      <c r="BL138" s="18964"/>
      <c r="BM138" s="16765"/>
      <c r="BN138" s="16760"/>
      <c r="BO138" s="16765"/>
      <c r="BP138" s="16760"/>
      <c r="BQ138" s="18965"/>
      <c r="BR138" s="18966"/>
      <c r="BS138" s="18967"/>
      <c r="BT138" s="18968"/>
      <c r="BU138" s="18969"/>
      <c r="BV138" s="16765"/>
      <c r="BW138" s="16760"/>
      <c r="BX138" s="16765"/>
      <c r="BY138" s="16760"/>
      <c r="BZ138" s="18970"/>
      <c r="CA138" s="18971"/>
      <c r="CB138" s="18972"/>
      <c r="CC138" s="18973"/>
      <c r="CD138" s="18974"/>
      <c r="CE138" s="16765"/>
      <c r="CF138" s="16760"/>
      <c r="CG138" s="16765"/>
      <c r="CH138" s="16760"/>
      <c r="CI138" s="18975"/>
      <c r="CJ138" s="18976"/>
      <c r="CK138" s="18977"/>
      <c r="CL138" s="18978"/>
      <c r="CM138" s="18979"/>
      <c r="CN138" s="16765"/>
      <c r="CO138" s="16760"/>
      <c r="CP138" s="16765"/>
      <c r="CQ138" s="16760"/>
      <c r="CR138" s="18980"/>
      <c r="CS138" s="18981"/>
      <c r="CT138" s="18982"/>
      <c r="CU138" s="18983"/>
      <c r="CV138" s="18984"/>
      <c r="CW138" s="16765"/>
      <c r="CX138" s="16760"/>
      <c r="CY138" s="16765"/>
      <c r="CZ138" s="16760"/>
      <c r="DA138" s="18985"/>
      <c r="DB138" s="18986"/>
      <c r="DC138" s="18987"/>
      <c r="DD138" s="18988"/>
      <c r="DE138" s="18989"/>
      <c r="DF138" s="16765"/>
      <c r="DG138" s="16760"/>
      <c r="DH138" s="16765"/>
      <c r="DI138" s="16760"/>
      <c r="DJ138" s="18990"/>
      <c r="DK138" s="18991"/>
      <c r="DL138" s="18992"/>
      <c r="DM138" s="18993"/>
      <c r="DN138" s="18994"/>
      <c r="DO138" s="16765"/>
      <c r="DP138" s="16760"/>
      <c r="DQ138" s="16765"/>
      <c r="DR138" s="16760"/>
      <c r="DS138" s="17062"/>
      <c r="DT138" s="17062"/>
      <c r="DU138" s="17062"/>
      <c r="DV138" s="17062"/>
      <c r="DW138" s="17069" t="str">
        <f>DX135&amp;"-"&amp;DZ135</f>
        <v>-</v>
      </c>
      <c r="DX138" s="17065"/>
      <c r="DY138" s="17065"/>
      <c r="DZ138" s="17065"/>
      <c r="EA138" s="17065"/>
      <c r="EB138" s="11772"/>
      <c r="EC138" s="11517"/>
      <c r="ED138" s="11471"/>
      <c r="EE138" s="11472"/>
      <c r="EF138" s="11472"/>
      <c r="EG138" s="11472"/>
      <c r="EH138" s="11472"/>
      <c r="EI138" s="11462">
        <v>0</v>
      </c>
    </row>
    <row s="35794" customFormat="1" customHeight="1" ht="15">
      <c r="A139" s="8474"/>
      <c r="B139" s="8474"/>
      <c r="C139" s="8474"/>
      <c r="D139" s="8474"/>
      <c r="E139" s="11456"/>
      <c r="F139" s="11456" t="s">
        <v>94</v>
      </c>
      <c r="G139" s="11456"/>
      <c r="H139" s="11456"/>
      <c r="I139" s="11491"/>
      <c r="J139" s="11479"/>
      <c r="K139" s="8474"/>
      <c r="L139" s="8474"/>
      <c r="M139" s="11458"/>
      <c r="N139" s="11462"/>
      <c r="O139" s="11462"/>
      <c r="P139" s="11480"/>
      <c r="Q139" s="11481"/>
      <c r="R139" s="11481"/>
      <c r="S139" s="11481"/>
      <c r="T139" s="11482"/>
      <c r="U139" s="11774"/>
      <c r="V139" s="11775" t="s">
        <v>471</v>
      </c>
      <c r="W139" s="11776"/>
      <c r="X139" s="11777"/>
      <c r="Y139" s="11778"/>
      <c r="Z139" s="11779"/>
      <c r="AA139" s="11780"/>
      <c r="AB139" s="11781"/>
      <c r="AC139" s="11782"/>
      <c r="AD139" s="11783"/>
      <c r="AE139" s="11784"/>
      <c r="AF139" s="11785"/>
      <c r="AG139" s="11786"/>
      <c r="AH139" s="11787"/>
      <c r="AI139" s="11788"/>
      <c r="AJ139" s="11789"/>
      <c r="AK139" s="11790"/>
      <c r="AL139" s="11791"/>
      <c r="AM139" s="11792"/>
      <c r="AN139" s="11793"/>
      <c r="AO139" s="11794"/>
      <c r="AP139" s="19018"/>
      <c r="AQ139" s="19019"/>
      <c r="AR139" s="19020"/>
      <c r="AS139" s="19021"/>
      <c r="AT139" s="19022"/>
      <c r="AU139" s="19023"/>
      <c r="AV139" s="19024"/>
      <c r="AW139" s="19025"/>
      <c r="AX139" s="19026"/>
      <c r="AY139" s="19027"/>
      <c r="AZ139" s="19028"/>
      <c r="BA139" s="19029"/>
      <c r="BB139" s="19030"/>
      <c r="BC139" s="19031"/>
      <c r="BD139" s="19032"/>
      <c r="BE139" s="19033"/>
      <c r="BF139" s="19034"/>
      <c r="BG139" s="19035"/>
      <c r="BH139" s="19036"/>
      <c r="BI139" s="19037"/>
      <c r="BJ139" s="19038"/>
      <c r="BK139" s="19039"/>
      <c r="BL139" s="19040"/>
      <c r="BM139" s="19041"/>
      <c r="BN139" s="19042"/>
      <c r="BO139" s="19043"/>
      <c r="BP139" s="19044"/>
      <c r="BQ139" s="19045"/>
      <c r="BR139" s="19046"/>
      <c r="BS139" s="19047"/>
      <c r="BT139" s="19048"/>
      <c r="BU139" s="19049"/>
      <c r="BV139" s="19050"/>
      <c r="BW139" s="19051"/>
      <c r="BX139" s="19052"/>
      <c r="BY139" s="19053"/>
      <c r="BZ139" s="19054"/>
      <c r="CA139" s="19055"/>
      <c r="CB139" s="19056"/>
      <c r="CC139" s="19057"/>
      <c r="CD139" s="19058"/>
      <c r="CE139" s="19059"/>
      <c r="CF139" s="19060"/>
      <c r="CG139" s="19061"/>
      <c r="CH139" s="19062"/>
      <c r="CI139" s="19063"/>
      <c r="CJ139" s="19064"/>
      <c r="CK139" s="19065"/>
      <c r="CL139" s="19066"/>
      <c r="CM139" s="19067"/>
      <c r="CN139" s="19068"/>
      <c r="CO139" s="19069"/>
      <c r="CP139" s="19070"/>
      <c r="CQ139" s="19071"/>
      <c r="CR139" s="19072"/>
      <c r="CS139" s="19073"/>
      <c r="CT139" s="19074"/>
      <c r="CU139" s="19075"/>
      <c r="CV139" s="19076"/>
      <c r="CW139" s="19077"/>
      <c r="CX139" s="19078"/>
      <c r="CY139" s="19079"/>
      <c r="CZ139" s="19080"/>
      <c r="DA139" s="19081"/>
      <c r="DB139" s="19082"/>
      <c r="DC139" s="19083"/>
      <c r="DD139" s="19084"/>
      <c r="DE139" s="19085"/>
      <c r="DF139" s="19086"/>
      <c r="DG139" s="19087"/>
      <c r="DH139" s="19088"/>
      <c r="DI139" s="19089"/>
      <c r="DJ139" s="19090"/>
      <c r="DK139" s="19091"/>
      <c r="DL139" s="19092"/>
      <c r="DM139" s="19093"/>
      <c r="DN139" s="19094"/>
      <c r="DO139" s="19095"/>
      <c r="DP139" s="19096"/>
      <c r="DQ139" s="19097"/>
      <c r="DR139" s="19098"/>
      <c r="DS139" s="19099"/>
      <c r="DT139" s="19100"/>
      <c r="DU139" s="19101"/>
      <c r="DV139" s="19102"/>
      <c r="DW139" s="19103"/>
      <c r="DX139" s="19104"/>
      <c r="DY139" s="19105"/>
      <c r="DZ139" s="19106"/>
      <c r="EA139" s="19107"/>
      <c r="EB139" s="11795"/>
      <c r="EC139" s="11556"/>
      <c r="ED139" s="11471"/>
      <c r="EE139" s="11472"/>
      <c r="EF139" s="11472" t="str">
        <f>IF(V139="","",V139)</f>
        <v>Добавить вид теплоносителя (параметры теплоносителя)</v>
      </c>
      <c r="EG139" s="11472"/>
      <c r="EH139" s="11472"/>
      <c r="EI139" s="11462">
        <v>0</v>
      </c>
    </row>
    <row s="35907" customFormat="1" customHeight="1" ht="21">
      <c r="A140" s="17181"/>
      <c r="B140" s="17181"/>
      <c r="C140" s="17181"/>
      <c r="D140" s="17181"/>
      <c r="E140" s="17182"/>
      <c r="F140" s="17182"/>
      <c r="G140" s="17182"/>
      <c r="H140" s="17182"/>
      <c r="I140" s="17183"/>
      <c r="J140" s="17018" t="str">
        <f>I133&amp;".2"</f>
        <v>1.5.1.1.1.2</v>
      </c>
      <c r="K140" s="17181"/>
      <c r="L140" s="17181"/>
      <c r="M140" s="17184" t="s">
        <v>466</v>
      </c>
      <c r="N140" s="16741"/>
      <c r="O140" s="16741"/>
      <c r="P140" s="17185"/>
      <c r="Q140" s="17186"/>
      <c r="R140" s="17187" t="s">
        <v>106</v>
      </c>
      <c r="S140" s="17016"/>
      <c r="T140" s="17188"/>
      <c r="U140" s="17189" t="str">
        <f>$J140</f>
        <v>1.5.1.1.1.2</v>
      </c>
      <c r="V140" s="17190" t="s">
        <v>467</v>
      </c>
      <c r="W140" s="17191"/>
      <c r="X140" s="16750"/>
      <c r="Y140" s="16751"/>
      <c r="Z140" s="16751"/>
      <c r="AA140" s="16751"/>
      <c r="AB140" s="16751"/>
      <c r="AC140" s="16752"/>
      <c r="AD140" s="16752"/>
      <c r="AE140" s="16752"/>
      <c r="AF140" s="16753"/>
      <c r="AG140" s="16750" t="s">
        <v>510</v>
      </c>
      <c r="AH140" s="16751"/>
      <c r="AI140" s="16751"/>
      <c r="AJ140" s="16751"/>
      <c r="AK140" s="16751"/>
      <c r="AL140" s="16751"/>
      <c r="AM140" s="16751"/>
      <c r="AN140" s="16751"/>
      <c r="AO140" s="16751"/>
      <c r="AP140" s="16750"/>
      <c r="AQ140" s="16751"/>
      <c r="AR140" s="16751"/>
      <c r="AS140" s="16751"/>
      <c r="AT140" s="16751"/>
      <c r="AU140" s="16752"/>
      <c r="AV140" s="16752"/>
      <c r="AW140" s="16752"/>
      <c r="AX140" s="16753"/>
      <c r="AY140" s="16750"/>
      <c r="AZ140" s="16751"/>
      <c r="BA140" s="16751"/>
      <c r="BB140" s="16751"/>
      <c r="BC140" s="16751"/>
      <c r="BD140" s="16752"/>
      <c r="BE140" s="16752"/>
      <c r="BF140" s="16752"/>
      <c r="BG140" s="16753"/>
      <c r="BH140" s="16750"/>
      <c r="BI140" s="16751"/>
      <c r="BJ140" s="16751"/>
      <c r="BK140" s="16751"/>
      <c r="BL140" s="16751"/>
      <c r="BM140" s="16752"/>
      <c r="BN140" s="16752"/>
      <c r="BO140" s="16752"/>
      <c r="BP140" s="16753"/>
      <c r="BQ140" s="16750"/>
      <c r="BR140" s="16751"/>
      <c r="BS140" s="16751"/>
      <c r="BT140" s="16751"/>
      <c r="BU140" s="16751"/>
      <c r="BV140" s="16752"/>
      <c r="BW140" s="16752"/>
      <c r="BX140" s="16752"/>
      <c r="BY140" s="16753"/>
      <c r="BZ140" s="16750"/>
      <c r="CA140" s="16751"/>
      <c r="CB140" s="16751"/>
      <c r="CC140" s="16751"/>
      <c r="CD140" s="16751"/>
      <c r="CE140" s="16752"/>
      <c r="CF140" s="16752"/>
      <c r="CG140" s="16752"/>
      <c r="CH140" s="16753"/>
      <c r="CI140" s="16750"/>
      <c r="CJ140" s="16751"/>
      <c r="CK140" s="16751"/>
      <c r="CL140" s="16751"/>
      <c r="CM140" s="16751"/>
      <c r="CN140" s="16752"/>
      <c r="CO140" s="16752"/>
      <c r="CP140" s="16752"/>
      <c r="CQ140" s="16753"/>
      <c r="CR140" s="16750"/>
      <c r="CS140" s="16751"/>
      <c r="CT140" s="16751"/>
      <c r="CU140" s="16751"/>
      <c r="CV140" s="16751"/>
      <c r="CW140" s="16752"/>
      <c r="CX140" s="16752"/>
      <c r="CY140" s="16752"/>
      <c r="CZ140" s="16753"/>
      <c r="DA140" s="16750"/>
      <c r="DB140" s="16751"/>
      <c r="DC140" s="16751"/>
      <c r="DD140" s="16751"/>
      <c r="DE140" s="16751"/>
      <c r="DF140" s="16752"/>
      <c r="DG140" s="16752"/>
      <c r="DH140" s="16752"/>
      <c r="DI140" s="16753"/>
      <c r="DJ140" s="16750"/>
      <c r="DK140" s="16751"/>
      <c r="DL140" s="16751"/>
      <c r="DM140" s="16751"/>
      <c r="DN140" s="16751"/>
      <c r="DO140" s="16752"/>
      <c r="DP140" s="16752"/>
      <c r="DQ140" s="16752"/>
      <c r="DR140" s="16753"/>
      <c r="DS140" s="16750"/>
      <c r="DT140" s="16751"/>
      <c r="DU140" s="16751"/>
      <c r="DV140" s="16751"/>
      <c r="DW140" s="16751"/>
      <c r="DX140" s="16752"/>
      <c r="DY140" s="16752"/>
      <c r="DZ140" s="16752"/>
      <c r="EA140" s="16753"/>
      <c r="EB140" s="17192"/>
      <c r="EC140" s="17193" t="s">
        <v>468</v>
      </c>
      <c r="ED140" s="17016"/>
      <c r="EE140" s="17194"/>
      <c r="EF140" s="17194" t="str">
        <f>IF(V140="","",V140)</f>
        <v>Группа потребителей</v>
      </c>
      <c r="EG140" s="17194"/>
      <c r="EH140" s="17194"/>
      <c r="EI140" s="16741">
        <v>0</v>
      </c>
    </row>
    <row s="35908" customFormat="1" customHeight="1" ht="21">
      <c r="A141" s="17181"/>
      <c r="B141" s="17181"/>
      <c r="C141" s="17181"/>
      <c r="D141" s="17181"/>
      <c r="E141" s="17182"/>
      <c r="F141" s="17182"/>
      <c r="G141" s="17182"/>
      <c r="H141" s="17182"/>
      <c r="I141" s="17183"/>
      <c r="J141" s="17183" t="str">
        <f>I133&amp;".1"</f>
        <v>1.5.1.1.1.1</v>
      </c>
      <c r="K141" s="17018" t="str">
        <f>J140&amp;".1"</f>
        <v>1.5.1.1.1.2.1</v>
      </c>
      <c r="L141" s="17196"/>
      <c r="M141" s="17184" t="s">
        <v>469</v>
      </c>
      <c r="N141" s="16741"/>
      <c r="O141" s="16741"/>
      <c r="P141" s="16741"/>
      <c r="Q141" s="17186"/>
      <c r="R141" s="17186"/>
      <c r="S141" s="17186">
        <v>1</v>
      </c>
      <c r="T141" s="17188"/>
      <c r="U141" s="17189" t="str">
        <f>$K141</f>
        <v>1.5.1.1.1.2.1</v>
      </c>
      <c r="V141" s="17197" t="s">
        <v>508</v>
      </c>
      <c r="W141" s="17191"/>
      <c r="X141" s="17062"/>
      <c r="Y141" s="17062"/>
      <c r="Z141" s="17062"/>
      <c r="AA141" s="17062"/>
      <c r="AB141" s="17063"/>
      <c r="AC141" s="17064"/>
      <c r="AD141" s="17065" t="s">
        <v>64</v>
      </c>
      <c r="AE141" s="17064"/>
      <c r="AF141" s="17065" t="s">
        <v>64</v>
      </c>
      <c r="AG141" s="17066"/>
      <c r="AH141" s="16757">
        <v>438</v>
      </c>
      <c r="AI141" s="16757">
        <v>2288.38</v>
      </c>
      <c r="AJ141" s="16757"/>
      <c r="AK141" s="17067"/>
      <c r="AL141" s="16759">
        <v>45292</v>
      </c>
      <c r="AM141" s="16760" t="s">
        <v>64</v>
      </c>
      <c r="AN141" s="16759">
        <v>45473</v>
      </c>
      <c r="AO141" s="16760" t="s">
        <v>64</v>
      </c>
      <c r="AP141" s="16757"/>
      <c r="AQ141" s="16757">
        <v>479.56</v>
      </c>
      <c r="AR141" s="16757">
        <v>2631.64</v>
      </c>
      <c r="AS141" s="16757"/>
      <c r="AT141" s="16758"/>
      <c r="AU141" s="16759">
        <v>45474</v>
      </c>
      <c r="AV141" s="16760" t="s">
        <v>64</v>
      </c>
      <c r="AW141" s="16759">
        <v>45657</v>
      </c>
      <c r="AX141" s="16760" t="s">
        <v>64</v>
      </c>
      <c r="AY141" s="16757"/>
      <c r="AZ141" s="16757">
        <v>479.56</v>
      </c>
      <c r="BA141" s="16757">
        <v>2631.64</v>
      </c>
      <c r="BB141" s="16757"/>
      <c r="BC141" s="16758"/>
      <c r="BD141" s="16759">
        <v>45658</v>
      </c>
      <c r="BE141" s="16760" t="s">
        <v>64</v>
      </c>
      <c r="BF141" s="16759">
        <v>45838</v>
      </c>
      <c r="BG141" s="16760" t="s">
        <v>64</v>
      </c>
      <c r="BH141" s="16757"/>
      <c r="BI141" s="16757">
        <v>538.06</v>
      </c>
      <c r="BJ141" s="16757">
        <v>2952.7</v>
      </c>
      <c r="BK141" s="16757"/>
      <c r="BL141" s="16758"/>
      <c r="BM141" s="16759">
        <v>45839</v>
      </c>
      <c r="BN141" s="16760" t="s">
        <v>64</v>
      </c>
      <c r="BO141" s="16759">
        <v>46022</v>
      </c>
      <c r="BP141" s="16760" t="s">
        <v>64</v>
      </c>
      <c r="BQ141" s="16757"/>
      <c r="BR141" s="16757">
        <v>524.58</v>
      </c>
      <c r="BS141" s="16757">
        <v>2761.96</v>
      </c>
      <c r="BT141" s="16757"/>
      <c r="BU141" s="16758"/>
      <c r="BV141" s="16759">
        <v>46023</v>
      </c>
      <c r="BW141" s="16760" t="s">
        <v>64</v>
      </c>
      <c r="BX141" s="16759">
        <v>46203</v>
      </c>
      <c r="BY141" s="16760" t="s">
        <v>64</v>
      </c>
      <c r="BZ141" s="16757"/>
      <c r="CA141" s="16757">
        <v>572.56</v>
      </c>
      <c r="CB141" s="16757">
        <v>2761.96</v>
      </c>
      <c r="CC141" s="16757"/>
      <c r="CD141" s="16758"/>
      <c r="CE141" s="16759">
        <v>46204</v>
      </c>
      <c r="CF141" s="16760" t="s">
        <v>64</v>
      </c>
      <c r="CG141" s="16759">
        <v>46387</v>
      </c>
      <c r="CH141" s="16760" t="s">
        <v>64</v>
      </c>
      <c r="CI141" s="16757"/>
      <c r="CJ141" s="16757">
        <v>572.56</v>
      </c>
      <c r="CK141" s="16757">
        <v>2761.96</v>
      </c>
      <c r="CL141" s="16757"/>
      <c r="CM141" s="16758"/>
      <c r="CN141" s="16759">
        <v>46388</v>
      </c>
      <c r="CO141" s="16760" t="s">
        <v>64</v>
      </c>
      <c r="CP141" s="16759">
        <v>46568</v>
      </c>
      <c r="CQ141" s="16760" t="s">
        <v>64</v>
      </c>
      <c r="CR141" s="16757"/>
      <c r="CS141" s="16757">
        <v>596.03</v>
      </c>
      <c r="CT141" s="16757">
        <v>2841.34</v>
      </c>
      <c r="CU141" s="16757"/>
      <c r="CV141" s="16758"/>
      <c r="CW141" s="16759">
        <v>46569</v>
      </c>
      <c r="CX141" s="16760" t="s">
        <v>64</v>
      </c>
      <c r="CY141" s="16759">
        <v>46752</v>
      </c>
      <c r="CZ141" s="16760" t="s">
        <v>64</v>
      </c>
      <c r="DA141" s="16757"/>
      <c r="DB141" s="16757">
        <v>596.03</v>
      </c>
      <c r="DC141" s="16757">
        <v>2841.34</v>
      </c>
      <c r="DD141" s="16757"/>
      <c r="DE141" s="16758"/>
      <c r="DF141" s="16759">
        <v>46753</v>
      </c>
      <c r="DG141" s="16760" t="s">
        <v>64</v>
      </c>
      <c r="DH141" s="16759">
        <v>46934</v>
      </c>
      <c r="DI141" s="16760" t="s">
        <v>64</v>
      </c>
      <c r="DJ141" s="16757"/>
      <c r="DK141" s="16757">
        <v>600.84</v>
      </c>
      <c r="DL141" s="16757">
        <v>2880.76</v>
      </c>
      <c r="DM141" s="16757"/>
      <c r="DN141" s="16758"/>
      <c r="DO141" s="16759">
        <v>46935</v>
      </c>
      <c r="DP141" s="16760" t="s">
        <v>64</v>
      </c>
      <c r="DQ141" s="16759">
        <v>47118</v>
      </c>
      <c r="DR141" s="16760" t="s">
        <v>19</v>
      </c>
      <c r="DS141" s="17062"/>
      <c r="DT141" s="17062"/>
      <c r="DU141" s="17062"/>
      <c r="DV141" s="17062"/>
      <c r="DW141" s="17063"/>
      <c r="DX141" s="17064"/>
      <c r="DY141" s="17065" t="s">
        <v>64</v>
      </c>
      <c r="DZ141" s="17064"/>
      <c r="EA141" s="17065" t="s">
        <v>64</v>
      </c>
      <c r="EB141" s="16764"/>
      <c r="EC141" s="17198" t="s">
        <v>523</v>
      </c>
      <c r="ED141" s="17016">
        <f>STRCHECKDATE(X143:EB143)</f>
      </c>
      <c r="EE141" s="17194"/>
      <c r="EF141" s="17194" t="str">
        <f>IF(V141="","",V141)</f>
        <v>вода</v>
      </c>
      <c r="EG141" s="17194"/>
      <c r="EH141" s="17194"/>
      <c r="EI141" s="16741">
        <v>0</v>
      </c>
    </row>
    <row s="35909" customFormat="1" customHeight="1" ht="21">
      <c r="A142" s="17181"/>
      <c r="B142" s="17181"/>
      <c r="C142" s="17181"/>
      <c r="D142" s="17181"/>
      <c r="E142" s="17182"/>
      <c r="F142" s="17182"/>
      <c r="G142" s="17182"/>
      <c r="H142" s="17182"/>
      <c r="I142" s="17183"/>
      <c r="J142" s="17183" t="str">
        <f>I133&amp;".1"</f>
        <v>1.5.1.1.1.1</v>
      </c>
      <c r="K142" s="17183"/>
      <c r="L142" s="17018" t="str">
        <f>K141&amp;".1"</f>
        <v>1.5.1.1.1.2.1.1</v>
      </c>
      <c r="M142" s="17184"/>
      <c r="N142" s="16741"/>
      <c r="O142" s="16741"/>
      <c r="P142" s="16741"/>
      <c r="Q142" s="17186"/>
      <c r="R142" s="17186"/>
      <c r="S142" s="17186"/>
      <c r="T142" s="17188"/>
      <c r="U142" s="17189" t="str">
        <f>$L142</f>
        <v>1.5.1.1.1.2.1.1</v>
      </c>
      <c r="V142" s="17200"/>
      <c r="W142" s="17191"/>
      <c r="X142" s="17062"/>
      <c r="Y142" s="17062"/>
      <c r="Z142" s="17062"/>
      <c r="AA142" s="17062"/>
      <c r="AB142" s="17063"/>
      <c r="AC142" s="17064"/>
      <c r="AD142" s="17065"/>
      <c r="AE142" s="17064"/>
      <c r="AF142" s="17065"/>
      <c r="AG142" s="17066"/>
      <c r="AH142" s="16757"/>
      <c r="AI142" s="16757"/>
      <c r="AJ142" s="16757"/>
      <c r="AK142" s="17067"/>
      <c r="AL142" s="16765"/>
      <c r="AM142" s="16760"/>
      <c r="AN142" s="16765"/>
      <c r="AO142" s="16760"/>
      <c r="AP142" s="16764"/>
      <c r="AQ142" s="16757"/>
      <c r="AR142" s="16757"/>
      <c r="AS142" s="16757"/>
      <c r="AT142" s="16758"/>
      <c r="AU142" s="16765"/>
      <c r="AV142" s="16760"/>
      <c r="AW142" s="16765"/>
      <c r="AX142" s="16760"/>
      <c r="AY142" s="16764"/>
      <c r="AZ142" s="16757"/>
      <c r="BA142" s="16757"/>
      <c r="BB142" s="16757"/>
      <c r="BC142" s="16758"/>
      <c r="BD142" s="16765"/>
      <c r="BE142" s="16760"/>
      <c r="BF142" s="16765"/>
      <c r="BG142" s="16760"/>
      <c r="BH142" s="16764"/>
      <c r="BI142" s="16757"/>
      <c r="BJ142" s="16757"/>
      <c r="BK142" s="16757"/>
      <c r="BL142" s="16758"/>
      <c r="BM142" s="16765"/>
      <c r="BN142" s="16760"/>
      <c r="BO142" s="16765"/>
      <c r="BP142" s="16760"/>
      <c r="BQ142" s="16764"/>
      <c r="BR142" s="16757"/>
      <c r="BS142" s="16757"/>
      <c r="BT142" s="16757"/>
      <c r="BU142" s="16758"/>
      <c r="BV142" s="16765"/>
      <c r="BW142" s="16760"/>
      <c r="BX142" s="16765"/>
      <c r="BY142" s="16760"/>
      <c r="BZ142" s="16764"/>
      <c r="CA142" s="16757"/>
      <c r="CB142" s="16757"/>
      <c r="CC142" s="16757"/>
      <c r="CD142" s="16758"/>
      <c r="CE142" s="16765"/>
      <c r="CF142" s="16760"/>
      <c r="CG142" s="16765"/>
      <c r="CH142" s="16760"/>
      <c r="CI142" s="16764"/>
      <c r="CJ142" s="16757"/>
      <c r="CK142" s="16757"/>
      <c r="CL142" s="16757"/>
      <c r="CM142" s="16758"/>
      <c r="CN142" s="16765"/>
      <c r="CO142" s="16760"/>
      <c r="CP142" s="16765"/>
      <c r="CQ142" s="16760"/>
      <c r="CR142" s="16764"/>
      <c r="CS142" s="16757"/>
      <c r="CT142" s="16757"/>
      <c r="CU142" s="16757"/>
      <c r="CV142" s="16758"/>
      <c r="CW142" s="16765"/>
      <c r="CX142" s="16760"/>
      <c r="CY142" s="16765"/>
      <c r="CZ142" s="16760"/>
      <c r="DA142" s="16764"/>
      <c r="DB142" s="16757"/>
      <c r="DC142" s="16757"/>
      <c r="DD142" s="16757"/>
      <c r="DE142" s="16758"/>
      <c r="DF142" s="16765"/>
      <c r="DG142" s="16760"/>
      <c r="DH142" s="16765"/>
      <c r="DI142" s="16760"/>
      <c r="DJ142" s="16764"/>
      <c r="DK142" s="16757"/>
      <c r="DL142" s="16757"/>
      <c r="DM142" s="16757"/>
      <c r="DN142" s="16758"/>
      <c r="DO142" s="16765"/>
      <c r="DP142" s="16760"/>
      <c r="DQ142" s="16765"/>
      <c r="DR142" s="16760"/>
      <c r="DS142" s="17062"/>
      <c r="DT142" s="17062"/>
      <c r="DU142" s="17062"/>
      <c r="DV142" s="17062"/>
      <c r="DW142" s="17063"/>
      <c r="DX142" s="17064"/>
      <c r="DY142" s="17065"/>
      <c r="DZ142" s="17064"/>
      <c r="EA142" s="17065"/>
      <c r="EB142" s="16764"/>
      <c r="EC142" s="17201" t="s">
        <v>524</v>
      </c>
      <c r="ED142" s="17016"/>
      <c r="EE142" s="17194"/>
      <c r="EF142" s="17194"/>
      <c r="EG142" s="17194"/>
      <c r="EH142" s="17194"/>
      <c r="EI142" s="16741">
        <v>0</v>
      </c>
    </row>
    <row s="35910" customFormat="1" customHeight="1" ht="14.25">
      <c r="A143" s="17181"/>
      <c r="B143" s="17181"/>
      <c r="C143" s="17181"/>
      <c r="D143" s="17181"/>
      <c r="E143" s="17182"/>
      <c r="F143" s="17182"/>
      <c r="G143" s="17182"/>
      <c r="H143" s="17182"/>
      <c r="I143" s="17183"/>
      <c r="J143" s="17183" t="str">
        <f>I133&amp;".1"</f>
        <v>1.5.1.1.1.1</v>
      </c>
      <c r="K143" s="17183"/>
      <c r="L143" s="17018"/>
      <c r="M143" s="17184"/>
      <c r="N143" s="16741"/>
      <c r="O143" s="16741"/>
      <c r="P143" s="16741"/>
      <c r="Q143" s="17186"/>
      <c r="R143" s="17186"/>
      <c r="S143" s="17186"/>
      <c r="T143" s="17188"/>
      <c r="U143" s="17203"/>
      <c r="V143" s="17191"/>
      <c r="W143" s="17191"/>
      <c r="X143" s="17062"/>
      <c r="Y143" s="17062"/>
      <c r="Z143" s="17062"/>
      <c r="AA143" s="17062"/>
      <c r="AB143" s="17063"/>
      <c r="AC143" s="17064"/>
      <c r="AD143" s="17065"/>
      <c r="AE143" s="17064"/>
      <c r="AF143" s="17065"/>
      <c r="AG143" s="17068"/>
      <c r="AH143" s="16764"/>
      <c r="AI143" s="16764"/>
      <c r="AJ143" s="16764"/>
      <c r="AK143" s="17069" t="str">
        <f>AL141&amp;"-"&amp;AN141</f>
        <v>45292-45473</v>
      </c>
      <c r="AL143" s="16765"/>
      <c r="AM143" s="16760"/>
      <c r="AN143" s="16765"/>
      <c r="AO143" s="16760"/>
      <c r="AP143" s="16764"/>
      <c r="AQ143" s="16764"/>
      <c r="AR143" s="16764"/>
      <c r="AS143" s="16764"/>
      <c r="AT143" s="16768" t="str">
        <f>AU141&amp;"-"&amp;AW141</f>
        <v>45474-45657</v>
      </c>
      <c r="AU143" s="16765"/>
      <c r="AV143" s="16760"/>
      <c r="AW143" s="16765"/>
      <c r="AX143" s="16760"/>
      <c r="AY143" s="16764"/>
      <c r="AZ143" s="16764"/>
      <c r="BA143" s="16764"/>
      <c r="BB143" s="16764"/>
      <c r="BC143" s="16768" t="str">
        <f>BD141&amp;"-"&amp;BF141</f>
        <v>45658-45838</v>
      </c>
      <c r="BD143" s="16765"/>
      <c r="BE143" s="16760"/>
      <c r="BF143" s="16765"/>
      <c r="BG143" s="16760"/>
      <c r="BH143" s="16764"/>
      <c r="BI143" s="16764"/>
      <c r="BJ143" s="16764"/>
      <c r="BK143" s="16764"/>
      <c r="BL143" s="16768" t="str">
        <f>BM141&amp;"-"&amp;BO141</f>
        <v>45839-46022</v>
      </c>
      <c r="BM143" s="16765"/>
      <c r="BN143" s="16760"/>
      <c r="BO143" s="16765"/>
      <c r="BP143" s="16760"/>
      <c r="BQ143" s="16764"/>
      <c r="BR143" s="16764"/>
      <c r="BS143" s="16764"/>
      <c r="BT143" s="16764"/>
      <c r="BU143" s="16768" t="str">
        <f>BV141&amp;"-"&amp;BX141</f>
        <v>46023-46203</v>
      </c>
      <c r="BV143" s="16765"/>
      <c r="BW143" s="16760"/>
      <c r="BX143" s="16765"/>
      <c r="BY143" s="16760"/>
      <c r="BZ143" s="16764"/>
      <c r="CA143" s="16764"/>
      <c r="CB143" s="16764"/>
      <c r="CC143" s="16764"/>
      <c r="CD143" s="16768" t="str">
        <f>CE141&amp;"-"&amp;CG141</f>
        <v>46204-46387</v>
      </c>
      <c r="CE143" s="16765"/>
      <c r="CF143" s="16760"/>
      <c r="CG143" s="16765"/>
      <c r="CH143" s="16760"/>
      <c r="CI143" s="16764"/>
      <c r="CJ143" s="16764"/>
      <c r="CK143" s="16764"/>
      <c r="CL143" s="16764"/>
      <c r="CM143" s="16768" t="str">
        <f>CN141&amp;"-"&amp;CP141</f>
        <v>46388-46568</v>
      </c>
      <c r="CN143" s="16765"/>
      <c r="CO143" s="16760"/>
      <c r="CP143" s="16765"/>
      <c r="CQ143" s="16760"/>
      <c r="CR143" s="16764"/>
      <c r="CS143" s="16764"/>
      <c r="CT143" s="16764"/>
      <c r="CU143" s="16764"/>
      <c r="CV143" s="16768" t="str">
        <f>CW141&amp;"-"&amp;CY141</f>
        <v>46569-46752</v>
      </c>
      <c r="CW143" s="16765"/>
      <c r="CX143" s="16760"/>
      <c r="CY143" s="16765"/>
      <c r="CZ143" s="16760"/>
      <c r="DA143" s="16764"/>
      <c r="DB143" s="16764"/>
      <c r="DC143" s="16764"/>
      <c r="DD143" s="16764"/>
      <c r="DE143" s="16768" t="str">
        <f>DF141&amp;"-"&amp;DH141</f>
        <v>46753-46934</v>
      </c>
      <c r="DF143" s="16765"/>
      <c r="DG143" s="16760"/>
      <c r="DH143" s="16765"/>
      <c r="DI143" s="16760"/>
      <c r="DJ143" s="16764"/>
      <c r="DK143" s="16764"/>
      <c r="DL143" s="16764"/>
      <c r="DM143" s="16764"/>
      <c r="DN143" s="16768" t="str">
        <f>DO141&amp;"-"&amp;DQ141</f>
        <v>46935-47118</v>
      </c>
      <c r="DO143" s="16765"/>
      <c r="DP143" s="16760"/>
      <c r="DQ143" s="16765"/>
      <c r="DR143" s="16760"/>
      <c r="DS143" s="17062"/>
      <c r="DT143" s="17062"/>
      <c r="DU143" s="17062"/>
      <c r="DV143" s="17062"/>
      <c r="DW143" s="17063"/>
      <c r="DX143" s="17064"/>
      <c r="DY143" s="17065"/>
      <c r="DZ143" s="17064"/>
      <c r="EA143" s="17065"/>
      <c r="EB143" s="16764"/>
      <c r="EC143" s="17204"/>
      <c r="ED143" s="17016"/>
      <c r="EE143" s="17194"/>
      <c r="EF143" s="17194" t="str">
        <f>IF(V143="","",V143)</f>
        <v/>
      </c>
      <c r="EG143" s="17194"/>
      <c r="EH143" s="17194"/>
      <c r="EI143" s="16741">
        <v>0</v>
      </c>
    </row>
    <row s="35911" customFormat="1" customHeight="1" ht="11.25">
      <c r="A144" s="17181"/>
      <c r="B144" s="17181"/>
      <c r="C144" s="17181"/>
      <c r="D144" s="17181"/>
      <c r="E144" s="17182"/>
      <c r="F144" s="17182"/>
      <c r="G144" s="17182"/>
      <c r="H144" s="17182"/>
      <c r="I144" s="17183"/>
      <c r="J144" s="17183" t="str">
        <f>I133&amp;".1"</f>
        <v>1.5.1.1.1.1</v>
      </c>
      <c r="K144" s="17018"/>
      <c r="L144" s="17181"/>
      <c r="M144" s="17184"/>
      <c r="N144" s="16741"/>
      <c r="O144" s="16741"/>
      <c r="P144" s="16741"/>
      <c r="Q144" s="17186"/>
      <c r="R144" s="17186"/>
      <c r="S144" s="17186"/>
      <c r="T144" s="17188"/>
      <c r="U144" s="19114"/>
      <c r="V144" s="19115" t="s">
        <v>525</v>
      </c>
      <c r="W144" s="19116"/>
      <c r="X144" s="17062"/>
      <c r="Y144" s="17062"/>
      <c r="Z144" s="17062"/>
      <c r="AA144" s="17062"/>
      <c r="AB144" s="17069" t="str">
        <f>AC141&amp;"-"&amp;AE141</f>
        <v>-</v>
      </c>
      <c r="AC144" s="17065"/>
      <c r="AD144" s="17065"/>
      <c r="AE144" s="17065"/>
      <c r="AF144" s="17065"/>
      <c r="AG144" s="19117"/>
      <c r="AH144" s="19118"/>
      <c r="AI144" s="19119"/>
      <c r="AJ144" s="19120"/>
      <c r="AK144" s="19121"/>
      <c r="AL144" s="16765"/>
      <c r="AM144" s="16760"/>
      <c r="AN144" s="16765"/>
      <c r="AO144" s="16760"/>
      <c r="AP144" s="19122"/>
      <c r="AQ144" s="19123"/>
      <c r="AR144" s="19124"/>
      <c r="AS144" s="19125"/>
      <c r="AT144" s="19126"/>
      <c r="AU144" s="16765"/>
      <c r="AV144" s="16760"/>
      <c r="AW144" s="16765"/>
      <c r="AX144" s="16760"/>
      <c r="AY144" s="19127"/>
      <c r="AZ144" s="19128"/>
      <c r="BA144" s="19129"/>
      <c r="BB144" s="19130"/>
      <c r="BC144" s="19131"/>
      <c r="BD144" s="16765"/>
      <c r="BE144" s="16760"/>
      <c r="BF144" s="16765"/>
      <c r="BG144" s="16760"/>
      <c r="BH144" s="19132"/>
      <c r="BI144" s="19133"/>
      <c r="BJ144" s="19134"/>
      <c r="BK144" s="19135"/>
      <c r="BL144" s="19136"/>
      <c r="BM144" s="16765"/>
      <c r="BN144" s="16760"/>
      <c r="BO144" s="16765"/>
      <c r="BP144" s="16760"/>
      <c r="BQ144" s="19137"/>
      <c r="BR144" s="19138"/>
      <c r="BS144" s="19139"/>
      <c r="BT144" s="19140"/>
      <c r="BU144" s="19141"/>
      <c r="BV144" s="16765"/>
      <c r="BW144" s="16760"/>
      <c r="BX144" s="16765"/>
      <c r="BY144" s="16760"/>
      <c r="BZ144" s="19142"/>
      <c r="CA144" s="19143"/>
      <c r="CB144" s="19144"/>
      <c r="CC144" s="19145"/>
      <c r="CD144" s="19146"/>
      <c r="CE144" s="16765"/>
      <c r="CF144" s="16760"/>
      <c r="CG144" s="16765"/>
      <c r="CH144" s="16760"/>
      <c r="CI144" s="19147"/>
      <c r="CJ144" s="19148"/>
      <c r="CK144" s="19149"/>
      <c r="CL144" s="19150"/>
      <c r="CM144" s="19151"/>
      <c r="CN144" s="16765"/>
      <c r="CO144" s="16760"/>
      <c r="CP144" s="16765"/>
      <c r="CQ144" s="16760"/>
      <c r="CR144" s="19152"/>
      <c r="CS144" s="19153"/>
      <c r="CT144" s="19154"/>
      <c r="CU144" s="19155"/>
      <c r="CV144" s="19156"/>
      <c r="CW144" s="16765"/>
      <c r="CX144" s="16760"/>
      <c r="CY144" s="16765"/>
      <c r="CZ144" s="16760"/>
      <c r="DA144" s="19157"/>
      <c r="DB144" s="19158"/>
      <c r="DC144" s="19159"/>
      <c r="DD144" s="19160"/>
      <c r="DE144" s="19161"/>
      <c r="DF144" s="16765"/>
      <c r="DG144" s="16760"/>
      <c r="DH144" s="16765"/>
      <c r="DI144" s="16760"/>
      <c r="DJ144" s="19162"/>
      <c r="DK144" s="19163"/>
      <c r="DL144" s="19164"/>
      <c r="DM144" s="19165"/>
      <c r="DN144" s="19166"/>
      <c r="DO144" s="16765"/>
      <c r="DP144" s="16760"/>
      <c r="DQ144" s="16765"/>
      <c r="DR144" s="16760"/>
      <c r="DS144" s="17062"/>
      <c r="DT144" s="17062"/>
      <c r="DU144" s="17062"/>
      <c r="DV144" s="17062"/>
      <c r="DW144" s="17069" t="str">
        <f>DX141&amp;"-"&amp;DZ141</f>
        <v>-</v>
      </c>
      <c r="DX144" s="17065"/>
      <c r="DY144" s="17065"/>
      <c r="DZ144" s="17065"/>
      <c r="EA144" s="17065"/>
      <c r="EB144" s="19167"/>
      <c r="EC144" s="17204"/>
      <c r="ED144" s="17016"/>
      <c r="EE144" s="17194"/>
      <c r="EF144" s="17194"/>
      <c r="EG144" s="17194"/>
      <c r="EH144" s="17194"/>
      <c r="EI144" s="16741">
        <v>0</v>
      </c>
    </row>
    <row s="35966" customFormat="1" customHeight="1" ht="15">
      <c r="A145" s="17181"/>
      <c r="B145" s="17181"/>
      <c r="C145" s="17181"/>
      <c r="D145" s="17181"/>
      <c r="E145" s="17182"/>
      <c r="F145" s="17182"/>
      <c r="G145" s="17182"/>
      <c r="H145" s="17182"/>
      <c r="I145" s="17183"/>
      <c r="J145" s="17018" t="str">
        <f>I133&amp;".1"</f>
        <v>1.5.1.1.1.1</v>
      </c>
      <c r="K145" s="17181"/>
      <c r="L145" s="17181"/>
      <c r="M145" s="17184"/>
      <c r="N145" s="16741"/>
      <c r="O145" s="16741"/>
      <c r="P145" s="17185"/>
      <c r="Q145" s="17186"/>
      <c r="R145" s="17186"/>
      <c r="S145" s="17186"/>
      <c r="T145" s="17261"/>
      <c r="U145" s="19169"/>
      <c r="V145" s="19170" t="s">
        <v>471</v>
      </c>
      <c r="W145" s="19171"/>
      <c r="X145" s="19172"/>
      <c r="Y145" s="19173"/>
      <c r="Z145" s="19174"/>
      <c r="AA145" s="19175"/>
      <c r="AB145" s="19176"/>
      <c r="AC145" s="19177"/>
      <c r="AD145" s="19178"/>
      <c r="AE145" s="19179"/>
      <c r="AF145" s="19180"/>
      <c r="AG145" s="19181"/>
      <c r="AH145" s="19182"/>
      <c r="AI145" s="19183"/>
      <c r="AJ145" s="19184"/>
      <c r="AK145" s="19185"/>
      <c r="AL145" s="19186"/>
      <c r="AM145" s="19187"/>
      <c r="AN145" s="19188"/>
      <c r="AO145" s="19189"/>
      <c r="AP145" s="19190"/>
      <c r="AQ145" s="19191"/>
      <c r="AR145" s="19192"/>
      <c r="AS145" s="19193"/>
      <c r="AT145" s="19194"/>
      <c r="AU145" s="19195"/>
      <c r="AV145" s="19196"/>
      <c r="AW145" s="19197"/>
      <c r="AX145" s="19198"/>
      <c r="AY145" s="19199"/>
      <c r="AZ145" s="19200"/>
      <c r="BA145" s="19201"/>
      <c r="BB145" s="19202"/>
      <c r="BC145" s="19203"/>
      <c r="BD145" s="19204"/>
      <c r="BE145" s="19205"/>
      <c r="BF145" s="19206"/>
      <c r="BG145" s="19207"/>
      <c r="BH145" s="19208"/>
      <c r="BI145" s="19209"/>
      <c r="BJ145" s="19210"/>
      <c r="BK145" s="19211"/>
      <c r="BL145" s="19212"/>
      <c r="BM145" s="19213"/>
      <c r="BN145" s="19214"/>
      <c r="BO145" s="19215"/>
      <c r="BP145" s="19216"/>
      <c r="BQ145" s="19217"/>
      <c r="BR145" s="19218"/>
      <c r="BS145" s="19219"/>
      <c r="BT145" s="19220"/>
      <c r="BU145" s="19221"/>
      <c r="BV145" s="19222"/>
      <c r="BW145" s="19223"/>
      <c r="BX145" s="19224"/>
      <c r="BY145" s="19225"/>
      <c r="BZ145" s="19226"/>
      <c r="CA145" s="19227"/>
      <c r="CB145" s="19228"/>
      <c r="CC145" s="19229"/>
      <c r="CD145" s="19230"/>
      <c r="CE145" s="19231"/>
      <c r="CF145" s="19232"/>
      <c r="CG145" s="19233"/>
      <c r="CH145" s="19234"/>
      <c r="CI145" s="19235"/>
      <c r="CJ145" s="19236"/>
      <c r="CK145" s="19237"/>
      <c r="CL145" s="19238"/>
      <c r="CM145" s="19239"/>
      <c r="CN145" s="19240"/>
      <c r="CO145" s="19241"/>
      <c r="CP145" s="19242"/>
      <c r="CQ145" s="19243"/>
      <c r="CR145" s="19244"/>
      <c r="CS145" s="19245"/>
      <c r="CT145" s="19246"/>
      <c r="CU145" s="19247"/>
      <c r="CV145" s="19248"/>
      <c r="CW145" s="19249"/>
      <c r="CX145" s="19250"/>
      <c r="CY145" s="19251"/>
      <c r="CZ145" s="19252"/>
      <c r="DA145" s="19253"/>
      <c r="DB145" s="19254"/>
      <c r="DC145" s="19255"/>
      <c r="DD145" s="19256"/>
      <c r="DE145" s="19257"/>
      <c r="DF145" s="19258"/>
      <c r="DG145" s="19259"/>
      <c r="DH145" s="19260"/>
      <c r="DI145" s="19261"/>
      <c r="DJ145" s="19262"/>
      <c r="DK145" s="19263"/>
      <c r="DL145" s="19264"/>
      <c r="DM145" s="19265"/>
      <c r="DN145" s="19266"/>
      <c r="DO145" s="19267"/>
      <c r="DP145" s="19268"/>
      <c r="DQ145" s="19269"/>
      <c r="DR145" s="19270"/>
      <c r="DS145" s="19271"/>
      <c r="DT145" s="19272"/>
      <c r="DU145" s="19273"/>
      <c r="DV145" s="19274"/>
      <c r="DW145" s="19275"/>
      <c r="DX145" s="19276"/>
      <c r="DY145" s="19277"/>
      <c r="DZ145" s="19278"/>
      <c r="EA145" s="19279"/>
      <c r="EB145" s="19280"/>
      <c r="EC145" s="17374"/>
      <c r="ED145" s="17016"/>
      <c r="EE145" s="17194"/>
      <c r="EF145" s="17194" t="str">
        <f>IF(V145="","",V145)</f>
        <v>Добавить вид теплоносителя (параметры теплоносителя)</v>
      </c>
      <c r="EG145" s="17194"/>
      <c r="EH145" s="17194"/>
      <c r="EI145" s="16741">
        <v>0</v>
      </c>
    </row>
    <row s="36079" customFormat="1" customHeight="1" ht="11.25">
      <c r="A146" s="8474"/>
      <c r="B146" s="8474"/>
      <c r="C146" s="8474"/>
      <c r="D146" s="8474"/>
      <c r="E146" s="11456"/>
      <c r="F146" s="11456" t="s">
        <v>94</v>
      </c>
      <c r="G146" s="11456"/>
      <c r="H146" s="11456"/>
      <c r="I146" s="11479"/>
      <c r="J146" s="8474"/>
      <c r="K146" s="8474"/>
      <c r="L146" s="8474"/>
      <c r="M146" s="11458"/>
      <c r="N146" s="11462"/>
      <c r="O146" s="11480"/>
      <c r="P146" s="11480"/>
      <c r="Q146" s="11481"/>
      <c r="R146" s="11481"/>
      <c r="S146" s="11481"/>
      <c r="T146" s="11482"/>
      <c r="U146" s="11797"/>
      <c r="V146" s="11798" t="s">
        <v>472</v>
      </c>
      <c r="W146" s="11799"/>
      <c r="X146" s="11800"/>
      <c r="Y146" s="11801"/>
      <c r="Z146" s="11802"/>
      <c r="AA146" s="11803"/>
      <c r="AB146" s="11804"/>
      <c r="AC146" s="11805"/>
      <c r="AD146" s="11806"/>
      <c r="AE146" s="11807"/>
      <c r="AF146" s="11808"/>
      <c r="AG146" s="11809"/>
      <c r="AH146" s="11810"/>
      <c r="AI146" s="11811"/>
      <c r="AJ146" s="11812"/>
      <c r="AK146" s="11813"/>
      <c r="AL146" s="11814"/>
      <c r="AM146" s="11815"/>
      <c r="AN146" s="11816"/>
      <c r="AO146" s="11817"/>
      <c r="AP146" s="19303"/>
      <c r="AQ146" s="19304"/>
      <c r="AR146" s="19305"/>
      <c r="AS146" s="19306"/>
      <c r="AT146" s="19307"/>
      <c r="AU146" s="19308"/>
      <c r="AV146" s="19309"/>
      <c r="AW146" s="19310"/>
      <c r="AX146" s="19311"/>
      <c r="AY146" s="19312"/>
      <c r="AZ146" s="19313"/>
      <c r="BA146" s="19314"/>
      <c r="BB146" s="19315"/>
      <c r="BC146" s="19316"/>
      <c r="BD146" s="19317"/>
      <c r="BE146" s="19318"/>
      <c r="BF146" s="19319"/>
      <c r="BG146" s="19320"/>
      <c r="BH146" s="19321"/>
      <c r="BI146" s="19322"/>
      <c r="BJ146" s="19323"/>
      <c r="BK146" s="19324"/>
      <c r="BL146" s="19325"/>
      <c r="BM146" s="19326"/>
      <c r="BN146" s="19327"/>
      <c r="BO146" s="19328"/>
      <c r="BP146" s="19329"/>
      <c r="BQ146" s="19330"/>
      <c r="BR146" s="19331"/>
      <c r="BS146" s="19332"/>
      <c r="BT146" s="19333"/>
      <c r="BU146" s="19334"/>
      <c r="BV146" s="19335"/>
      <c r="BW146" s="19336"/>
      <c r="BX146" s="19337"/>
      <c r="BY146" s="19338"/>
      <c r="BZ146" s="19339"/>
      <c r="CA146" s="19340"/>
      <c r="CB146" s="19341"/>
      <c r="CC146" s="19342"/>
      <c r="CD146" s="19343"/>
      <c r="CE146" s="19344"/>
      <c r="CF146" s="19345"/>
      <c r="CG146" s="19346"/>
      <c r="CH146" s="19347"/>
      <c r="CI146" s="19348"/>
      <c r="CJ146" s="19349"/>
      <c r="CK146" s="19350"/>
      <c r="CL146" s="19351"/>
      <c r="CM146" s="19352"/>
      <c r="CN146" s="19353"/>
      <c r="CO146" s="19354"/>
      <c r="CP146" s="19355"/>
      <c r="CQ146" s="19356"/>
      <c r="CR146" s="19357"/>
      <c r="CS146" s="19358"/>
      <c r="CT146" s="19359"/>
      <c r="CU146" s="19360"/>
      <c r="CV146" s="19361"/>
      <c r="CW146" s="19362"/>
      <c r="CX146" s="19363"/>
      <c r="CY146" s="19364"/>
      <c r="CZ146" s="19365"/>
      <c r="DA146" s="19366"/>
      <c r="DB146" s="19367"/>
      <c r="DC146" s="19368"/>
      <c r="DD146" s="19369"/>
      <c r="DE146" s="19370"/>
      <c r="DF146" s="19371"/>
      <c r="DG146" s="19372"/>
      <c r="DH146" s="19373"/>
      <c r="DI146" s="19374"/>
      <c r="DJ146" s="19375"/>
      <c r="DK146" s="19376"/>
      <c r="DL146" s="19377"/>
      <c r="DM146" s="19378"/>
      <c r="DN146" s="19379"/>
      <c r="DO146" s="19380"/>
      <c r="DP146" s="19381"/>
      <c r="DQ146" s="19382"/>
      <c r="DR146" s="19383"/>
      <c r="DS146" s="19384"/>
      <c r="DT146" s="19385"/>
      <c r="DU146" s="19386"/>
      <c r="DV146" s="19387"/>
      <c r="DW146" s="19388"/>
      <c r="DX146" s="19389"/>
      <c r="DY146" s="19390"/>
      <c r="DZ146" s="19391"/>
      <c r="EA146" s="19392"/>
      <c r="EB146" s="11818"/>
      <c r="EC146" s="11819"/>
      <c r="ED146" s="11471"/>
      <c r="EE146" s="11472"/>
      <c r="EF146" s="11472" t="str">
        <f>IF(V146="","",V146)</f>
        <v>Добавить группу потребителей</v>
      </c>
      <c r="EG146" s="11472"/>
      <c r="EH146" s="11472"/>
      <c r="EI146" s="11462">
        <v>0</v>
      </c>
    </row>
    <row s="36193" customFormat="1" customHeight="1" ht="14.25">
      <c r="A147" s="8474"/>
      <c r="B147" s="8474"/>
      <c r="C147" s="8474"/>
      <c r="D147" s="8474"/>
      <c r="E147" s="11456"/>
      <c r="F147" s="11456" t="s">
        <v>94</v>
      </c>
      <c r="G147" s="11456"/>
      <c r="H147" s="11457"/>
      <c r="I147" s="8474"/>
      <c r="J147" s="8474"/>
      <c r="K147" s="8474"/>
      <c r="L147" s="8474"/>
      <c r="M147" s="11458"/>
      <c r="N147" s="11459"/>
      <c r="O147" s="11459"/>
      <c r="P147" s="11462"/>
      <c r="Q147" s="11582"/>
      <c r="R147" s="11583"/>
      <c r="S147" s="11584"/>
      <c r="T147" s="11582"/>
      <c r="U147" s="11585"/>
      <c r="V147" s="11586"/>
      <c r="W147" s="11587"/>
      <c r="X147" s="11587"/>
      <c r="Y147" s="11587"/>
      <c r="Z147" s="11587"/>
      <c r="AA147" s="11587"/>
      <c r="AB147" s="11587"/>
      <c r="AC147" s="11587"/>
      <c r="AD147" s="11587"/>
      <c r="AE147" s="11587"/>
      <c r="AF147" s="11587"/>
      <c r="AG147" s="11587"/>
      <c r="AH147" s="11587"/>
      <c r="AI147" s="11587"/>
      <c r="AJ147" s="11587"/>
      <c r="AK147" s="11587"/>
      <c r="AL147" s="11587"/>
      <c r="AM147" s="11587"/>
      <c r="AN147" s="11587"/>
      <c r="AO147" s="11587"/>
      <c r="AP147" s="17004"/>
      <c r="AQ147" s="17004"/>
      <c r="AR147" s="17004"/>
      <c r="AS147" s="17004"/>
      <c r="AT147" s="17004"/>
      <c r="AU147" s="17004"/>
      <c r="AV147" s="17004"/>
      <c r="AW147" s="17004"/>
      <c r="AX147" s="17004"/>
      <c r="AY147" s="17004"/>
      <c r="AZ147" s="17004"/>
      <c r="BA147" s="17004"/>
      <c r="BB147" s="17004"/>
      <c r="BC147" s="17004"/>
      <c r="BD147" s="17004"/>
      <c r="BE147" s="17004"/>
      <c r="BF147" s="17004"/>
      <c r="BG147" s="17004"/>
      <c r="BH147" s="17004"/>
      <c r="BI147" s="17004"/>
      <c r="BJ147" s="17004"/>
      <c r="BK147" s="17004"/>
      <c r="BL147" s="17004"/>
      <c r="BM147" s="17004"/>
      <c r="BN147" s="17004"/>
      <c r="BO147" s="17004"/>
      <c r="BP147" s="17004"/>
      <c r="BQ147" s="17004"/>
      <c r="BR147" s="17004"/>
      <c r="BS147" s="17004"/>
      <c r="BT147" s="17004"/>
      <c r="BU147" s="17004"/>
      <c r="BV147" s="17004"/>
      <c r="BW147" s="17004"/>
      <c r="BX147" s="17004"/>
      <c r="BY147" s="17004"/>
      <c r="BZ147" s="17004"/>
      <c r="CA147" s="17004"/>
      <c r="CB147" s="17004"/>
      <c r="CC147" s="17004"/>
      <c r="CD147" s="17004"/>
      <c r="CE147" s="17004"/>
      <c r="CF147" s="17004"/>
      <c r="CG147" s="17004"/>
      <c r="CH147" s="17004"/>
      <c r="CI147" s="17004"/>
      <c r="CJ147" s="17004"/>
      <c r="CK147" s="17004"/>
      <c r="CL147" s="17004"/>
      <c r="CM147" s="17004"/>
      <c r="CN147" s="17004"/>
      <c r="CO147" s="17004"/>
      <c r="CP147" s="17004"/>
      <c r="CQ147" s="17004"/>
      <c r="CR147" s="17004"/>
      <c r="CS147" s="17004"/>
      <c r="CT147" s="17004"/>
      <c r="CU147" s="17004"/>
      <c r="CV147" s="17004"/>
      <c r="CW147" s="17004"/>
      <c r="CX147" s="17004"/>
      <c r="CY147" s="17004"/>
      <c r="CZ147" s="17004"/>
      <c r="DA147" s="17004"/>
      <c r="DB147" s="17004"/>
      <c r="DC147" s="17004"/>
      <c r="DD147" s="17004"/>
      <c r="DE147" s="17004"/>
      <c r="DF147" s="17004"/>
      <c r="DG147" s="17004"/>
      <c r="DH147" s="17004"/>
      <c r="DI147" s="17004"/>
      <c r="DJ147" s="17004"/>
      <c r="DK147" s="17004"/>
      <c r="DL147" s="17004"/>
      <c r="DM147" s="17004"/>
      <c r="DN147" s="17004"/>
      <c r="DO147" s="17004"/>
      <c r="DP147" s="17004"/>
      <c r="DQ147" s="17004"/>
      <c r="DR147" s="17004"/>
      <c r="DS147" s="17004"/>
      <c r="DT147" s="17004"/>
      <c r="DU147" s="17004"/>
      <c r="DV147" s="17004"/>
      <c r="DW147" s="17004"/>
      <c r="DX147" s="17004"/>
      <c r="DY147" s="17004"/>
      <c r="DZ147" s="17004"/>
      <c r="EA147" s="17004"/>
      <c r="EB147" s="11587"/>
      <c r="EC147" s="11588"/>
      <c r="ED147" s="11471"/>
      <c r="EE147" s="11472"/>
      <c r="EF147" s="11472" t="str">
        <f>IF(V147="","",V147)</f>
        <v/>
      </c>
      <c r="EG147" s="11472"/>
      <c r="EH147" s="11472"/>
      <c r="EI147" s="11462">
        <v>0</v>
      </c>
    </row>
    <row s="36194" customFormat="1" customHeight="1" ht="14.25">
      <c r="A148" s="11590"/>
      <c r="B148" s="11590"/>
      <c r="C148" s="11590"/>
      <c r="D148" s="11590"/>
      <c r="E148" s="11456"/>
      <c r="F148" s="11456" t="s">
        <v>94</v>
      </c>
      <c r="G148" s="11457"/>
      <c r="H148" s="11590"/>
      <c r="I148" s="11590"/>
      <c r="J148" s="11590"/>
      <c r="K148" s="11590"/>
      <c r="L148" s="11590"/>
      <c r="M148" s="11591"/>
      <c r="N148" s="11592"/>
      <c r="O148" s="11592"/>
      <c r="P148" s="11593"/>
      <c r="Q148" s="11594"/>
      <c r="R148" s="11595"/>
      <c r="S148" s="11594"/>
      <c r="T148" s="11594"/>
      <c r="U148" s="11596"/>
      <c r="V148" s="11597" t="s">
        <v>213</v>
      </c>
      <c r="W148" s="11598"/>
      <c r="X148" s="11598"/>
      <c r="Y148" s="11598"/>
      <c r="Z148" s="11598"/>
      <c r="AA148" s="11598"/>
      <c r="AB148" s="11598"/>
      <c r="AC148" s="11598"/>
      <c r="AD148" s="11598"/>
      <c r="AE148" s="11598"/>
      <c r="AF148" s="11598"/>
      <c r="AG148" s="11598"/>
      <c r="AH148" s="11598"/>
      <c r="AI148" s="11598"/>
      <c r="AJ148" s="11598"/>
      <c r="AK148" s="11598"/>
      <c r="AL148" s="11598"/>
      <c r="AM148" s="11598"/>
      <c r="AN148" s="11598"/>
      <c r="AO148" s="11598"/>
      <c r="AP148" s="17005"/>
      <c r="AQ148" s="17005"/>
      <c r="AR148" s="17005"/>
      <c r="AS148" s="17005"/>
      <c r="AT148" s="17005"/>
      <c r="AU148" s="17005"/>
      <c r="AV148" s="17005"/>
      <c r="AW148" s="17005"/>
      <c r="AX148" s="17005"/>
      <c r="AY148" s="17005"/>
      <c r="AZ148" s="17005"/>
      <c r="BA148" s="17005"/>
      <c r="BB148" s="17005"/>
      <c r="BC148" s="17005"/>
      <c r="BD148" s="17005"/>
      <c r="BE148" s="17005"/>
      <c r="BF148" s="17005"/>
      <c r="BG148" s="17005"/>
      <c r="BH148" s="17005"/>
      <c r="BI148" s="17005"/>
      <c r="BJ148" s="17005"/>
      <c r="BK148" s="17005"/>
      <c r="BL148" s="17005"/>
      <c r="BM148" s="17005"/>
      <c r="BN148" s="17005"/>
      <c r="BO148" s="17005"/>
      <c r="BP148" s="17005"/>
      <c r="BQ148" s="17005"/>
      <c r="BR148" s="17005"/>
      <c r="BS148" s="17005"/>
      <c r="BT148" s="17005"/>
      <c r="BU148" s="17005"/>
      <c r="BV148" s="17005"/>
      <c r="BW148" s="17005"/>
      <c r="BX148" s="17005"/>
      <c r="BY148" s="17005"/>
      <c r="BZ148" s="17005"/>
      <c r="CA148" s="17005"/>
      <c r="CB148" s="17005"/>
      <c r="CC148" s="17005"/>
      <c r="CD148" s="17005"/>
      <c r="CE148" s="17005"/>
      <c r="CF148" s="17005"/>
      <c r="CG148" s="17005"/>
      <c r="CH148" s="17005"/>
      <c r="CI148" s="17005"/>
      <c r="CJ148" s="17005"/>
      <c r="CK148" s="17005"/>
      <c r="CL148" s="17005"/>
      <c r="CM148" s="17005"/>
      <c r="CN148" s="17005"/>
      <c r="CO148" s="17005"/>
      <c r="CP148" s="17005"/>
      <c r="CQ148" s="17005"/>
      <c r="CR148" s="17005"/>
      <c r="CS148" s="17005"/>
      <c r="CT148" s="17005"/>
      <c r="CU148" s="17005"/>
      <c r="CV148" s="17005"/>
      <c r="CW148" s="17005"/>
      <c r="CX148" s="17005"/>
      <c r="CY148" s="17005"/>
      <c r="CZ148" s="17005"/>
      <c r="DA148" s="17005"/>
      <c r="DB148" s="17005"/>
      <c r="DC148" s="17005"/>
      <c r="DD148" s="17005"/>
      <c r="DE148" s="17005"/>
      <c r="DF148" s="17005"/>
      <c r="DG148" s="17005"/>
      <c r="DH148" s="17005"/>
      <c r="DI148" s="17005"/>
      <c r="DJ148" s="17005"/>
      <c r="DK148" s="17005"/>
      <c r="DL148" s="17005"/>
      <c r="DM148" s="17005"/>
      <c r="DN148" s="17005"/>
      <c r="DO148" s="17005"/>
      <c r="DP148" s="17005"/>
      <c r="DQ148" s="17005"/>
      <c r="DR148" s="17005"/>
      <c r="DS148" s="17005"/>
      <c r="DT148" s="17005"/>
      <c r="DU148" s="17005"/>
      <c r="DV148" s="17005"/>
      <c r="DW148" s="17005"/>
      <c r="DX148" s="17005"/>
      <c r="DY148" s="17005"/>
      <c r="DZ148" s="17005"/>
      <c r="EA148" s="17005"/>
      <c r="EB148" s="11598"/>
      <c r="EC148" s="11598"/>
      <c r="ED148" s="11471"/>
      <c r="EE148" s="11472"/>
      <c r="EF148" s="11472" t="str">
        <f>IF(V148="","",V148)</f>
        <v>Добавить источник для дифференциации</v>
      </c>
      <c r="EG148" s="11472"/>
      <c r="EH148" s="11472"/>
      <c r="EI148" s="11471">
        <v>0</v>
      </c>
    </row>
    <row s="36195" customFormat="1" customHeight="1" ht="14.25">
      <c r="A149" s="11590"/>
      <c r="B149" s="11590"/>
      <c r="C149" s="11590"/>
      <c r="D149" s="11590"/>
      <c r="E149" s="11456"/>
      <c r="F149" s="11457" t="s">
        <v>94</v>
      </c>
      <c r="G149" s="11590"/>
      <c r="H149" s="11590"/>
      <c r="I149" s="11590"/>
      <c r="J149" s="11590"/>
      <c r="K149" s="11590"/>
      <c r="L149" s="11590"/>
      <c r="M149" s="11591"/>
      <c r="N149" s="11600"/>
      <c r="O149" s="11600"/>
      <c r="P149" s="11593"/>
      <c r="Q149" s="11594"/>
      <c r="R149" s="11595"/>
      <c r="S149" s="11594"/>
      <c r="T149" s="11594"/>
      <c r="U149" s="11601"/>
      <c r="V149" s="11602" t="s">
        <v>214</v>
      </c>
      <c r="W149" s="11603"/>
      <c r="X149" s="11603"/>
      <c r="Y149" s="11603"/>
      <c r="Z149" s="11603"/>
      <c r="AA149" s="11603"/>
      <c r="AB149" s="11603"/>
      <c r="AC149" s="11603"/>
      <c r="AD149" s="11603"/>
      <c r="AE149" s="11603"/>
      <c r="AF149" s="11603"/>
      <c r="AG149" s="11603"/>
      <c r="AH149" s="11603"/>
      <c r="AI149" s="11603"/>
      <c r="AJ149" s="11603"/>
      <c r="AK149" s="11603"/>
      <c r="AL149" s="11603"/>
      <c r="AM149" s="11603"/>
      <c r="AN149" s="11603"/>
      <c r="AO149" s="11603"/>
      <c r="AP149" s="17006"/>
      <c r="AQ149" s="17006"/>
      <c r="AR149" s="17006"/>
      <c r="AS149" s="17006"/>
      <c r="AT149" s="17006"/>
      <c r="AU149" s="17006"/>
      <c r="AV149" s="17006"/>
      <c r="AW149" s="17006"/>
      <c r="AX149" s="17006"/>
      <c r="AY149" s="17006"/>
      <c r="AZ149" s="17006"/>
      <c r="BA149" s="17006"/>
      <c r="BB149" s="17006"/>
      <c r="BC149" s="17006"/>
      <c r="BD149" s="17006"/>
      <c r="BE149" s="17006"/>
      <c r="BF149" s="17006"/>
      <c r="BG149" s="17006"/>
      <c r="BH149" s="17006"/>
      <c r="BI149" s="17006"/>
      <c r="BJ149" s="17006"/>
      <c r="BK149" s="17006"/>
      <c r="BL149" s="17006"/>
      <c r="BM149" s="17006"/>
      <c r="BN149" s="17006"/>
      <c r="BO149" s="17006"/>
      <c r="BP149" s="17006"/>
      <c r="BQ149" s="17006"/>
      <c r="BR149" s="17006"/>
      <c r="BS149" s="17006"/>
      <c r="BT149" s="17006"/>
      <c r="BU149" s="17006"/>
      <c r="BV149" s="17006"/>
      <c r="BW149" s="17006"/>
      <c r="BX149" s="17006"/>
      <c r="BY149" s="17006"/>
      <c r="BZ149" s="17006"/>
      <c r="CA149" s="17006"/>
      <c r="CB149" s="17006"/>
      <c r="CC149" s="17006"/>
      <c r="CD149" s="17006"/>
      <c r="CE149" s="17006"/>
      <c r="CF149" s="17006"/>
      <c r="CG149" s="17006"/>
      <c r="CH149" s="17006"/>
      <c r="CI149" s="17006"/>
      <c r="CJ149" s="17006"/>
      <c r="CK149" s="17006"/>
      <c r="CL149" s="17006"/>
      <c r="CM149" s="17006"/>
      <c r="CN149" s="17006"/>
      <c r="CO149" s="17006"/>
      <c r="CP149" s="17006"/>
      <c r="CQ149" s="17006"/>
      <c r="CR149" s="17006"/>
      <c r="CS149" s="17006"/>
      <c r="CT149" s="17006"/>
      <c r="CU149" s="17006"/>
      <c r="CV149" s="17006"/>
      <c r="CW149" s="17006"/>
      <c r="CX149" s="17006"/>
      <c r="CY149" s="17006"/>
      <c r="CZ149" s="17006"/>
      <c r="DA149" s="17006"/>
      <c r="DB149" s="17006"/>
      <c r="DC149" s="17006"/>
      <c r="DD149" s="17006"/>
      <c r="DE149" s="17006"/>
      <c r="DF149" s="17006"/>
      <c r="DG149" s="17006"/>
      <c r="DH149" s="17006"/>
      <c r="DI149" s="17006"/>
      <c r="DJ149" s="17006"/>
      <c r="DK149" s="17006"/>
      <c r="DL149" s="17006"/>
      <c r="DM149" s="17006"/>
      <c r="DN149" s="17006"/>
      <c r="DO149" s="17006"/>
      <c r="DP149" s="17006"/>
      <c r="DQ149" s="17006"/>
      <c r="DR149" s="17006"/>
      <c r="DS149" s="17006"/>
      <c r="DT149" s="17006"/>
      <c r="DU149" s="17006"/>
      <c r="DV149" s="17006"/>
      <c r="DW149" s="17006"/>
      <c r="DX149" s="17006"/>
      <c r="DY149" s="17006"/>
      <c r="DZ149" s="17006"/>
      <c r="EA149" s="17006"/>
      <c r="EB149" s="11603"/>
      <c r="EC149" s="11603"/>
      <c r="ED149" s="11471"/>
      <c r="EE149" s="11472"/>
      <c r="EF149" s="11472" t="str">
        <f>IF(V149="","",V149)</f>
        <v>Добавить централизованную систему для дифференциации</v>
      </c>
      <c r="EG149" s="11472"/>
      <c r="EH149" s="11472"/>
      <c r="EI149" s="11471">
        <v>0</v>
      </c>
    </row>
    <row s="36196" customFormat="1" customHeight="1" ht="21">
      <c r="A150" s="8474"/>
      <c r="B150" s="8474" t="s">
        <v>227</v>
      </c>
      <c r="C150" s="8474"/>
      <c r="D150" s="8474"/>
      <c r="E150" s="11456"/>
      <c r="F150" s="11457" t="s">
        <v>95</v>
      </c>
      <c r="G150" s="8474"/>
      <c r="H150" s="8474"/>
      <c r="I150" s="8474"/>
      <c r="J150" s="8474"/>
      <c r="K150" s="8474"/>
      <c r="L150" s="8474"/>
      <c r="M150" s="11458"/>
      <c r="N150" s="11459"/>
      <c r="O150" s="11459"/>
      <c r="P150" s="11459"/>
      <c r="Q150" s="11460"/>
      <c r="R150" s="11461"/>
      <c r="S150" s="11462"/>
      <c r="T150" s="11463"/>
      <c r="U150" s="11464" t="str">
        <f>INDEX(PT_DIFFERENTIATION_NUM_TER,MATCH(B150,PT_DIFFERENTIATION_TER_ID,0))</f>
        <v>1.6</v>
      </c>
      <c r="V150" s="11465" t="s">
        <v>457</v>
      </c>
      <c r="W150" s="11466"/>
      <c r="X150" s="11467"/>
      <c r="Y150" s="11468"/>
      <c r="Z150" s="11468"/>
      <c r="AA150" s="11468"/>
      <c r="AB150" s="11468"/>
      <c r="AC150" s="11468"/>
      <c r="AD150" s="11468"/>
      <c r="AE150" s="11468"/>
      <c r="AF150" s="11469"/>
      <c r="AG150" s="11467" t="str">
        <f>INDEX(PT_DIFFERENTIATION_TER,MATCH(B150,PT_DIFFERENTIATION_TER_ID,0))</f>
        <v>Территория 6</v>
      </c>
      <c r="AH150" s="11468"/>
      <c r="AI150" s="11468"/>
      <c r="AJ150" s="11468"/>
      <c r="AK150" s="11468"/>
      <c r="AL150" s="11468"/>
      <c r="AM150" s="11468"/>
      <c r="AN150" s="11468"/>
      <c r="AO150" s="11468"/>
      <c r="AP150" s="16743"/>
      <c r="AQ150" s="16744"/>
      <c r="AR150" s="16744"/>
      <c r="AS150" s="16744"/>
      <c r="AT150" s="16744"/>
      <c r="AU150" s="16744"/>
      <c r="AV150" s="16744"/>
      <c r="AW150" s="16744"/>
      <c r="AX150" s="16745"/>
      <c r="AY150" s="16743"/>
      <c r="AZ150" s="16744"/>
      <c r="BA150" s="16744"/>
      <c r="BB150" s="16744"/>
      <c r="BC150" s="16744"/>
      <c r="BD150" s="16744"/>
      <c r="BE150" s="16744"/>
      <c r="BF150" s="16744"/>
      <c r="BG150" s="16745"/>
      <c r="BH150" s="16743"/>
      <c r="BI150" s="16744"/>
      <c r="BJ150" s="16744"/>
      <c r="BK150" s="16744"/>
      <c r="BL150" s="16744"/>
      <c r="BM150" s="16744"/>
      <c r="BN150" s="16744"/>
      <c r="BO150" s="16744"/>
      <c r="BP150" s="16745"/>
      <c r="BQ150" s="16743"/>
      <c r="BR150" s="16744"/>
      <c r="BS150" s="16744"/>
      <c r="BT150" s="16744"/>
      <c r="BU150" s="16744"/>
      <c r="BV150" s="16744"/>
      <c r="BW150" s="16744"/>
      <c r="BX150" s="16744"/>
      <c r="BY150" s="16745"/>
      <c r="BZ150" s="16743"/>
      <c r="CA150" s="16744"/>
      <c r="CB150" s="16744"/>
      <c r="CC150" s="16744"/>
      <c r="CD150" s="16744"/>
      <c r="CE150" s="16744"/>
      <c r="CF150" s="16744"/>
      <c r="CG150" s="16744"/>
      <c r="CH150" s="16745"/>
      <c r="CI150" s="16743"/>
      <c r="CJ150" s="16744"/>
      <c r="CK150" s="16744"/>
      <c r="CL150" s="16744"/>
      <c r="CM150" s="16744"/>
      <c r="CN150" s="16744"/>
      <c r="CO150" s="16744"/>
      <c r="CP150" s="16744"/>
      <c r="CQ150" s="16745"/>
      <c r="CR150" s="16743"/>
      <c r="CS150" s="16744"/>
      <c r="CT150" s="16744"/>
      <c r="CU150" s="16744"/>
      <c r="CV150" s="16744"/>
      <c r="CW150" s="16744"/>
      <c r="CX150" s="16744"/>
      <c r="CY150" s="16744"/>
      <c r="CZ150" s="16745"/>
      <c r="DA150" s="16743"/>
      <c r="DB150" s="16744"/>
      <c r="DC150" s="16744"/>
      <c r="DD150" s="16744"/>
      <c r="DE150" s="16744"/>
      <c r="DF150" s="16744"/>
      <c r="DG150" s="16744"/>
      <c r="DH150" s="16744"/>
      <c r="DI150" s="16745"/>
      <c r="DJ150" s="16743"/>
      <c r="DK150" s="16744"/>
      <c r="DL150" s="16744"/>
      <c r="DM150" s="16744"/>
      <c r="DN150" s="16744"/>
      <c r="DO150" s="16744"/>
      <c r="DP150" s="16744"/>
      <c r="DQ150" s="16744"/>
      <c r="DR150" s="16745"/>
      <c r="DS150" s="16743"/>
      <c r="DT150" s="16744"/>
      <c r="DU150" s="16744"/>
      <c r="DV150" s="16744"/>
      <c r="DW150" s="16744"/>
      <c r="DX150" s="16744"/>
      <c r="DY150" s="16744"/>
      <c r="DZ150" s="16744"/>
      <c r="EA150" s="16745"/>
      <c r="EB150" s="11469"/>
      <c r="EC150" s="11470" t="s">
        <v>458</v>
      </c>
      <c r="ED150" s="11471"/>
      <c r="EE150" s="11472"/>
      <c r="EF150" s="11472" t="str">
        <f>IF(V150="","",V150)</f>
        <v>Территория действия тарифа</v>
      </c>
      <c r="EG150" s="11472"/>
      <c r="EH150" s="11472"/>
      <c r="EI150" s="11462">
        <v>0</v>
      </c>
    </row>
    <row s="36197" customFormat="1" customHeight="1" ht="22.5">
      <c r="A151" s="8474"/>
      <c r="B151" s="8474"/>
      <c r="C151" s="8474" t="s">
        <v>228</v>
      </c>
      <c r="D151" s="8474"/>
      <c r="E151" s="11456"/>
      <c r="F151" s="11456" t="s">
        <v>124</v>
      </c>
      <c r="G151" s="11457">
        <v>1</v>
      </c>
      <c r="H151" s="8474"/>
      <c r="I151" s="8474"/>
      <c r="J151" s="8474"/>
      <c r="K151" s="8474"/>
      <c r="L151" s="8474"/>
      <c r="M151" s="11458"/>
      <c r="N151" s="11459"/>
      <c r="O151" s="11459"/>
      <c r="P151" s="11459"/>
      <c r="Q151" s="11474"/>
      <c r="R151" s="11461"/>
      <c r="S151" s="11462"/>
      <c r="T151" s="11463"/>
      <c r="U151" s="11464" t="str">
        <f>INDEX(PT_DIFFERENTIATION_NUM_CS,MATCH(C151,PT_DIFFERENTIATION_CS_ID,0))</f>
        <v>1.6.1</v>
      </c>
      <c r="V151" s="11475" t="s">
        <v>459</v>
      </c>
      <c r="W151" s="11466"/>
      <c r="X151" s="11467"/>
      <c r="Y151" s="11468"/>
      <c r="Z151" s="11468"/>
      <c r="AA151" s="11468"/>
      <c r="AB151" s="11468"/>
      <c r="AC151" s="11468"/>
      <c r="AD151" s="11468"/>
      <c r="AE151" s="11468"/>
      <c r="AF151" s="11469"/>
      <c r="AG151" s="11467" t="str">
        <f>INDEX(PT_DIFFERENTIATION_CS,MATCH(C151,PT_DIFFERENTIATION_CS_ID,0))</f>
        <v>без дифференциации</v>
      </c>
      <c r="AH151" s="11468"/>
      <c r="AI151" s="11468"/>
      <c r="AJ151" s="11468"/>
      <c r="AK151" s="11468"/>
      <c r="AL151" s="11468"/>
      <c r="AM151" s="11468"/>
      <c r="AN151" s="11468"/>
      <c r="AO151" s="11468"/>
      <c r="AP151" s="16743"/>
      <c r="AQ151" s="16744"/>
      <c r="AR151" s="16744"/>
      <c r="AS151" s="16744"/>
      <c r="AT151" s="16744"/>
      <c r="AU151" s="16744"/>
      <c r="AV151" s="16744"/>
      <c r="AW151" s="16744"/>
      <c r="AX151" s="16745"/>
      <c r="AY151" s="16743"/>
      <c r="AZ151" s="16744"/>
      <c r="BA151" s="16744"/>
      <c r="BB151" s="16744"/>
      <c r="BC151" s="16744"/>
      <c r="BD151" s="16744"/>
      <c r="BE151" s="16744"/>
      <c r="BF151" s="16744"/>
      <c r="BG151" s="16745"/>
      <c r="BH151" s="16743"/>
      <c r="BI151" s="16744"/>
      <c r="BJ151" s="16744"/>
      <c r="BK151" s="16744"/>
      <c r="BL151" s="16744"/>
      <c r="BM151" s="16744"/>
      <c r="BN151" s="16744"/>
      <c r="BO151" s="16744"/>
      <c r="BP151" s="16745"/>
      <c r="BQ151" s="16743"/>
      <c r="BR151" s="16744"/>
      <c r="BS151" s="16744"/>
      <c r="BT151" s="16744"/>
      <c r="BU151" s="16744"/>
      <c r="BV151" s="16744"/>
      <c r="BW151" s="16744"/>
      <c r="BX151" s="16744"/>
      <c r="BY151" s="16745"/>
      <c r="BZ151" s="16743"/>
      <c r="CA151" s="16744"/>
      <c r="CB151" s="16744"/>
      <c r="CC151" s="16744"/>
      <c r="CD151" s="16744"/>
      <c r="CE151" s="16744"/>
      <c r="CF151" s="16744"/>
      <c r="CG151" s="16744"/>
      <c r="CH151" s="16745"/>
      <c r="CI151" s="16743"/>
      <c r="CJ151" s="16744"/>
      <c r="CK151" s="16744"/>
      <c r="CL151" s="16744"/>
      <c r="CM151" s="16744"/>
      <c r="CN151" s="16744"/>
      <c r="CO151" s="16744"/>
      <c r="CP151" s="16744"/>
      <c r="CQ151" s="16745"/>
      <c r="CR151" s="16743"/>
      <c r="CS151" s="16744"/>
      <c r="CT151" s="16744"/>
      <c r="CU151" s="16744"/>
      <c r="CV151" s="16744"/>
      <c r="CW151" s="16744"/>
      <c r="CX151" s="16744"/>
      <c r="CY151" s="16744"/>
      <c r="CZ151" s="16745"/>
      <c r="DA151" s="16743"/>
      <c r="DB151" s="16744"/>
      <c r="DC151" s="16744"/>
      <c r="DD151" s="16744"/>
      <c r="DE151" s="16744"/>
      <c r="DF151" s="16744"/>
      <c r="DG151" s="16744"/>
      <c r="DH151" s="16744"/>
      <c r="DI151" s="16745"/>
      <c r="DJ151" s="16743"/>
      <c r="DK151" s="16744"/>
      <c r="DL151" s="16744"/>
      <c r="DM151" s="16744"/>
      <c r="DN151" s="16744"/>
      <c r="DO151" s="16744"/>
      <c r="DP151" s="16744"/>
      <c r="DQ151" s="16744"/>
      <c r="DR151" s="16745"/>
      <c r="DS151" s="16743"/>
      <c r="DT151" s="16744"/>
      <c r="DU151" s="16744"/>
      <c r="DV151" s="16744"/>
      <c r="DW151" s="16744"/>
      <c r="DX151" s="16744"/>
      <c r="DY151" s="16744"/>
      <c r="DZ151" s="16744"/>
      <c r="EA151" s="16745"/>
      <c r="EB151" s="11469"/>
      <c r="EC151" s="11470" t="s">
        <v>460</v>
      </c>
      <c r="ED151" s="11471"/>
      <c r="EE151" s="11472"/>
      <c r="EF151" s="11472" t="str">
        <f>IF(V151="","",V151)</f>
        <v>Наименование системы теплоснабжения </v>
      </c>
      <c r="EG151" s="11472"/>
      <c r="EH151" s="11472"/>
      <c r="EI151" s="11462">
        <v>0</v>
      </c>
    </row>
    <row s="36198" customFormat="1" customHeight="1" ht="21">
      <c r="A152" s="8474"/>
      <c r="B152" s="8474"/>
      <c r="C152" s="8474"/>
      <c r="D152" s="8474" t="s">
        <v>229</v>
      </c>
      <c r="E152" s="11456"/>
      <c r="F152" s="11456" t="s">
        <v>124</v>
      </c>
      <c r="G152" s="11456"/>
      <c r="H152" s="11457">
        <v>1</v>
      </c>
      <c r="I152" s="8474"/>
      <c r="J152" s="8474"/>
      <c r="K152" s="8474"/>
      <c r="L152" s="8474"/>
      <c r="M152" s="11458"/>
      <c r="N152" s="11459"/>
      <c r="O152" s="11459"/>
      <c r="P152" s="11459"/>
      <c r="Q152" s="11474"/>
      <c r="R152" s="11461"/>
      <c r="S152" s="11462"/>
      <c r="T152" s="11463"/>
      <c r="U152" s="11464" t="str">
        <f>INDEX(PT_DIFFERENTIATION_NUM_IST_TE,MATCH(D152,PT_DIFFERENTIATION_IST_TE_ID,0))</f>
        <v>1.6.1.1</v>
      </c>
      <c r="V152" s="11477" t="s">
        <v>461</v>
      </c>
      <c r="W152" s="11466"/>
      <c r="X152" s="11467"/>
      <c r="Y152" s="11468"/>
      <c r="Z152" s="11468"/>
      <c r="AA152" s="11468"/>
      <c r="AB152" s="11468"/>
      <c r="AC152" s="11468"/>
      <c r="AD152" s="11468"/>
      <c r="AE152" s="11468"/>
      <c r="AF152" s="11469"/>
      <c r="AG152" s="11467" t="str">
        <f>INDEX(PT_DIFFERENTIATION_IST_TE,MATCH(D152,PT_DIFFERENTIATION_IST_TE_ID,0))</f>
        <v>без дифференциации</v>
      </c>
      <c r="AH152" s="11468"/>
      <c r="AI152" s="11468"/>
      <c r="AJ152" s="11468"/>
      <c r="AK152" s="11468"/>
      <c r="AL152" s="11468"/>
      <c r="AM152" s="11468"/>
      <c r="AN152" s="11468"/>
      <c r="AO152" s="11468"/>
      <c r="AP152" s="16743"/>
      <c r="AQ152" s="16744"/>
      <c r="AR152" s="16744"/>
      <c r="AS152" s="16744"/>
      <c r="AT152" s="16744"/>
      <c r="AU152" s="16744"/>
      <c r="AV152" s="16744"/>
      <c r="AW152" s="16744"/>
      <c r="AX152" s="16745"/>
      <c r="AY152" s="16743"/>
      <c r="AZ152" s="16744"/>
      <c r="BA152" s="16744"/>
      <c r="BB152" s="16744"/>
      <c r="BC152" s="16744"/>
      <c r="BD152" s="16744"/>
      <c r="BE152" s="16744"/>
      <c r="BF152" s="16744"/>
      <c r="BG152" s="16745"/>
      <c r="BH152" s="16743"/>
      <c r="BI152" s="16744"/>
      <c r="BJ152" s="16744"/>
      <c r="BK152" s="16744"/>
      <c r="BL152" s="16744"/>
      <c r="BM152" s="16744"/>
      <c r="BN152" s="16744"/>
      <c r="BO152" s="16744"/>
      <c r="BP152" s="16745"/>
      <c r="BQ152" s="16743"/>
      <c r="BR152" s="16744"/>
      <c r="BS152" s="16744"/>
      <c r="BT152" s="16744"/>
      <c r="BU152" s="16744"/>
      <c r="BV152" s="16744"/>
      <c r="BW152" s="16744"/>
      <c r="BX152" s="16744"/>
      <c r="BY152" s="16745"/>
      <c r="BZ152" s="16743"/>
      <c r="CA152" s="16744"/>
      <c r="CB152" s="16744"/>
      <c r="CC152" s="16744"/>
      <c r="CD152" s="16744"/>
      <c r="CE152" s="16744"/>
      <c r="CF152" s="16744"/>
      <c r="CG152" s="16744"/>
      <c r="CH152" s="16745"/>
      <c r="CI152" s="16743"/>
      <c r="CJ152" s="16744"/>
      <c r="CK152" s="16744"/>
      <c r="CL152" s="16744"/>
      <c r="CM152" s="16744"/>
      <c r="CN152" s="16744"/>
      <c r="CO152" s="16744"/>
      <c r="CP152" s="16744"/>
      <c r="CQ152" s="16745"/>
      <c r="CR152" s="16743"/>
      <c r="CS152" s="16744"/>
      <c r="CT152" s="16744"/>
      <c r="CU152" s="16744"/>
      <c r="CV152" s="16744"/>
      <c r="CW152" s="16744"/>
      <c r="CX152" s="16744"/>
      <c r="CY152" s="16744"/>
      <c r="CZ152" s="16745"/>
      <c r="DA152" s="16743"/>
      <c r="DB152" s="16744"/>
      <c r="DC152" s="16744"/>
      <c r="DD152" s="16744"/>
      <c r="DE152" s="16744"/>
      <c r="DF152" s="16744"/>
      <c r="DG152" s="16744"/>
      <c r="DH152" s="16744"/>
      <c r="DI152" s="16745"/>
      <c r="DJ152" s="16743"/>
      <c r="DK152" s="16744"/>
      <c r="DL152" s="16744"/>
      <c r="DM152" s="16744"/>
      <c r="DN152" s="16744"/>
      <c r="DO152" s="16744"/>
      <c r="DP152" s="16744"/>
      <c r="DQ152" s="16744"/>
      <c r="DR152" s="16745"/>
      <c r="DS152" s="16743"/>
      <c r="DT152" s="16744"/>
      <c r="DU152" s="16744"/>
      <c r="DV152" s="16744"/>
      <c r="DW152" s="16744"/>
      <c r="DX152" s="16744"/>
      <c r="DY152" s="16744"/>
      <c r="DZ152" s="16744"/>
      <c r="EA152" s="16745"/>
      <c r="EB152" s="11469"/>
      <c r="EC152" s="11470" t="s">
        <v>462</v>
      </c>
      <c r="ED152" s="11471"/>
      <c r="EE152" s="11472"/>
      <c r="EF152" s="11472" t="str">
        <f>IF(V152="","",V152)</f>
        <v>Источник тепловой энергии  </v>
      </c>
      <c r="EG152" s="11472"/>
      <c r="EH152" s="11472"/>
      <c r="EI152" s="11462">
        <v>0</v>
      </c>
    </row>
    <row s="36199" customFormat="1" customHeight="1" ht="14.25">
      <c r="A153" s="8474"/>
      <c r="B153" s="8474"/>
      <c r="C153" s="8474"/>
      <c r="D153" s="8474"/>
      <c r="E153" s="11456"/>
      <c r="F153" s="11456" t="s">
        <v>124</v>
      </c>
      <c r="G153" s="11456"/>
      <c r="H153" s="11456"/>
      <c r="I153" s="11479" t="str">
        <f>U152&amp;".1"</f>
        <v>1.6.1.1.1</v>
      </c>
      <c r="J153" s="8474"/>
      <c r="K153" s="8474"/>
      <c r="L153" s="8474"/>
      <c r="M153" s="11458" t="s">
        <v>463</v>
      </c>
      <c r="N153" s="11462"/>
      <c r="O153" s="11480"/>
      <c r="P153" s="11480"/>
      <c r="Q153" s="11481">
        <v>1</v>
      </c>
      <c r="R153" s="11481"/>
      <c r="S153" s="11481"/>
      <c r="T153" s="11482"/>
      <c r="U153" s="11483"/>
      <c r="V153" s="11484"/>
      <c r="W153" s="11485"/>
      <c r="X153" s="11486"/>
      <c r="Y153" s="11487"/>
      <c r="Z153" s="11487"/>
      <c r="AA153" s="11487"/>
      <c r="AB153" s="11487"/>
      <c r="AC153" s="11487"/>
      <c r="AD153" s="11487"/>
      <c r="AE153" s="11487"/>
      <c r="AF153" s="11488"/>
      <c r="AG153" s="11486"/>
      <c r="AH153" s="11487"/>
      <c r="AI153" s="11487"/>
      <c r="AJ153" s="11487"/>
      <c r="AK153" s="11487"/>
      <c r="AL153" s="11487"/>
      <c r="AM153" s="11487"/>
      <c r="AN153" s="11487"/>
      <c r="AO153" s="11487"/>
      <c r="AP153" s="16746"/>
      <c r="AQ153" s="16747"/>
      <c r="AR153" s="16747"/>
      <c r="AS153" s="16747"/>
      <c r="AT153" s="16747"/>
      <c r="AU153" s="16747"/>
      <c r="AV153" s="16747"/>
      <c r="AW153" s="16747"/>
      <c r="AX153" s="16748"/>
      <c r="AY153" s="16746"/>
      <c r="AZ153" s="16747"/>
      <c r="BA153" s="16747"/>
      <c r="BB153" s="16747"/>
      <c r="BC153" s="16747"/>
      <c r="BD153" s="16747"/>
      <c r="BE153" s="16747"/>
      <c r="BF153" s="16747"/>
      <c r="BG153" s="16748"/>
      <c r="BH153" s="16746"/>
      <c r="BI153" s="16747"/>
      <c r="BJ153" s="16747"/>
      <c r="BK153" s="16747"/>
      <c r="BL153" s="16747"/>
      <c r="BM153" s="16747"/>
      <c r="BN153" s="16747"/>
      <c r="BO153" s="16747"/>
      <c r="BP153" s="16748"/>
      <c r="BQ153" s="16746"/>
      <c r="BR153" s="16747"/>
      <c r="BS153" s="16747"/>
      <c r="BT153" s="16747"/>
      <c r="BU153" s="16747"/>
      <c r="BV153" s="16747"/>
      <c r="BW153" s="16747"/>
      <c r="BX153" s="16747"/>
      <c r="BY153" s="16748"/>
      <c r="BZ153" s="16746"/>
      <c r="CA153" s="16747"/>
      <c r="CB153" s="16747"/>
      <c r="CC153" s="16747"/>
      <c r="CD153" s="16747"/>
      <c r="CE153" s="16747"/>
      <c r="CF153" s="16747"/>
      <c r="CG153" s="16747"/>
      <c r="CH153" s="16748"/>
      <c r="CI153" s="16746"/>
      <c r="CJ153" s="16747"/>
      <c r="CK153" s="16747"/>
      <c r="CL153" s="16747"/>
      <c r="CM153" s="16747"/>
      <c r="CN153" s="16747"/>
      <c r="CO153" s="16747"/>
      <c r="CP153" s="16747"/>
      <c r="CQ153" s="16748"/>
      <c r="CR153" s="16746"/>
      <c r="CS153" s="16747"/>
      <c r="CT153" s="16747"/>
      <c r="CU153" s="16747"/>
      <c r="CV153" s="16747"/>
      <c r="CW153" s="16747"/>
      <c r="CX153" s="16747"/>
      <c r="CY153" s="16747"/>
      <c r="CZ153" s="16748"/>
      <c r="DA153" s="16746"/>
      <c r="DB153" s="16747"/>
      <c r="DC153" s="16747"/>
      <c r="DD153" s="16747"/>
      <c r="DE153" s="16747"/>
      <c r="DF153" s="16747"/>
      <c r="DG153" s="16747"/>
      <c r="DH153" s="16747"/>
      <c r="DI153" s="16748"/>
      <c r="DJ153" s="16746"/>
      <c r="DK153" s="16747"/>
      <c r="DL153" s="16747"/>
      <c r="DM153" s="16747"/>
      <c r="DN153" s="16747"/>
      <c r="DO153" s="16747"/>
      <c r="DP153" s="16747"/>
      <c r="DQ153" s="16747"/>
      <c r="DR153" s="16748"/>
      <c r="DS153" s="16746"/>
      <c r="DT153" s="16747"/>
      <c r="DU153" s="16747"/>
      <c r="DV153" s="16747"/>
      <c r="DW153" s="16747"/>
      <c r="DX153" s="16747"/>
      <c r="DY153" s="16747"/>
      <c r="DZ153" s="16747"/>
      <c r="EA153" s="16748"/>
      <c r="EB153" s="11488"/>
      <c r="EC153" s="11489"/>
      <c r="ED153" s="11471"/>
      <c r="EE153" s="11472"/>
      <c r="EF153" s="11472" t="str">
        <f>IF(V153="","",V153)</f>
        <v/>
      </c>
      <c r="EG153" s="11472"/>
      <c r="EH153" s="11472"/>
      <c r="EI153" s="11462">
        <v>0</v>
      </c>
    </row>
    <row s="36200" customFormat="1" customHeight="1" ht="21">
      <c r="A154" s="8474"/>
      <c r="B154" s="8474"/>
      <c r="C154" s="8474"/>
      <c r="D154" s="8474"/>
      <c r="E154" s="11456"/>
      <c r="F154" s="11456" t="s">
        <v>124</v>
      </c>
      <c r="G154" s="11456"/>
      <c r="H154" s="11456"/>
      <c r="I154" s="11491"/>
      <c r="J154" s="11479" t="str">
        <f>I153&amp;".1"</f>
        <v>1.6.1.1.1.1</v>
      </c>
      <c r="K154" s="8474"/>
      <c r="L154" s="8474"/>
      <c r="M154" s="11458" t="s">
        <v>466</v>
      </c>
      <c r="N154" s="11462"/>
      <c r="O154" s="11462"/>
      <c r="P154" s="11480"/>
      <c r="Q154" s="11481"/>
      <c r="R154" s="11481">
        <v>1</v>
      </c>
      <c r="S154" s="11471"/>
      <c r="T154" s="11492"/>
      <c r="U154" s="11464" t="str">
        <f>$J154</f>
        <v>1.6.1.1.1.1</v>
      </c>
      <c r="V154" s="11493" t="s">
        <v>467</v>
      </c>
      <c r="W154" s="11466"/>
      <c r="X154" s="11494"/>
      <c r="Y154" s="11495"/>
      <c r="Z154" s="11495"/>
      <c r="AA154" s="11495"/>
      <c r="AB154" s="11495"/>
      <c r="AC154" s="11496"/>
      <c r="AD154" s="11496"/>
      <c r="AE154" s="11496"/>
      <c r="AF154" s="11497"/>
      <c r="AG154" s="11494" t="s">
        <v>535</v>
      </c>
      <c r="AH154" s="11495"/>
      <c r="AI154" s="11495"/>
      <c r="AJ154" s="11495"/>
      <c r="AK154" s="11495"/>
      <c r="AL154" s="11495"/>
      <c r="AM154" s="11495"/>
      <c r="AN154" s="11495"/>
      <c r="AO154" s="11495"/>
      <c r="AP154" s="16750"/>
      <c r="AQ154" s="16751"/>
      <c r="AR154" s="16751"/>
      <c r="AS154" s="16751"/>
      <c r="AT154" s="16751"/>
      <c r="AU154" s="16752"/>
      <c r="AV154" s="16752"/>
      <c r="AW154" s="16752"/>
      <c r="AX154" s="16753"/>
      <c r="AY154" s="16750"/>
      <c r="AZ154" s="16751"/>
      <c r="BA154" s="16751"/>
      <c r="BB154" s="16751"/>
      <c r="BC154" s="16751"/>
      <c r="BD154" s="16752"/>
      <c r="BE154" s="16752"/>
      <c r="BF154" s="16752"/>
      <c r="BG154" s="16753"/>
      <c r="BH154" s="16750"/>
      <c r="BI154" s="16751"/>
      <c r="BJ154" s="16751"/>
      <c r="BK154" s="16751"/>
      <c r="BL154" s="16751"/>
      <c r="BM154" s="16752"/>
      <c r="BN154" s="16752"/>
      <c r="BO154" s="16752"/>
      <c r="BP154" s="16753"/>
      <c r="BQ154" s="16750"/>
      <c r="BR154" s="16751"/>
      <c r="BS154" s="16751"/>
      <c r="BT154" s="16751"/>
      <c r="BU154" s="16751"/>
      <c r="BV154" s="16752"/>
      <c r="BW154" s="16752"/>
      <c r="BX154" s="16752"/>
      <c r="BY154" s="16753"/>
      <c r="BZ154" s="16750"/>
      <c r="CA154" s="16751"/>
      <c r="CB154" s="16751"/>
      <c r="CC154" s="16751"/>
      <c r="CD154" s="16751"/>
      <c r="CE154" s="16752"/>
      <c r="CF154" s="16752"/>
      <c r="CG154" s="16752"/>
      <c r="CH154" s="16753"/>
      <c r="CI154" s="16750"/>
      <c r="CJ154" s="16751"/>
      <c r="CK154" s="16751"/>
      <c r="CL154" s="16751"/>
      <c r="CM154" s="16751"/>
      <c r="CN154" s="16752"/>
      <c r="CO154" s="16752"/>
      <c r="CP154" s="16752"/>
      <c r="CQ154" s="16753"/>
      <c r="CR154" s="16750"/>
      <c r="CS154" s="16751"/>
      <c r="CT154" s="16751"/>
      <c r="CU154" s="16751"/>
      <c r="CV154" s="16751"/>
      <c r="CW154" s="16752"/>
      <c r="CX154" s="16752"/>
      <c r="CY154" s="16752"/>
      <c r="CZ154" s="16753"/>
      <c r="DA154" s="16750"/>
      <c r="DB154" s="16751"/>
      <c r="DC154" s="16751"/>
      <c r="DD154" s="16751"/>
      <c r="DE154" s="16751"/>
      <c r="DF154" s="16752"/>
      <c r="DG154" s="16752"/>
      <c r="DH154" s="16752"/>
      <c r="DI154" s="16753"/>
      <c r="DJ154" s="16750"/>
      <c r="DK154" s="16751"/>
      <c r="DL154" s="16751"/>
      <c r="DM154" s="16751"/>
      <c r="DN154" s="16751"/>
      <c r="DO154" s="16752"/>
      <c r="DP154" s="16752"/>
      <c r="DQ154" s="16752"/>
      <c r="DR154" s="16753"/>
      <c r="DS154" s="16750"/>
      <c r="DT154" s="16751"/>
      <c r="DU154" s="16751"/>
      <c r="DV154" s="16751"/>
      <c r="DW154" s="16751"/>
      <c r="DX154" s="16752"/>
      <c r="DY154" s="16752"/>
      <c r="DZ154" s="16752"/>
      <c r="EA154" s="16753"/>
      <c r="EB154" s="11498"/>
      <c r="EC154" s="11470" t="s">
        <v>468</v>
      </c>
      <c r="ED154" s="11471"/>
      <c r="EE154" s="11472"/>
      <c r="EF154" s="11472" t="str">
        <f>IF(V154="","",V154)</f>
        <v>Группа потребителей</v>
      </c>
      <c r="EG154" s="11472"/>
      <c r="EH154" s="11472"/>
      <c r="EI154" s="11462">
        <v>0</v>
      </c>
    </row>
    <row s="36201" customFormat="1" customHeight="1" ht="21">
      <c r="A155" s="8474"/>
      <c r="B155" s="8474"/>
      <c r="C155" s="8474"/>
      <c r="D155" s="8474"/>
      <c r="E155" s="11456"/>
      <c r="F155" s="11456" t="s">
        <v>124</v>
      </c>
      <c r="G155" s="11456"/>
      <c r="H155" s="11456"/>
      <c r="I155" s="11491"/>
      <c r="J155" s="11491"/>
      <c r="K155" s="11479" t="str">
        <f>J154&amp;".1"</f>
        <v>1.6.1.1.1.1.1</v>
      </c>
      <c r="L155" s="11460"/>
      <c r="M155" s="11458" t="s">
        <v>469</v>
      </c>
      <c r="N155" s="11462"/>
      <c r="O155" s="11462"/>
      <c r="P155" s="11462"/>
      <c r="Q155" s="11481"/>
      <c r="R155" s="11481"/>
      <c r="S155" s="11481">
        <v>1</v>
      </c>
      <c r="T155" s="11492"/>
      <c r="U155" s="11464" t="str">
        <f>$K155</f>
        <v>1.6.1.1.1.1.1</v>
      </c>
      <c r="V155" s="11500" t="s">
        <v>508</v>
      </c>
      <c r="W155" s="11466"/>
      <c r="X155" s="17062"/>
      <c r="Y155" s="17062"/>
      <c r="Z155" s="17062"/>
      <c r="AA155" s="17062"/>
      <c r="AB155" s="17063"/>
      <c r="AC155" s="17064"/>
      <c r="AD155" s="17065" t="s">
        <v>64</v>
      </c>
      <c r="AE155" s="17064"/>
      <c r="AF155" s="17065" t="s">
        <v>64</v>
      </c>
      <c r="AG155" s="11504"/>
      <c r="AH155" s="11501">
        <v>52.56</v>
      </c>
      <c r="AI155" s="11501">
        <v>1906.98</v>
      </c>
      <c r="AJ155" s="11501"/>
      <c r="AK155" s="11505"/>
      <c r="AL155" s="16759">
        <v>45292</v>
      </c>
      <c r="AM155" s="8452" t="s">
        <v>64</v>
      </c>
      <c r="AN155" s="16759">
        <v>45473</v>
      </c>
      <c r="AO155" s="8452" t="s">
        <v>64</v>
      </c>
      <c r="AP155" s="16757"/>
      <c r="AQ155" s="16757">
        <v>78.83</v>
      </c>
      <c r="AR155" s="16757">
        <v>2193.03</v>
      </c>
      <c r="AS155" s="16757"/>
      <c r="AT155" s="16758"/>
      <c r="AU155" s="16759">
        <v>45474</v>
      </c>
      <c r="AV155" s="16760" t="s">
        <v>64</v>
      </c>
      <c r="AW155" s="16759">
        <v>45657</v>
      </c>
      <c r="AX155" s="16760" t="s">
        <v>64</v>
      </c>
      <c r="AY155" s="16757"/>
      <c r="AZ155" s="16757">
        <v>78.83</v>
      </c>
      <c r="BA155" s="16757">
        <v>2193.03</v>
      </c>
      <c r="BB155" s="16757"/>
      <c r="BC155" s="16758"/>
      <c r="BD155" s="16759">
        <v>45658</v>
      </c>
      <c r="BE155" s="16760" t="s">
        <v>64</v>
      </c>
      <c r="BF155" s="16759">
        <v>45838</v>
      </c>
      <c r="BG155" s="16760" t="s">
        <v>64</v>
      </c>
      <c r="BH155" s="16757"/>
      <c r="BI155" s="16757">
        <v>88.45</v>
      </c>
      <c r="BJ155" s="16757">
        <v>2460.58</v>
      </c>
      <c r="BK155" s="16757"/>
      <c r="BL155" s="16758"/>
      <c r="BM155" s="16759">
        <v>45839</v>
      </c>
      <c r="BN155" s="16760" t="s">
        <v>64</v>
      </c>
      <c r="BO155" s="16759">
        <v>46022</v>
      </c>
      <c r="BP155" s="16760" t="s">
        <v>64</v>
      </c>
      <c r="BQ155" s="16757"/>
      <c r="BR155" s="16757">
        <v>118.25</v>
      </c>
      <c r="BS155" s="16757">
        <v>2301.63</v>
      </c>
      <c r="BT155" s="16757"/>
      <c r="BU155" s="16758"/>
      <c r="BV155" s="16759">
        <v>46023</v>
      </c>
      <c r="BW155" s="16760" t="s">
        <v>64</v>
      </c>
      <c r="BX155" s="16759">
        <v>46203</v>
      </c>
      <c r="BY155" s="16760" t="s">
        <v>64</v>
      </c>
      <c r="BZ155" s="16757"/>
      <c r="CA155" s="16757">
        <v>171.46</v>
      </c>
      <c r="CB155" s="16757">
        <v>2301.63</v>
      </c>
      <c r="CC155" s="16757"/>
      <c r="CD155" s="16758"/>
      <c r="CE155" s="16759">
        <v>46204</v>
      </c>
      <c r="CF155" s="16760" t="s">
        <v>64</v>
      </c>
      <c r="CG155" s="16759">
        <v>46387</v>
      </c>
      <c r="CH155" s="16760" t="s">
        <v>64</v>
      </c>
      <c r="CI155" s="16757"/>
      <c r="CJ155" s="16757">
        <v>171.46</v>
      </c>
      <c r="CK155" s="16757">
        <v>2301.63</v>
      </c>
      <c r="CL155" s="16757"/>
      <c r="CM155" s="16758"/>
      <c r="CN155" s="16759">
        <v>46388</v>
      </c>
      <c r="CO155" s="16760" t="s">
        <v>64</v>
      </c>
      <c r="CP155" s="16759">
        <v>46568</v>
      </c>
      <c r="CQ155" s="16760" t="s">
        <v>64</v>
      </c>
      <c r="CR155" s="16757"/>
      <c r="CS155" s="16757">
        <v>248.62</v>
      </c>
      <c r="CT155" s="16757">
        <v>2367.79</v>
      </c>
      <c r="CU155" s="16757"/>
      <c r="CV155" s="16758"/>
      <c r="CW155" s="16759">
        <v>46569</v>
      </c>
      <c r="CX155" s="16760" t="s">
        <v>64</v>
      </c>
      <c r="CY155" s="16759">
        <v>46752</v>
      </c>
      <c r="CZ155" s="16760" t="s">
        <v>64</v>
      </c>
      <c r="DA155" s="16757"/>
      <c r="DB155" s="16757">
        <v>248.62</v>
      </c>
      <c r="DC155" s="16757">
        <v>2367.79</v>
      </c>
      <c r="DD155" s="16757"/>
      <c r="DE155" s="16758"/>
      <c r="DF155" s="16759">
        <v>46753</v>
      </c>
      <c r="DG155" s="16760" t="s">
        <v>64</v>
      </c>
      <c r="DH155" s="16759">
        <v>46934</v>
      </c>
      <c r="DI155" s="16760" t="s">
        <v>64</v>
      </c>
      <c r="DJ155" s="16757"/>
      <c r="DK155" s="16757">
        <v>358.79</v>
      </c>
      <c r="DL155" s="16757">
        <v>2400.63</v>
      </c>
      <c r="DM155" s="16757"/>
      <c r="DN155" s="16758"/>
      <c r="DO155" s="16759">
        <v>46935</v>
      </c>
      <c r="DP155" s="16760" t="s">
        <v>64</v>
      </c>
      <c r="DQ155" s="16759">
        <v>47118</v>
      </c>
      <c r="DR155" s="16760" t="s">
        <v>19</v>
      </c>
      <c r="DS155" s="17062"/>
      <c r="DT155" s="17062"/>
      <c r="DU155" s="17062"/>
      <c r="DV155" s="17062"/>
      <c r="DW155" s="17063"/>
      <c r="DX155" s="17064"/>
      <c r="DY155" s="17065" t="s">
        <v>64</v>
      </c>
      <c r="DZ155" s="17064"/>
      <c r="EA155" s="17065" t="s">
        <v>64</v>
      </c>
      <c r="EB155" s="11506"/>
      <c r="EC155" s="11507" t="s">
        <v>523</v>
      </c>
      <c r="ED155" s="11471">
        <f>STRCHECKDATE(X157:EB157)</f>
      </c>
      <c r="EE155" s="11472"/>
      <c r="EF155" s="11472" t="str">
        <f>IF(V155="","",V155)</f>
        <v>вода</v>
      </c>
      <c r="EG155" s="11472"/>
      <c r="EH155" s="11472"/>
      <c r="EI155" s="11462">
        <v>0</v>
      </c>
    </row>
    <row s="36202" customFormat="1" customHeight="1" ht="21">
      <c r="A156" s="8474"/>
      <c r="B156" s="8474"/>
      <c r="C156" s="8474"/>
      <c r="D156" s="8474"/>
      <c r="E156" s="11456"/>
      <c r="F156" s="11456" t="s">
        <v>124</v>
      </c>
      <c r="G156" s="11456"/>
      <c r="H156" s="11456"/>
      <c r="I156" s="11491"/>
      <c r="J156" s="11491"/>
      <c r="K156" s="11491"/>
      <c r="L156" s="11479" t="str">
        <f>K155&amp;".1"</f>
        <v>1.6.1.1.1.1.1.1</v>
      </c>
      <c r="M156" s="11458"/>
      <c r="N156" s="11462"/>
      <c r="O156" s="11462"/>
      <c r="P156" s="11462"/>
      <c r="Q156" s="11481"/>
      <c r="R156" s="11481"/>
      <c r="S156" s="11481"/>
      <c r="T156" s="11492"/>
      <c r="U156" s="11464" t="str">
        <f>$L156</f>
        <v>1.6.1.1.1.1.1.1</v>
      </c>
      <c r="V156" s="11509"/>
      <c r="W156" s="11466"/>
      <c r="X156" s="17062"/>
      <c r="Y156" s="17062"/>
      <c r="Z156" s="17062"/>
      <c r="AA156" s="17062"/>
      <c r="AB156" s="17063"/>
      <c r="AC156" s="17064"/>
      <c r="AD156" s="17065"/>
      <c r="AE156" s="17064"/>
      <c r="AF156" s="17065"/>
      <c r="AG156" s="11504"/>
      <c r="AH156" s="11501"/>
      <c r="AI156" s="11501"/>
      <c r="AJ156" s="11501"/>
      <c r="AK156" s="11505"/>
      <c r="AL156" s="11510"/>
      <c r="AM156" s="8452"/>
      <c r="AN156" s="11510"/>
      <c r="AO156" s="8452"/>
      <c r="AP156" s="16764"/>
      <c r="AQ156" s="16757"/>
      <c r="AR156" s="16757"/>
      <c r="AS156" s="16757"/>
      <c r="AT156" s="16758"/>
      <c r="AU156" s="16765"/>
      <c r="AV156" s="16760"/>
      <c r="AW156" s="16765"/>
      <c r="AX156" s="16760"/>
      <c r="AY156" s="16764"/>
      <c r="AZ156" s="16757"/>
      <c r="BA156" s="16757"/>
      <c r="BB156" s="16757"/>
      <c r="BC156" s="16758"/>
      <c r="BD156" s="16765"/>
      <c r="BE156" s="16760"/>
      <c r="BF156" s="16765"/>
      <c r="BG156" s="16760"/>
      <c r="BH156" s="16764"/>
      <c r="BI156" s="16757"/>
      <c r="BJ156" s="16757"/>
      <c r="BK156" s="16757"/>
      <c r="BL156" s="16758"/>
      <c r="BM156" s="16765"/>
      <c r="BN156" s="16760"/>
      <c r="BO156" s="16765"/>
      <c r="BP156" s="16760"/>
      <c r="BQ156" s="16764"/>
      <c r="BR156" s="16757"/>
      <c r="BS156" s="16757"/>
      <c r="BT156" s="16757"/>
      <c r="BU156" s="16758"/>
      <c r="BV156" s="16765"/>
      <c r="BW156" s="16760"/>
      <c r="BX156" s="16765"/>
      <c r="BY156" s="16760"/>
      <c r="BZ156" s="16764"/>
      <c r="CA156" s="16757"/>
      <c r="CB156" s="16757"/>
      <c r="CC156" s="16757"/>
      <c r="CD156" s="16758"/>
      <c r="CE156" s="16765"/>
      <c r="CF156" s="16760"/>
      <c r="CG156" s="16765"/>
      <c r="CH156" s="16760"/>
      <c r="CI156" s="16764"/>
      <c r="CJ156" s="16757"/>
      <c r="CK156" s="16757"/>
      <c r="CL156" s="16757"/>
      <c r="CM156" s="16758"/>
      <c r="CN156" s="16765"/>
      <c r="CO156" s="16760"/>
      <c r="CP156" s="16765"/>
      <c r="CQ156" s="16760"/>
      <c r="CR156" s="16764"/>
      <c r="CS156" s="16757"/>
      <c r="CT156" s="16757"/>
      <c r="CU156" s="16757"/>
      <c r="CV156" s="16758"/>
      <c r="CW156" s="16765"/>
      <c r="CX156" s="16760"/>
      <c r="CY156" s="16765"/>
      <c r="CZ156" s="16760"/>
      <c r="DA156" s="16764"/>
      <c r="DB156" s="16757"/>
      <c r="DC156" s="16757"/>
      <c r="DD156" s="16757"/>
      <c r="DE156" s="16758"/>
      <c r="DF156" s="16765"/>
      <c r="DG156" s="16760"/>
      <c r="DH156" s="16765"/>
      <c r="DI156" s="16760"/>
      <c r="DJ156" s="16764"/>
      <c r="DK156" s="16757"/>
      <c r="DL156" s="16757"/>
      <c r="DM156" s="16757"/>
      <c r="DN156" s="16758"/>
      <c r="DO156" s="16765"/>
      <c r="DP156" s="16760"/>
      <c r="DQ156" s="16765"/>
      <c r="DR156" s="16760"/>
      <c r="DS156" s="17062"/>
      <c r="DT156" s="17062"/>
      <c r="DU156" s="17062"/>
      <c r="DV156" s="17062"/>
      <c r="DW156" s="17063"/>
      <c r="DX156" s="17064"/>
      <c r="DY156" s="17065"/>
      <c r="DZ156" s="17064"/>
      <c r="EA156" s="17065"/>
      <c r="EB156" s="11506"/>
      <c r="EC156" s="11511" t="s">
        <v>524</v>
      </c>
      <c r="ED156" s="11471"/>
      <c r="EE156" s="11472"/>
      <c r="EF156" s="11472"/>
      <c r="EG156" s="11472"/>
      <c r="EH156" s="11472"/>
      <c r="EI156" s="11462">
        <v>0</v>
      </c>
    </row>
    <row s="36203" customFormat="1" customHeight="1" ht="14.25">
      <c r="A157" s="8474"/>
      <c r="B157" s="8474"/>
      <c r="C157" s="8474"/>
      <c r="D157" s="8474"/>
      <c r="E157" s="11456"/>
      <c r="F157" s="11456" t="s">
        <v>124</v>
      </c>
      <c r="G157" s="11456"/>
      <c r="H157" s="11456"/>
      <c r="I157" s="11491"/>
      <c r="J157" s="11491"/>
      <c r="K157" s="11491"/>
      <c r="L157" s="11479"/>
      <c r="M157" s="11458"/>
      <c r="N157" s="11462"/>
      <c r="O157" s="11462"/>
      <c r="P157" s="11462"/>
      <c r="Q157" s="11481"/>
      <c r="R157" s="11481"/>
      <c r="S157" s="11481"/>
      <c r="T157" s="11492"/>
      <c r="U157" s="11513"/>
      <c r="V157" s="11466"/>
      <c r="W157" s="11466"/>
      <c r="X157" s="17062"/>
      <c r="Y157" s="17062"/>
      <c r="Z157" s="17062"/>
      <c r="AA157" s="17062"/>
      <c r="AB157" s="17063"/>
      <c r="AC157" s="17064"/>
      <c r="AD157" s="17065"/>
      <c r="AE157" s="17064"/>
      <c r="AF157" s="17065"/>
      <c r="AG157" s="11515"/>
      <c r="AH157" s="11506"/>
      <c r="AI157" s="11506"/>
      <c r="AJ157" s="11506"/>
      <c r="AK157" s="11516" t="str">
        <f>AL155&amp;"-"&amp;AN155</f>
        <v>45292-45473</v>
      </c>
      <c r="AL157" s="11510"/>
      <c r="AM157" s="8452"/>
      <c r="AN157" s="11510"/>
      <c r="AO157" s="8452"/>
      <c r="AP157" s="16764"/>
      <c r="AQ157" s="16764"/>
      <c r="AR157" s="16764"/>
      <c r="AS157" s="16764"/>
      <c r="AT157" s="16768" t="str">
        <f>AU155&amp;"-"&amp;AW155</f>
        <v>45474-45657</v>
      </c>
      <c r="AU157" s="16765"/>
      <c r="AV157" s="16760"/>
      <c r="AW157" s="16765"/>
      <c r="AX157" s="16760"/>
      <c r="AY157" s="16764"/>
      <c r="AZ157" s="16764"/>
      <c r="BA157" s="16764"/>
      <c r="BB157" s="16764"/>
      <c r="BC157" s="16768" t="str">
        <f>BD155&amp;"-"&amp;BF155</f>
        <v>45658-45838</v>
      </c>
      <c r="BD157" s="16765"/>
      <c r="BE157" s="16760"/>
      <c r="BF157" s="16765"/>
      <c r="BG157" s="16760"/>
      <c r="BH157" s="16764"/>
      <c r="BI157" s="16764"/>
      <c r="BJ157" s="16764"/>
      <c r="BK157" s="16764"/>
      <c r="BL157" s="16768" t="str">
        <f>BM155&amp;"-"&amp;BO155</f>
        <v>45839-46022</v>
      </c>
      <c r="BM157" s="16765"/>
      <c r="BN157" s="16760"/>
      <c r="BO157" s="16765"/>
      <c r="BP157" s="16760"/>
      <c r="BQ157" s="16764"/>
      <c r="BR157" s="16764"/>
      <c r="BS157" s="16764"/>
      <c r="BT157" s="16764"/>
      <c r="BU157" s="16768" t="str">
        <f>BV155&amp;"-"&amp;BX155</f>
        <v>46023-46203</v>
      </c>
      <c r="BV157" s="16765"/>
      <c r="BW157" s="16760"/>
      <c r="BX157" s="16765"/>
      <c r="BY157" s="16760"/>
      <c r="BZ157" s="16764"/>
      <c r="CA157" s="16764"/>
      <c r="CB157" s="16764"/>
      <c r="CC157" s="16764"/>
      <c r="CD157" s="16768" t="str">
        <f>CE155&amp;"-"&amp;CG155</f>
        <v>46204-46387</v>
      </c>
      <c r="CE157" s="16765"/>
      <c r="CF157" s="16760"/>
      <c r="CG157" s="16765"/>
      <c r="CH157" s="16760"/>
      <c r="CI157" s="16764"/>
      <c r="CJ157" s="16764"/>
      <c r="CK157" s="16764"/>
      <c r="CL157" s="16764"/>
      <c r="CM157" s="16768" t="str">
        <f>CN155&amp;"-"&amp;CP155</f>
        <v>46388-46568</v>
      </c>
      <c r="CN157" s="16765"/>
      <c r="CO157" s="16760"/>
      <c r="CP157" s="16765"/>
      <c r="CQ157" s="16760"/>
      <c r="CR157" s="16764"/>
      <c r="CS157" s="16764"/>
      <c r="CT157" s="16764"/>
      <c r="CU157" s="16764"/>
      <c r="CV157" s="16768" t="str">
        <f>CW155&amp;"-"&amp;CY155</f>
        <v>46569-46752</v>
      </c>
      <c r="CW157" s="16765"/>
      <c r="CX157" s="16760"/>
      <c r="CY157" s="16765"/>
      <c r="CZ157" s="16760"/>
      <c r="DA157" s="16764"/>
      <c r="DB157" s="16764"/>
      <c r="DC157" s="16764"/>
      <c r="DD157" s="16764"/>
      <c r="DE157" s="16768" t="str">
        <f>DF155&amp;"-"&amp;DH155</f>
        <v>46753-46934</v>
      </c>
      <c r="DF157" s="16765"/>
      <c r="DG157" s="16760"/>
      <c r="DH157" s="16765"/>
      <c r="DI157" s="16760"/>
      <c r="DJ157" s="16764"/>
      <c r="DK157" s="16764"/>
      <c r="DL157" s="16764"/>
      <c r="DM157" s="16764"/>
      <c r="DN157" s="16768" t="str">
        <f>DO155&amp;"-"&amp;DQ155</f>
        <v>46935-47118</v>
      </c>
      <c r="DO157" s="16765"/>
      <c r="DP157" s="16760"/>
      <c r="DQ157" s="16765"/>
      <c r="DR157" s="16760"/>
      <c r="DS157" s="17062"/>
      <c r="DT157" s="17062"/>
      <c r="DU157" s="17062"/>
      <c r="DV157" s="17062"/>
      <c r="DW157" s="17063"/>
      <c r="DX157" s="17064"/>
      <c r="DY157" s="17065"/>
      <c r="DZ157" s="17064"/>
      <c r="EA157" s="17065"/>
      <c r="EB157" s="11506"/>
      <c r="EC157" s="11517"/>
      <c r="ED157" s="11471"/>
      <c r="EE157" s="11472"/>
      <c r="EF157" s="11472" t="str">
        <f>IF(V157="","",V157)</f>
        <v/>
      </c>
      <c r="EG157" s="11472"/>
      <c r="EH157" s="11472"/>
      <c r="EI157" s="11462">
        <v>0</v>
      </c>
    </row>
    <row s="36204" customFormat="1" customHeight="1" ht="11.25">
      <c r="A158" s="8474"/>
      <c r="B158" s="8474"/>
      <c r="C158" s="8474"/>
      <c r="D158" s="8474"/>
      <c r="E158" s="11456"/>
      <c r="F158" s="11456" t="s">
        <v>124</v>
      </c>
      <c r="G158" s="11456"/>
      <c r="H158" s="11456"/>
      <c r="I158" s="11491"/>
      <c r="J158" s="11491"/>
      <c r="K158" s="11479"/>
      <c r="L158" s="8474"/>
      <c r="M158" s="11458"/>
      <c r="N158" s="11462"/>
      <c r="O158" s="11462"/>
      <c r="P158" s="11462"/>
      <c r="Q158" s="11481"/>
      <c r="R158" s="11481"/>
      <c r="S158" s="11481"/>
      <c r="T158" s="11492"/>
      <c r="U158" s="11832"/>
      <c r="V158" s="11833" t="s">
        <v>525</v>
      </c>
      <c r="W158" s="11834"/>
      <c r="X158" s="17062"/>
      <c r="Y158" s="17062"/>
      <c r="Z158" s="17062"/>
      <c r="AA158" s="17062"/>
      <c r="AB158" s="17069" t="str">
        <f>AC155&amp;"-"&amp;AE155</f>
        <v>-</v>
      </c>
      <c r="AC158" s="17065"/>
      <c r="AD158" s="17065"/>
      <c r="AE158" s="17065"/>
      <c r="AF158" s="17065"/>
      <c r="AG158" s="11840"/>
      <c r="AH158" s="11841"/>
      <c r="AI158" s="11842"/>
      <c r="AJ158" s="11843"/>
      <c r="AK158" s="11844"/>
      <c r="AL158" s="11510"/>
      <c r="AM158" s="8452"/>
      <c r="AN158" s="11510"/>
      <c r="AO158" s="8452"/>
      <c r="AP158" s="19415"/>
      <c r="AQ158" s="19416"/>
      <c r="AR158" s="19417"/>
      <c r="AS158" s="19418"/>
      <c r="AT158" s="19419"/>
      <c r="AU158" s="16765"/>
      <c r="AV158" s="16760"/>
      <c r="AW158" s="16765"/>
      <c r="AX158" s="16760"/>
      <c r="AY158" s="19420"/>
      <c r="AZ158" s="19421"/>
      <c r="BA158" s="19422"/>
      <c r="BB158" s="19423"/>
      <c r="BC158" s="19424"/>
      <c r="BD158" s="16765"/>
      <c r="BE158" s="16760"/>
      <c r="BF158" s="16765"/>
      <c r="BG158" s="16760"/>
      <c r="BH158" s="19425"/>
      <c r="BI158" s="19426"/>
      <c r="BJ158" s="19427"/>
      <c r="BK158" s="19428"/>
      <c r="BL158" s="19429"/>
      <c r="BM158" s="16765"/>
      <c r="BN158" s="16760"/>
      <c r="BO158" s="16765"/>
      <c r="BP158" s="16760"/>
      <c r="BQ158" s="19430"/>
      <c r="BR158" s="19431"/>
      <c r="BS158" s="19432"/>
      <c r="BT158" s="19433"/>
      <c r="BU158" s="19434"/>
      <c r="BV158" s="16765"/>
      <c r="BW158" s="16760"/>
      <c r="BX158" s="16765"/>
      <c r="BY158" s="16760"/>
      <c r="BZ158" s="19435"/>
      <c r="CA158" s="19436"/>
      <c r="CB158" s="19437"/>
      <c r="CC158" s="19438"/>
      <c r="CD158" s="19439"/>
      <c r="CE158" s="16765"/>
      <c r="CF158" s="16760"/>
      <c r="CG158" s="16765"/>
      <c r="CH158" s="16760"/>
      <c r="CI158" s="19440"/>
      <c r="CJ158" s="19441"/>
      <c r="CK158" s="19442"/>
      <c r="CL158" s="19443"/>
      <c r="CM158" s="19444"/>
      <c r="CN158" s="16765"/>
      <c r="CO158" s="16760"/>
      <c r="CP158" s="16765"/>
      <c r="CQ158" s="16760"/>
      <c r="CR158" s="19445"/>
      <c r="CS158" s="19446"/>
      <c r="CT158" s="19447"/>
      <c r="CU158" s="19448"/>
      <c r="CV158" s="19449"/>
      <c r="CW158" s="16765"/>
      <c r="CX158" s="16760"/>
      <c r="CY158" s="16765"/>
      <c r="CZ158" s="16760"/>
      <c r="DA158" s="19450"/>
      <c r="DB158" s="19451"/>
      <c r="DC158" s="19452"/>
      <c r="DD158" s="19453"/>
      <c r="DE158" s="19454"/>
      <c r="DF158" s="16765"/>
      <c r="DG158" s="16760"/>
      <c r="DH158" s="16765"/>
      <c r="DI158" s="16760"/>
      <c r="DJ158" s="19455"/>
      <c r="DK158" s="19456"/>
      <c r="DL158" s="19457"/>
      <c r="DM158" s="19458"/>
      <c r="DN158" s="19459"/>
      <c r="DO158" s="16765"/>
      <c r="DP158" s="16760"/>
      <c r="DQ158" s="16765"/>
      <c r="DR158" s="16760"/>
      <c r="DS158" s="17062"/>
      <c r="DT158" s="17062"/>
      <c r="DU158" s="17062"/>
      <c r="DV158" s="17062"/>
      <c r="DW158" s="17069" t="str">
        <f>DX155&amp;"-"&amp;DZ155</f>
        <v>-</v>
      </c>
      <c r="DX158" s="17065"/>
      <c r="DY158" s="17065"/>
      <c r="DZ158" s="17065"/>
      <c r="EA158" s="17065"/>
      <c r="EB158" s="11845"/>
      <c r="EC158" s="11517"/>
      <c r="ED158" s="11471"/>
      <c r="EE158" s="11472"/>
      <c r="EF158" s="11472"/>
      <c r="EG158" s="11472"/>
      <c r="EH158" s="11472"/>
      <c r="EI158" s="11462">
        <v>0</v>
      </c>
    </row>
    <row s="36259" customFormat="1" customHeight="1" ht="15">
      <c r="A159" s="8474"/>
      <c r="B159" s="8474"/>
      <c r="C159" s="8474"/>
      <c r="D159" s="8474"/>
      <c r="E159" s="11456"/>
      <c r="F159" s="11456" t="s">
        <v>124</v>
      </c>
      <c r="G159" s="11456"/>
      <c r="H159" s="11456"/>
      <c r="I159" s="11491"/>
      <c r="J159" s="11479"/>
      <c r="K159" s="8474"/>
      <c r="L159" s="8474"/>
      <c r="M159" s="11458"/>
      <c r="N159" s="11462"/>
      <c r="O159" s="11462"/>
      <c r="P159" s="11480"/>
      <c r="Q159" s="11481"/>
      <c r="R159" s="11481"/>
      <c r="S159" s="11481"/>
      <c r="T159" s="11482"/>
      <c r="U159" s="11847"/>
      <c r="V159" s="11848" t="s">
        <v>471</v>
      </c>
      <c r="W159" s="11849"/>
      <c r="X159" s="11850"/>
      <c r="Y159" s="11851"/>
      <c r="Z159" s="11852"/>
      <c r="AA159" s="11853"/>
      <c r="AB159" s="11854"/>
      <c r="AC159" s="11855"/>
      <c r="AD159" s="11856"/>
      <c r="AE159" s="11857"/>
      <c r="AF159" s="11858"/>
      <c r="AG159" s="11859"/>
      <c r="AH159" s="11860"/>
      <c r="AI159" s="11861"/>
      <c r="AJ159" s="11862"/>
      <c r="AK159" s="11863"/>
      <c r="AL159" s="11864"/>
      <c r="AM159" s="11865"/>
      <c r="AN159" s="11866"/>
      <c r="AO159" s="11867"/>
      <c r="AP159" s="19483"/>
      <c r="AQ159" s="19484"/>
      <c r="AR159" s="19485"/>
      <c r="AS159" s="19486"/>
      <c r="AT159" s="19487"/>
      <c r="AU159" s="19488"/>
      <c r="AV159" s="19489"/>
      <c r="AW159" s="19490"/>
      <c r="AX159" s="19491"/>
      <c r="AY159" s="19492"/>
      <c r="AZ159" s="19493"/>
      <c r="BA159" s="19494"/>
      <c r="BB159" s="19495"/>
      <c r="BC159" s="19496"/>
      <c r="BD159" s="19497"/>
      <c r="BE159" s="19498"/>
      <c r="BF159" s="19499"/>
      <c r="BG159" s="19500"/>
      <c r="BH159" s="19501"/>
      <c r="BI159" s="19502"/>
      <c r="BJ159" s="19503"/>
      <c r="BK159" s="19504"/>
      <c r="BL159" s="19505"/>
      <c r="BM159" s="19506"/>
      <c r="BN159" s="19507"/>
      <c r="BO159" s="19508"/>
      <c r="BP159" s="19509"/>
      <c r="BQ159" s="19510"/>
      <c r="BR159" s="19511"/>
      <c r="BS159" s="19512"/>
      <c r="BT159" s="19513"/>
      <c r="BU159" s="19514"/>
      <c r="BV159" s="19515"/>
      <c r="BW159" s="19516"/>
      <c r="BX159" s="19517"/>
      <c r="BY159" s="19518"/>
      <c r="BZ159" s="19519"/>
      <c r="CA159" s="19520"/>
      <c r="CB159" s="19521"/>
      <c r="CC159" s="19522"/>
      <c r="CD159" s="19523"/>
      <c r="CE159" s="19524"/>
      <c r="CF159" s="19525"/>
      <c r="CG159" s="19526"/>
      <c r="CH159" s="19527"/>
      <c r="CI159" s="19528"/>
      <c r="CJ159" s="19529"/>
      <c r="CK159" s="19530"/>
      <c r="CL159" s="19531"/>
      <c r="CM159" s="19532"/>
      <c r="CN159" s="19533"/>
      <c r="CO159" s="19534"/>
      <c r="CP159" s="19535"/>
      <c r="CQ159" s="19536"/>
      <c r="CR159" s="19537"/>
      <c r="CS159" s="19538"/>
      <c r="CT159" s="19539"/>
      <c r="CU159" s="19540"/>
      <c r="CV159" s="19541"/>
      <c r="CW159" s="19542"/>
      <c r="CX159" s="19543"/>
      <c r="CY159" s="19544"/>
      <c r="CZ159" s="19545"/>
      <c r="DA159" s="19546"/>
      <c r="DB159" s="19547"/>
      <c r="DC159" s="19548"/>
      <c r="DD159" s="19549"/>
      <c r="DE159" s="19550"/>
      <c r="DF159" s="19551"/>
      <c r="DG159" s="19552"/>
      <c r="DH159" s="19553"/>
      <c r="DI159" s="19554"/>
      <c r="DJ159" s="19555"/>
      <c r="DK159" s="19556"/>
      <c r="DL159" s="19557"/>
      <c r="DM159" s="19558"/>
      <c r="DN159" s="19559"/>
      <c r="DO159" s="19560"/>
      <c r="DP159" s="19561"/>
      <c r="DQ159" s="19562"/>
      <c r="DR159" s="19563"/>
      <c r="DS159" s="19564"/>
      <c r="DT159" s="19565"/>
      <c r="DU159" s="19566"/>
      <c r="DV159" s="19567"/>
      <c r="DW159" s="19568"/>
      <c r="DX159" s="19569"/>
      <c r="DY159" s="19570"/>
      <c r="DZ159" s="19571"/>
      <c r="EA159" s="19572"/>
      <c r="EB159" s="11868"/>
      <c r="EC159" s="11556"/>
      <c r="ED159" s="11471"/>
      <c r="EE159" s="11472"/>
      <c r="EF159" s="11472" t="str">
        <f>IF(V159="","",V159)</f>
        <v>Добавить вид теплоносителя (параметры теплоносителя)</v>
      </c>
      <c r="EG159" s="11472"/>
      <c r="EH159" s="11472"/>
      <c r="EI159" s="11462">
        <v>0</v>
      </c>
    </row>
    <row s="36372" customFormat="1" customHeight="1" ht="21">
      <c r="A160" s="17181"/>
      <c r="B160" s="17181"/>
      <c r="C160" s="17181"/>
      <c r="D160" s="17181"/>
      <c r="E160" s="17182"/>
      <c r="F160" s="17182"/>
      <c r="G160" s="17182"/>
      <c r="H160" s="17182"/>
      <c r="I160" s="17183"/>
      <c r="J160" s="17018" t="str">
        <f>I153&amp;".2"</f>
        <v>1.6.1.1.1.2</v>
      </c>
      <c r="K160" s="17181"/>
      <c r="L160" s="17181"/>
      <c r="M160" s="17184" t="s">
        <v>466</v>
      </c>
      <c r="N160" s="16741"/>
      <c r="O160" s="16741"/>
      <c r="P160" s="17185"/>
      <c r="Q160" s="17186"/>
      <c r="R160" s="17187" t="s">
        <v>106</v>
      </c>
      <c r="S160" s="17016"/>
      <c r="T160" s="17188"/>
      <c r="U160" s="17189" t="str">
        <f>$J160</f>
        <v>1.6.1.1.1.2</v>
      </c>
      <c r="V160" s="17190" t="s">
        <v>467</v>
      </c>
      <c r="W160" s="17191"/>
      <c r="X160" s="16750"/>
      <c r="Y160" s="16751"/>
      <c r="Z160" s="16751"/>
      <c r="AA160" s="16751"/>
      <c r="AB160" s="16751"/>
      <c r="AC160" s="16752"/>
      <c r="AD160" s="16752"/>
      <c r="AE160" s="16752"/>
      <c r="AF160" s="16753"/>
      <c r="AG160" s="16750" t="s">
        <v>510</v>
      </c>
      <c r="AH160" s="16751"/>
      <c r="AI160" s="16751"/>
      <c r="AJ160" s="16751"/>
      <c r="AK160" s="16751"/>
      <c r="AL160" s="16751"/>
      <c r="AM160" s="16751"/>
      <c r="AN160" s="16751"/>
      <c r="AO160" s="16751"/>
      <c r="AP160" s="16750"/>
      <c r="AQ160" s="16751"/>
      <c r="AR160" s="16751"/>
      <c r="AS160" s="16751"/>
      <c r="AT160" s="16751"/>
      <c r="AU160" s="16752"/>
      <c r="AV160" s="16752"/>
      <c r="AW160" s="16752"/>
      <c r="AX160" s="16753"/>
      <c r="AY160" s="16750"/>
      <c r="AZ160" s="16751"/>
      <c r="BA160" s="16751"/>
      <c r="BB160" s="16751"/>
      <c r="BC160" s="16751"/>
      <c r="BD160" s="16752"/>
      <c r="BE160" s="16752"/>
      <c r="BF160" s="16752"/>
      <c r="BG160" s="16753"/>
      <c r="BH160" s="16750"/>
      <c r="BI160" s="16751"/>
      <c r="BJ160" s="16751"/>
      <c r="BK160" s="16751"/>
      <c r="BL160" s="16751"/>
      <c r="BM160" s="16752"/>
      <c r="BN160" s="16752"/>
      <c r="BO160" s="16752"/>
      <c r="BP160" s="16753"/>
      <c r="BQ160" s="16750"/>
      <c r="BR160" s="16751"/>
      <c r="BS160" s="16751"/>
      <c r="BT160" s="16751"/>
      <c r="BU160" s="16751"/>
      <c r="BV160" s="16752"/>
      <c r="BW160" s="16752"/>
      <c r="BX160" s="16752"/>
      <c r="BY160" s="16753"/>
      <c r="BZ160" s="16750"/>
      <c r="CA160" s="16751"/>
      <c r="CB160" s="16751"/>
      <c r="CC160" s="16751"/>
      <c r="CD160" s="16751"/>
      <c r="CE160" s="16752"/>
      <c r="CF160" s="16752"/>
      <c r="CG160" s="16752"/>
      <c r="CH160" s="16753"/>
      <c r="CI160" s="16750"/>
      <c r="CJ160" s="16751"/>
      <c r="CK160" s="16751"/>
      <c r="CL160" s="16751"/>
      <c r="CM160" s="16751"/>
      <c r="CN160" s="16752"/>
      <c r="CO160" s="16752"/>
      <c r="CP160" s="16752"/>
      <c r="CQ160" s="16753"/>
      <c r="CR160" s="16750"/>
      <c r="CS160" s="16751"/>
      <c r="CT160" s="16751"/>
      <c r="CU160" s="16751"/>
      <c r="CV160" s="16751"/>
      <c r="CW160" s="16752"/>
      <c r="CX160" s="16752"/>
      <c r="CY160" s="16752"/>
      <c r="CZ160" s="16753"/>
      <c r="DA160" s="16750"/>
      <c r="DB160" s="16751"/>
      <c r="DC160" s="16751"/>
      <c r="DD160" s="16751"/>
      <c r="DE160" s="16751"/>
      <c r="DF160" s="16752"/>
      <c r="DG160" s="16752"/>
      <c r="DH160" s="16752"/>
      <c r="DI160" s="16753"/>
      <c r="DJ160" s="16750"/>
      <c r="DK160" s="16751"/>
      <c r="DL160" s="16751"/>
      <c r="DM160" s="16751"/>
      <c r="DN160" s="16751"/>
      <c r="DO160" s="16752"/>
      <c r="DP160" s="16752"/>
      <c r="DQ160" s="16752"/>
      <c r="DR160" s="16753"/>
      <c r="DS160" s="16750"/>
      <c r="DT160" s="16751"/>
      <c r="DU160" s="16751"/>
      <c r="DV160" s="16751"/>
      <c r="DW160" s="16751"/>
      <c r="DX160" s="16752"/>
      <c r="DY160" s="16752"/>
      <c r="DZ160" s="16752"/>
      <c r="EA160" s="16753"/>
      <c r="EB160" s="17192"/>
      <c r="EC160" s="17193" t="s">
        <v>468</v>
      </c>
      <c r="ED160" s="17016"/>
      <c r="EE160" s="17194"/>
      <c r="EF160" s="17194" t="str">
        <f>IF(V160="","",V160)</f>
        <v>Группа потребителей</v>
      </c>
      <c r="EG160" s="17194"/>
      <c r="EH160" s="17194"/>
      <c r="EI160" s="16741">
        <v>0</v>
      </c>
    </row>
    <row s="36373" customFormat="1" customHeight="1" ht="21">
      <c r="A161" s="17181"/>
      <c r="B161" s="17181"/>
      <c r="C161" s="17181"/>
      <c r="D161" s="17181"/>
      <c r="E161" s="17182"/>
      <c r="F161" s="17182"/>
      <c r="G161" s="17182"/>
      <c r="H161" s="17182"/>
      <c r="I161" s="17183"/>
      <c r="J161" s="17183" t="str">
        <f>I153&amp;".1"</f>
        <v>1.6.1.1.1.1</v>
      </c>
      <c r="K161" s="17018" t="str">
        <f>J160&amp;".1"</f>
        <v>1.6.1.1.1.2.1</v>
      </c>
      <c r="L161" s="17196"/>
      <c r="M161" s="17184" t="s">
        <v>469</v>
      </c>
      <c r="N161" s="16741"/>
      <c r="O161" s="16741"/>
      <c r="P161" s="16741"/>
      <c r="Q161" s="17186"/>
      <c r="R161" s="17186"/>
      <c r="S161" s="17186">
        <v>1</v>
      </c>
      <c r="T161" s="17188"/>
      <c r="U161" s="17189" t="str">
        <f>$K161</f>
        <v>1.6.1.1.1.2.1</v>
      </c>
      <c r="V161" s="17197" t="s">
        <v>508</v>
      </c>
      <c r="W161" s="17191"/>
      <c r="X161" s="17062"/>
      <c r="Y161" s="17062"/>
      <c r="Z161" s="17062"/>
      <c r="AA161" s="17062"/>
      <c r="AB161" s="17063"/>
      <c r="AC161" s="17064"/>
      <c r="AD161" s="17065" t="s">
        <v>64</v>
      </c>
      <c r="AE161" s="17064"/>
      <c r="AF161" s="17065" t="s">
        <v>64</v>
      </c>
      <c r="AG161" s="17066"/>
      <c r="AH161" s="16757">
        <v>63.07</v>
      </c>
      <c r="AI161" s="16757">
        <v>2288.38</v>
      </c>
      <c r="AJ161" s="16757"/>
      <c r="AK161" s="17067"/>
      <c r="AL161" s="16759">
        <v>45292</v>
      </c>
      <c r="AM161" s="16760" t="s">
        <v>64</v>
      </c>
      <c r="AN161" s="16759">
        <v>45473</v>
      </c>
      <c r="AO161" s="16760" t="s">
        <v>64</v>
      </c>
      <c r="AP161" s="16757"/>
      <c r="AQ161" s="16757">
        <v>94.6</v>
      </c>
      <c r="AR161" s="16757">
        <v>2631.64</v>
      </c>
      <c r="AS161" s="16757"/>
      <c r="AT161" s="16758"/>
      <c r="AU161" s="16759">
        <v>45474</v>
      </c>
      <c r="AV161" s="16760" t="s">
        <v>64</v>
      </c>
      <c r="AW161" s="16759">
        <v>45657</v>
      </c>
      <c r="AX161" s="16760" t="s">
        <v>64</v>
      </c>
      <c r="AY161" s="16757"/>
      <c r="AZ161" s="16757">
        <v>94.6</v>
      </c>
      <c r="BA161" s="16757">
        <v>2631.64</v>
      </c>
      <c r="BB161" s="16757"/>
      <c r="BC161" s="16758"/>
      <c r="BD161" s="16759">
        <v>45658</v>
      </c>
      <c r="BE161" s="16760" t="s">
        <v>64</v>
      </c>
      <c r="BF161" s="16759">
        <v>45838</v>
      </c>
      <c r="BG161" s="16760" t="s">
        <v>64</v>
      </c>
      <c r="BH161" s="16757"/>
      <c r="BI161" s="16757">
        <v>106.14</v>
      </c>
      <c r="BJ161" s="16757">
        <v>2952.7</v>
      </c>
      <c r="BK161" s="16757"/>
      <c r="BL161" s="16758"/>
      <c r="BM161" s="16759">
        <v>45839</v>
      </c>
      <c r="BN161" s="16760" t="s">
        <v>64</v>
      </c>
      <c r="BO161" s="16759">
        <v>46022</v>
      </c>
      <c r="BP161" s="16760" t="s">
        <v>64</v>
      </c>
      <c r="BQ161" s="16757"/>
      <c r="BR161" s="16757">
        <v>141.9</v>
      </c>
      <c r="BS161" s="16757">
        <v>2761.96</v>
      </c>
      <c r="BT161" s="16757"/>
      <c r="BU161" s="16758"/>
      <c r="BV161" s="16759">
        <v>46023</v>
      </c>
      <c r="BW161" s="16760" t="s">
        <v>64</v>
      </c>
      <c r="BX161" s="16759">
        <v>46203</v>
      </c>
      <c r="BY161" s="16760" t="s">
        <v>64</v>
      </c>
      <c r="BZ161" s="16757"/>
      <c r="CA161" s="16757">
        <v>205.76</v>
      </c>
      <c r="CB161" s="16757">
        <v>2761.96</v>
      </c>
      <c r="CC161" s="16757"/>
      <c r="CD161" s="16758"/>
      <c r="CE161" s="16759">
        <v>46204</v>
      </c>
      <c r="CF161" s="16760" t="s">
        <v>64</v>
      </c>
      <c r="CG161" s="16759">
        <v>46387</v>
      </c>
      <c r="CH161" s="16760" t="s">
        <v>64</v>
      </c>
      <c r="CI161" s="16757"/>
      <c r="CJ161" s="16757">
        <v>205.76</v>
      </c>
      <c r="CK161" s="16757">
        <v>2761.96</v>
      </c>
      <c r="CL161" s="16757"/>
      <c r="CM161" s="16758"/>
      <c r="CN161" s="16759">
        <v>46388</v>
      </c>
      <c r="CO161" s="16760" t="s">
        <v>64</v>
      </c>
      <c r="CP161" s="16759">
        <v>46568</v>
      </c>
      <c r="CQ161" s="16760" t="s">
        <v>64</v>
      </c>
      <c r="CR161" s="16757"/>
      <c r="CS161" s="16757">
        <v>298.35</v>
      </c>
      <c r="CT161" s="16757">
        <v>2841.34</v>
      </c>
      <c r="CU161" s="16757"/>
      <c r="CV161" s="16758"/>
      <c r="CW161" s="16759">
        <v>46569</v>
      </c>
      <c r="CX161" s="16760" t="s">
        <v>64</v>
      </c>
      <c r="CY161" s="16759">
        <v>46752</v>
      </c>
      <c r="CZ161" s="16760" t="s">
        <v>64</v>
      </c>
      <c r="DA161" s="16757"/>
      <c r="DB161" s="16757">
        <v>298.35</v>
      </c>
      <c r="DC161" s="16757">
        <v>2841.34</v>
      </c>
      <c r="DD161" s="16757"/>
      <c r="DE161" s="16758"/>
      <c r="DF161" s="16759">
        <v>46753</v>
      </c>
      <c r="DG161" s="16760" t="s">
        <v>64</v>
      </c>
      <c r="DH161" s="16759">
        <v>46934</v>
      </c>
      <c r="DI161" s="16760" t="s">
        <v>64</v>
      </c>
      <c r="DJ161" s="16757"/>
      <c r="DK161" s="16757">
        <v>430.55</v>
      </c>
      <c r="DL161" s="16757">
        <v>2880.76</v>
      </c>
      <c r="DM161" s="16757"/>
      <c r="DN161" s="16758"/>
      <c r="DO161" s="16759">
        <v>46935</v>
      </c>
      <c r="DP161" s="16760" t="s">
        <v>64</v>
      </c>
      <c r="DQ161" s="16759">
        <v>47118</v>
      </c>
      <c r="DR161" s="16760" t="s">
        <v>19</v>
      </c>
      <c r="DS161" s="17062"/>
      <c r="DT161" s="17062"/>
      <c r="DU161" s="17062"/>
      <c r="DV161" s="17062"/>
      <c r="DW161" s="17063"/>
      <c r="DX161" s="17064"/>
      <c r="DY161" s="17065" t="s">
        <v>64</v>
      </c>
      <c r="DZ161" s="17064"/>
      <c r="EA161" s="17065" t="s">
        <v>64</v>
      </c>
      <c r="EB161" s="16764"/>
      <c r="EC161" s="17198" t="s">
        <v>523</v>
      </c>
      <c r="ED161" s="17016">
        <f>STRCHECKDATE(X163:EB163)</f>
      </c>
      <c r="EE161" s="17194"/>
      <c r="EF161" s="17194" t="str">
        <f>IF(V161="","",V161)</f>
        <v>вода</v>
      </c>
      <c r="EG161" s="17194"/>
      <c r="EH161" s="17194"/>
      <c r="EI161" s="16741">
        <v>0</v>
      </c>
    </row>
    <row s="36374" customFormat="1" customHeight="1" ht="21">
      <c r="A162" s="17181"/>
      <c r="B162" s="17181"/>
      <c r="C162" s="17181"/>
      <c r="D162" s="17181"/>
      <c r="E162" s="17182"/>
      <c r="F162" s="17182"/>
      <c r="G162" s="17182"/>
      <c r="H162" s="17182"/>
      <c r="I162" s="17183"/>
      <c r="J162" s="17183" t="str">
        <f>I153&amp;".1"</f>
        <v>1.6.1.1.1.1</v>
      </c>
      <c r="K162" s="17183"/>
      <c r="L162" s="17018" t="str">
        <f>K161&amp;".1"</f>
        <v>1.6.1.1.1.2.1.1</v>
      </c>
      <c r="M162" s="17184"/>
      <c r="N162" s="16741"/>
      <c r="O162" s="16741"/>
      <c r="P162" s="16741"/>
      <c r="Q162" s="17186"/>
      <c r="R162" s="17186"/>
      <c r="S162" s="17186"/>
      <c r="T162" s="17188"/>
      <c r="U162" s="17189" t="str">
        <f>$L162</f>
        <v>1.6.1.1.1.2.1.1</v>
      </c>
      <c r="V162" s="17200"/>
      <c r="W162" s="17191"/>
      <c r="X162" s="17062"/>
      <c r="Y162" s="17062"/>
      <c r="Z162" s="17062"/>
      <c r="AA162" s="17062"/>
      <c r="AB162" s="17063"/>
      <c r="AC162" s="17064"/>
      <c r="AD162" s="17065"/>
      <c r="AE162" s="17064"/>
      <c r="AF162" s="17065"/>
      <c r="AG162" s="17066"/>
      <c r="AH162" s="16757"/>
      <c r="AI162" s="16757"/>
      <c r="AJ162" s="16757"/>
      <c r="AK162" s="17067"/>
      <c r="AL162" s="16765"/>
      <c r="AM162" s="16760"/>
      <c r="AN162" s="16765"/>
      <c r="AO162" s="16760"/>
      <c r="AP162" s="16764"/>
      <c r="AQ162" s="16757"/>
      <c r="AR162" s="16757"/>
      <c r="AS162" s="16757"/>
      <c r="AT162" s="16758"/>
      <c r="AU162" s="16765"/>
      <c r="AV162" s="16760"/>
      <c r="AW162" s="16765"/>
      <c r="AX162" s="16760"/>
      <c r="AY162" s="16764"/>
      <c r="AZ162" s="16757"/>
      <c r="BA162" s="16757"/>
      <c r="BB162" s="16757"/>
      <c r="BC162" s="16758"/>
      <c r="BD162" s="16765"/>
      <c r="BE162" s="16760"/>
      <c r="BF162" s="16765"/>
      <c r="BG162" s="16760"/>
      <c r="BH162" s="16764"/>
      <c r="BI162" s="16757"/>
      <c r="BJ162" s="16757"/>
      <c r="BK162" s="16757"/>
      <c r="BL162" s="16758"/>
      <c r="BM162" s="16765"/>
      <c r="BN162" s="16760"/>
      <c r="BO162" s="16765"/>
      <c r="BP162" s="16760"/>
      <c r="BQ162" s="16764"/>
      <c r="BR162" s="16757"/>
      <c r="BS162" s="16757"/>
      <c r="BT162" s="16757"/>
      <c r="BU162" s="16758"/>
      <c r="BV162" s="16765"/>
      <c r="BW162" s="16760"/>
      <c r="BX162" s="16765"/>
      <c r="BY162" s="16760"/>
      <c r="BZ162" s="16764"/>
      <c r="CA162" s="16757"/>
      <c r="CB162" s="16757"/>
      <c r="CC162" s="16757"/>
      <c r="CD162" s="16758"/>
      <c r="CE162" s="16765"/>
      <c r="CF162" s="16760"/>
      <c r="CG162" s="16765"/>
      <c r="CH162" s="16760"/>
      <c r="CI162" s="16764"/>
      <c r="CJ162" s="16757"/>
      <c r="CK162" s="16757"/>
      <c r="CL162" s="16757"/>
      <c r="CM162" s="16758"/>
      <c r="CN162" s="16765"/>
      <c r="CO162" s="16760"/>
      <c r="CP162" s="16765"/>
      <c r="CQ162" s="16760"/>
      <c r="CR162" s="16764"/>
      <c r="CS162" s="16757"/>
      <c r="CT162" s="16757"/>
      <c r="CU162" s="16757"/>
      <c r="CV162" s="16758"/>
      <c r="CW162" s="16765"/>
      <c r="CX162" s="16760"/>
      <c r="CY162" s="16765"/>
      <c r="CZ162" s="16760"/>
      <c r="DA162" s="16764"/>
      <c r="DB162" s="16757"/>
      <c r="DC162" s="16757"/>
      <c r="DD162" s="16757"/>
      <c r="DE162" s="16758"/>
      <c r="DF162" s="16765"/>
      <c r="DG162" s="16760"/>
      <c r="DH162" s="16765"/>
      <c r="DI162" s="16760"/>
      <c r="DJ162" s="16764"/>
      <c r="DK162" s="16757"/>
      <c r="DL162" s="16757"/>
      <c r="DM162" s="16757"/>
      <c r="DN162" s="16758"/>
      <c r="DO162" s="16765"/>
      <c r="DP162" s="16760"/>
      <c r="DQ162" s="16765"/>
      <c r="DR162" s="16760"/>
      <c r="DS162" s="17062"/>
      <c r="DT162" s="17062"/>
      <c r="DU162" s="17062"/>
      <c r="DV162" s="17062"/>
      <c r="DW162" s="17063"/>
      <c r="DX162" s="17064"/>
      <c r="DY162" s="17065"/>
      <c r="DZ162" s="17064"/>
      <c r="EA162" s="17065"/>
      <c r="EB162" s="16764"/>
      <c r="EC162" s="17201" t="s">
        <v>524</v>
      </c>
      <c r="ED162" s="17016"/>
      <c r="EE162" s="17194"/>
      <c r="EF162" s="17194"/>
      <c r="EG162" s="17194"/>
      <c r="EH162" s="17194"/>
      <c r="EI162" s="16741">
        <v>0</v>
      </c>
    </row>
    <row s="36375" customFormat="1" customHeight="1" ht="14.25">
      <c r="A163" s="17181"/>
      <c r="B163" s="17181"/>
      <c r="C163" s="17181"/>
      <c r="D163" s="17181"/>
      <c r="E163" s="17182"/>
      <c r="F163" s="17182"/>
      <c r="G163" s="17182"/>
      <c r="H163" s="17182"/>
      <c r="I163" s="17183"/>
      <c r="J163" s="17183" t="str">
        <f>I153&amp;".1"</f>
        <v>1.6.1.1.1.1</v>
      </c>
      <c r="K163" s="17183"/>
      <c r="L163" s="17018"/>
      <c r="M163" s="17184"/>
      <c r="N163" s="16741"/>
      <c r="O163" s="16741"/>
      <c r="P163" s="16741"/>
      <c r="Q163" s="17186"/>
      <c r="R163" s="17186"/>
      <c r="S163" s="17186"/>
      <c r="T163" s="17188"/>
      <c r="U163" s="17203"/>
      <c r="V163" s="17191"/>
      <c r="W163" s="17191"/>
      <c r="X163" s="17062"/>
      <c r="Y163" s="17062"/>
      <c r="Z163" s="17062"/>
      <c r="AA163" s="17062"/>
      <c r="AB163" s="17063"/>
      <c r="AC163" s="17064"/>
      <c r="AD163" s="17065"/>
      <c r="AE163" s="17064"/>
      <c r="AF163" s="17065"/>
      <c r="AG163" s="17068"/>
      <c r="AH163" s="16764"/>
      <c r="AI163" s="16764"/>
      <c r="AJ163" s="16764"/>
      <c r="AK163" s="17069" t="str">
        <f>AL161&amp;"-"&amp;AN161</f>
        <v>45292-45473</v>
      </c>
      <c r="AL163" s="16765"/>
      <c r="AM163" s="16760"/>
      <c r="AN163" s="16765"/>
      <c r="AO163" s="16760"/>
      <c r="AP163" s="16764"/>
      <c r="AQ163" s="16764"/>
      <c r="AR163" s="16764"/>
      <c r="AS163" s="16764"/>
      <c r="AT163" s="16768" t="str">
        <f>AU161&amp;"-"&amp;AW161</f>
        <v>45474-45657</v>
      </c>
      <c r="AU163" s="16765"/>
      <c r="AV163" s="16760"/>
      <c r="AW163" s="16765"/>
      <c r="AX163" s="16760"/>
      <c r="AY163" s="16764"/>
      <c r="AZ163" s="16764"/>
      <c r="BA163" s="16764"/>
      <c r="BB163" s="16764"/>
      <c r="BC163" s="16768" t="str">
        <f>BD161&amp;"-"&amp;BF161</f>
        <v>45658-45838</v>
      </c>
      <c r="BD163" s="16765"/>
      <c r="BE163" s="16760"/>
      <c r="BF163" s="16765"/>
      <c r="BG163" s="16760"/>
      <c r="BH163" s="16764"/>
      <c r="BI163" s="16764"/>
      <c r="BJ163" s="16764"/>
      <c r="BK163" s="16764"/>
      <c r="BL163" s="16768" t="str">
        <f>BM161&amp;"-"&amp;BO161</f>
        <v>45839-46022</v>
      </c>
      <c r="BM163" s="16765"/>
      <c r="BN163" s="16760"/>
      <c r="BO163" s="16765"/>
      <c r="BP163" s="16760"/>
      <c r="BQ163" s="16764"/>
      <c r="BR163" s="16764"/>
      <c r="BS163" s="16764"/>
      <c r="BT163" s="16764"/>
      <c r="BU163" s="16768" t="str">
        <f>BV161&amp;"-"&amp;BX161</f>
        <v>46023-46203</v>
      </c>
      <c r="BV163" s="16765"/>
      <c r="BW163" s="16760"/>
      <c r="BX163" s="16765"/>
      <c r="BY163" s="16760"/>
      <c r="BZ163" s="16764"/>
      <c r="CA163" s="16764"/>
      <c r="CB163" s="16764"/>
      <c r="CC163" s="16764"/>
      <c r="CD163" s="16768" t="str">
        <f>CE161&amp;"-"&amp;CG161</f>
        <v>46204-46387</v>
      </c>
      <c r="CE163" s="16765"/>
      <c r="CF163" s="16760"/>
      <c r="CG163" s="16765"/>
      <c r="CH163" s="16760"/>
      <c r="CI163" s="16764"/>
      <c r="CJ163" s="16764"/>
      <c r="CK163" s="16764"/>
      <c r="CL163" s="16764"/>
      <c r="CM163" s="16768" t="str">
        <f>CN161&amp;"-"&amp;CP161</f>
        <v>46388-46568</v>
      </c>
      <c r="CN163" s="16765"/>
      <c r="CO163" s="16760"/>
      <c r="CP163" s="16765"/>
      <c r="CQ163" s="16760"/>
      <c r="CR163" s="16764"/>
      <c r="CS163" s="16764"/>
      <c r="CT163" s="16764"/>
      <c r="CU163" s="16764"/>
      <c r="CV163" s="16768" t="str">
        <f>CW161&amp;"-"&amp;CY161</f>
        <v>46569-46752</v>
      </c>
      <c r="CW163" s="16765"/>
      <c r="CX163" s="16760"/>
      <c r="CY163" s="16765"/>
      <c r="CZ163" s="16760"/>
      <c r="DA163" s="16764"/>
      <c r="DB163" s="16764"/>
      <c r="DC163" s="16764"/>
      <c r="DD163" s="16764"/>
      <c r="DE163" s="16768" t="str">
        <f>DF161&amp;"-"&amp;DH161</f>
        <v>46753-46934</v>
      </c>
      <c r="DF163" s="16765"/>
      <c r="DG163" s="16760"/>
      <c r="DH163" s="16765"/>
      <c r="DI163" s="16760"/>
      <c r="DJ163" s="16764"/>
      <c r="DK163" s="16764"/>
      <c r="DL163" s="16764"/>
      <c r="DM163" s="16764"/>
      <c r="DN163" s="16768" t="str">
        <f>DO161&amp;"-"&amp;DQ161</f>
        <v>46935-47118</v>
      </c>
      <c r="DO163" s="16765"/>
      <c r="DP163" s="16760"/>
      <c r="DQ163" s="16765"/>
      <c r="DR163" s="16760"/>
      <c r="DS163" s="17062"/>
      <c r="DT163" s="17062"/>
      <c r="DU163" s="17062"/>
      <c r="DV163" s="17062"/>
      <c r="DW163" s="17063"/>
      <c r="DX163" s="17064"/>
      <c r="DY163" s="17065"/>
      <c r="DZ163" s="17064"/>
      <c r="EA163" s="17065"/>
      <c r="EB163" s="16764"/>
      <c r="EC163" s="17204"/>
      <c r="ED163" s="17016"/>
      <c r="EE163" s="17194"/>
      <c r="EF163" s="17194" t="str">
        <f>IF(V163="","",V163)</f>
        <v/>
      </c>
      <c r="EG163" s="17194"/>
      <c r="EH163" s="17194"/>
      <c r="EI163" s="16741">
        <v>0</v>
      </c>
    </row>
    <row s="36376" customFormat="1" customHeight="1" ht="11.25">
      <c r="A164" s="17181"/>
      <c r="B164" s="17181"/>
      <c r="C164" s="17181"/>
      <c r="D164" s="17181"/>
      <c r="E164" s="17182"/>
      <c r="F164" s="17182"/>
      <c r="G164" s="17182"/>
      <c r="H164" s="17182"/>
      <c r="I164" s="17183"/>
      <c r="J164" s="17183" t="str">
        <f>I153&amp;".1"</f>
        <v>1.6.1.1.1.1</v>
      </c>
      <c r="K164" s="17018"/>
      <c r="L164" s="17181"/>
      <c r="M164" s="17184"/>
      <c r="N164" s="16741"/>
      <c r="O164" s="16741"/>
      <c r="P164" s="16741"/>
      <c r="Q164" s="17186"/>
      <c r="R164" s="17186"/>
      <c r="S164" s="17186"/>
      <c r="T164" s="17188"/>
      <c r="U164" s="19579"/>
      <c r="V164" s="19580" t="s">
        <v>525</v>
      </c>
      <c r="W164" s="19581"/>
      <c r="X164" s="17062"/>
      <c r="Y164" s="17062"/>
      <c r="Z164" s="17062"/>
      <c r="AA164" s="17062"/>
      <c r="AB164" s="17069" t="str">
        <f>AC161&amp;"-"&amp;AE161</f>
        <v>-</v>
      </c>
      <c r="AC164" s="17065"/>
      <c r="AD164" s="17065"/>
      <c r="AE164" s="17065"/>
      <c r="AF164" s="17065"/>
      <c r="AG164" s="19582"/>
      <c r="AH164" s="19583"/>
      <c r="AI164" s="19584"/>
      <c r="AJ164" s="19585"/>
      <c r="AK164" s="19586"/>
      <c r="AL164" s="16765"/>
      <c r="AM164" s="16760"/>
      <c r="AN164" s="16765"/>
      <c r="AO164" s="16760"/>
      <c r="AP164" s="19587"/>
      <c r="AQ164" s="19588"/>
      <c r="AR164" s="19589"/>
      <c r="AS164" s="19590"/>
      <c r="AT164" s="19591"/>
      <c r="AU164" s="16765"/>
      <c r="AV164" s="16760"/>
      <c r="AW164" s="16765"/>
      <c r="AX164" s="16760"/>
      <c r="AY164" s="19592"/>
      <c r="AZ164" s="19593"/>
      <c r="BA164" s="19594"/>
      <c r="BB164" s="19595"/>
      <c r="BC164" s="19596"/>
      <c r="BD164" s="16765"/>
      <c r="BE164" s="16760"/>
      <c r="BF164" s="16765"/>
      <c r="BG164" s="16760"/>
      <c r="BH164" s="19597"/>
      <c r="BI164" s="19598"/>
      <c r="BJ164" s="19599"/>
      <c r="BK164" s="19600"/>
      <c r="BL164" s="19601"/>
      <c r="BM164" s="16765"/>
      <c r="BN164" s="16760"/>
      <c r="BO164" s="16765"/>
      <c r="BP164" s="16760"/>
      <c r="BQ164" s="19602"/>
      <c r="BR164" s="19603"/>
      <c r="BS164" s="19604"/>
      <c r="BT164" s="19605"/>
      <c r="BU164" s="19606"/>
      <c r="BV164" s="16765"/>
      <c r="BW164" s="16760"/>
      <c r="BX164" s="16765"/>
      <c r="BY164" s="16760"/>
      <c r="BZ164" s="19607"/>
      <c r="CA164" s="19608"/>
      <c r="CB164" s="19609"/>
      <c r="CC164" s="19610"/>
      <c r="CD164" s="19611"/>
      <c r="CE164" s="16765"/>
      <c r="CF164" s="16760"/>
      <c r="CG164" s="16765"/>
      <c r="CH164" s="16760"/>
      <c r="CI164" s="19612"/>
      <c r="CJ164" s="19613"/>
      <c r="CK164" s="19614"/>
      <c r="CL164" s="19615"/>
      <c r="CM164" s="19616"/>
      <c r="CN164" s="16765"/>
      <c r="CO164" s="16760"/>
      <c r="CP164" s="16765"/>
      <c r="CQ164" s="16760"/>
      <c r="CR164" s="19617"/>
      <c r="CS164" s="19618"/>
      <c r="CT164" s="19619"/>
      <c r="CU164" s="19620"/>
      <c r="CV164" s="19621"/>
      <c r="CW164" s="16765"/>
      <c r="CX164" s="16760"/>
      <c r="CY164" s="16765"/>
      <c r="CZ164" s="16760"/>
      <c r="DA164" s="19622"/>
      <c r="DB164" s="19623"/>
      <c r="DC164" s="19624"/>
      <c r="DD164" s="19625"/>
      <c r="DE164" s="19626"/>
      <c r="DF164" s="16765"/>
      <c r="DG164" s="16760"/>
      <c r="DH164" s="16765"/>
      <c r="DI164" s="16760"/>
      <c r="DJ164" s="19627"/>
      <c r="DK164" s="19628"/>
      <c r="DL164" s="19629"/>
      <c r="DM164" s="19630"/>
      <c r="DN164" s="19631"/>
      <c r="DO164" s="16765"/>
      <c r="DP164" s="16760"/>
      <c r="DQ164" s="16765"/>
      <c r="DR164" s="16760"/>
      <c r="DS164" s="17062"/>
      <c r="DT164" s="17062"/>
      <c r="DU164" s="17062"/>
      <c r="DV164" s="17062"/>
      <c r="DW164" s="17069" t="str">
        <f>DX161&amp;"-"&amp;DZ161</f>
        <v>-</v>
      </c>
      <c r="DX164" s="17065"/>
      <c r="DY164" s="17065"/>
      <c r="DZ164" s="17065"/>
      <c r="EA164" s="17065"/>
      <c r="EB164" s="19632"/>
      <c r="EC164" s="17204"/>
      <c r="ED164" s="17016"/>
      <c r="EE164" s="17194"/>
      <c r="EF164" s="17194"/>
      <c r="EG164" s="17194"/>
      <c r="EH164" s="17194"/>
      <c r="EI164" s="16741">
        <v>0</v>
      </c>
    </row>
    <row s="36431" customFormat="1" customHeight="1" ht="15">
      <c r="A165" s="17181"/>
      <c r="B165" s="17181"/>
      <c r="C165" s="17181"/>
      <c r="D165" s="17181"/>
      <c r="E165" s="17182"/>
      <c r="F165" s="17182"/>
      <c r="G165" s="17182"/>
      <c r="H165" s="17182"/>
      <c r="I165" s="17183"/>
      <c r="J165" s="17018" t="str">
        <f>I153&amp;".1"</f>
        <v>1.6.1.1.1.1</v>
      </c>
      <c r="K165" s="17181"/>
      <c r="L165" s="17181"/>
      <c r="M165" s="17184"/>
      <c r="N165" s="16741"/>
      <c r="O165" s="16741"/>
      <c r="P165" s="17185"/>
      <c r="Q165" s="17186"/>
      <c r="R165" s="17186"/>
      <c r="S165" s="17186"/>
      <c r="T165" s="17261"/>
      <c r="U165" s="19634"/>
      <c r="V165" s="19635" t="s">
        <v>471</v>
      </c>
      <c r="W165" s="19636"/>
      <c r="X165" s="19637"/>
      <c r="Y165" s="19638"/>
      <c r="Z165" s="19639"/>
      <c r="AA165" s="19640"/>
      <c r="AB165" s="19641"/>
      <c r="AC165" s="19642"/>
      <c r="AD165" s="19643"/>
      <c r="AE165" s="19644"/>
      <c r="AF165" s="19645"/>
      <c r="AG165" s="19646"/>
      <c r="AH165" s="19647"/>
      <c r="AI165" s="19648"/>
      <c r="AJ165" s="19649"/>
      <c r="AK165" s="19650"/>
      <c r="AL165" s="19651"/>
      <c r="AM165" s="19652"/>
      <c r="AN165" s="19653"/>
      <c r="AO165" s="19654"/>
      <c r="AP165" s="19655"/>
      <c r="AQ165" s="19656"/>
      <c r="AR165" s="19657"/>
      <c r="AS165" s="19658"/>
      <c r="AT165" s="19659"/>
      <c r="AU165" s="19660"/>
      <c r="AV165" s="19661"/>
      <c r="AW165" s="19662"/>
      <c r="AX165" s="19663"/>
      <c r="AY165" s="19664"/>
      <c r="AZ165" s="19665"/>
      <c r="BA165" s="19666"/>
      <c r="BB165" s="19667"/>
      <c r="BC165" s="19668"/>
      <c r="BD165" s="19669"/>
      <c r="BE165" s="19670"/>
      <c r="BF165" s="19671"/>
      <c r="BG165" s="19672"/>
      <c r="BH165" s="19673"/>
      <c r="BI165" s="19674"/>
      <c r="BJ165" s="19675"/>
      <c r="BK165" s="19676"/>
      <c r="BL165" s="19677"/>
      <c r="BM165" s="19678"/>
      <c r="BN165" s="19679"/>
      <c r="BO165" s="19680"/>
      <c r="BP165" s="19681"/>
      <c r="BQ165" s="19682"/>
      <c r="BR165" s="19683"/>
      <c r="BS165" s="19684"/>
      <c r="BT165" s="19685"/>
      <c r="BU165" s="19686"/>
      <c r="BV165" s="19687"/>
      <c r="BW165" s="19688"/>
      <c r="BX165" s="19689"/>
      <c r="BY165" s="19690"/>
      <c r="BZ165" s="19691"/>
      <c r="CA165" s="19692"/>
      <c r="CB165" s="19693"/>
      <c r="CC165" s="19694"/>
      <c r="CD165" s="19695"/>
      <c r="CE165" s="19696"/>
      <c r="CF165" s="19697"/>
      <c r="CG165" s="19698"/>
      <c r="CH165" s="19699"/>
      <c r="CI165" s="19700"/>
      <c r="CJ165" s="19701"/>
      <c r="CK165" s="19702"/>
      <c r="CL165" s="19703"/>
      <c r="CM165" s="19704"/>
      <c r="CN165" s="19705"/>
      <c r="CO165" s="19706"/>
      <c r="CP165" s="19707"/>
      <c r="CQ165" s="19708"/>
      <c r="CR165" s="19709"/>
      <c r="CS165" s="19710"/>
      <c r="CT165" s="19711"/>
      <c r="CU165" s="19712"/>
      <c r="CV165" s="19713"/>
      <c r="CW165" s="19714"/>
      <c r="CX165" s="19715"/>
      <c r="CY165" s="19716"/>
      <c r="CZ165" s="19717"/>
      <c r="DA165" s="19718"/>
      <c r="DB165" s="19719"/>
      <c r="DC165" s="19720"/>
      <c r="DD165" s="19721"/>
      <c r="DE165" s="19722"/>
      <c r="DF165" s="19723"/>
      <c r="DG165" s="19724"/>
      <c r="DH165" s="19725"/>
      <c r="DI165" s="19726"/>
      <c r="DJ165" s="19727"/>
      <c r="DK165" s="19728"/>
      <c r="DL165" s="19729"/>
      <c r="DM165" s="19730"/>
      <c r="DN165" s="19731"/>
      <c r="DO165" s="19732"/>
      <c r="DP165" s="19733"/>
      <c r="DQ165" s="19734"/>
      <c r="DR165" s="19735"/>
      <c r="DS165" s="19736"/>
      <c r="DT165" s="19737"/>
      <c r="DU165" s="19738"/>
      <c r="DV165" s="19739"/>
      <c r="DW165" s="19740"/>
      <c r="DX165" s="19741"/>
      <c r="DY165" s="19742"/>
      <c r="DZ165" s="19743"/>
      <c r="EA165" s="19744"/>
      <c r="EB165" s="19745"/>
      <c r="EC165" s="17374"/>
      <c r="ED165" s="17016"/>
      <c r="EE165" s="17194"/>
      <c r="EF165" s="17194" t="str">
        <f>IF(V165="","",V165)</f>
        <v>Добавить вид теплоносителя (параметры теплоносителя)</v>
      </c>
      <c r="EG165" s="17194"/>
      <c r="EH165" s="17194"/>
      <c r="EI165" s="16741">
        <v>0</v>
      </c>
    </row>
    <row s="36544" customFormat="1" customHeight="1" ht="11.25">
      <c r="A166" s="8474"/>
      <c r="B166" s="8474"/>
      <c r="C166" s="8474"/>
      <c r="D166" s="8474"/>
      <c r="E166" s="11456"/>
      <c r="F166" s="11456" t="s">
        <v>124</v>
      </c>
      <c r="G166" s="11456"/>
      <c r="H166" s="11456"/>
      <c r="I166" s="11479"/>
      <c r="J166" s="8474"/>
      <c r="K166" s="8474"/>
      <c r="L166" s="8474"/>
      <c r="M166" s="11458"/>
      <c r="N166" s="11462"/>
      <c r="O166" s="11480"/>
      <c r="P166" s="11480"/>
      <c r="Q166" s="11481"/>
      <c r="R166" s="11481"/>
      <c r="S166" s="11481"/>
      <c r="T166" s="11482"/>
      <c r="U166" s="11870"/>
      <c r="V166" s="11871" t="s">
        <v>472</v>
      </c>
      <c r="W166" s="11872"/>
      <c r="X166" s="11873"/>
      <c r="Y166" s="11874"/>
      <c r="Z166" s="11875"/>
      <c r="AA166" s="11876"/>
      <c r="AB166" s="11877"/>
      <c r="AC166" s="11878"/>
      <c r="AD166" s="11879"/>
      <c r="AE166" s="11880"/>
      <c r="AF166" s="11881"/>
      <c r="AG166" s="11882"/>
      <c r="AH166" s="11883"/>
      <c r="AI166" s="11884"/>
      <c r="AJ166" s="11885"/>
      <c r="AK166" s="11886"/>
      <c r="AL166" s="11887"/>
      <c r="AM166" s="11888"/>
      <c r="AN166" s="11889"/>
      <c r="AO166" s="11890"/>
      <c r="AP166" s="19768"/>
      <c r="AQ166" s="19769"/>
      <c r="AR166" s="19770"/>
      <c r="AS166" s="19771"/>
      <c r="AT166" s="19772"/>
      <c r="AU166" s="19773"/>
      <c r="AV166" s="19774"/>
      <c r="AW166" s="19775"/>
      <c r="AX166" s="19776"/>
      <c r="AY166" s="19777"/>
      <c r="AZ166" s="19778"/>
      <c r="BA166" s="19779"/>
      <c r="BB166" s="19780"/>
      <c r="BC166" s="19781"/>
      <c r="BD166" s="19782"/>
      <c r="BE166" s="19783"/>
      <c r="BF166" s="19784"/>
      <c r="BG166" s="19785"/>
      <c r="BH166" s="19786"/>
      <c r="BI166" s="19787"/>
      <c r="BJ166" s="19788"/>
      <c r="BK166" s="19789"/>
      <c r="BL166" s="19790"/>
      <c r="BM166" s="19791"/>
      <c r="BN166" s="19792"/>
      <c r="BO166" s="19793"/>
      <c r="BP166" s="19794"/>
      <c r="BQ166" s="19795"/>
      <c r="BR166" s="19796"/>
      <c r="BS166" s="19797"/>
      <c r="BT166" s="19798"/>
      <c r="BU166" s="19799"/>
      <c r="BV166" s="19800"/>
      <c r="BW166" s="19801"/>
      <c r="BX166" s="19802"/>
      <c r="BY166" s="19803"/>
      <c r="BZ166" s="19804"/>
      <c r="CA166" s="19805"/>
      <c r="CB166" s="19806"/>
      <c r="CC166" s="19807"/>
      <c r="CD166" s="19808"/>
      <c r="CE166" s="19809"/>
      <c r="CF166" s="19810"/>
      <c r="CG166" s="19811"/>
      <c r="CH166" s="19812"/>
      <c r="CI166" s="19813"/>
      <c r="CJ166" s="19814"/>
      <c r="CK166" s="19815"/>
      <c r="CL166" s="19816"/>
      <c r="CM166" s="19817"/>
      <c r="CN166" s="19818"/>
      <c r="CO166" s="19819"/>
      <c r="CP166" s="19820"/>
      <c r="CQ166" s="19821"/>
      <c r="CR166" s="19822"/>
      <c r="CS166" s="19823"/>
      <c r="CT166" s="19824"/>
      <c r="CU166" s="19825"/>
      <c r="CV166" s="19826"/>
      <c r="CW166" s="19827"/>
      <c r="CX166" s="19828"/>
      <c r="CY166" s="19829"/>
      <c r="CZ166" s="19830"/>
      <c r="DA166" s="19831"/>
      <c r="DB166" s="19832"/>
      <c r="DC166" s="19833"/>
      <c r="DD166" s="19834"/>
      <c r="DE166" s="19835"/>
      <c r="DF166" s="19836"/>
      <c r="DG166" s="19837"/>
      <c r="DH166" s="19838"/>
      <c r="DI166" s="19839"/>
      <c r="DJ166" s="19840"/>
      <c r="DK166" s="19841"/>
      <c r="DL166" s="19842"/>
      <c r="DM166" s="19843"/>
      <c r="DN166" s="19844"/>
      <c r="DO166" s="19845"/>
      <c r="DP166" s="19846"/>
      <c r="DQ166" s="19847"/>
      <c r="DR166" s="19848"/>
      <c r="DS166" s="19849"/>
      <c r="DT166" s="19850"/>
      <c r="DU166" s="19851"/>
      <c r="DV166" s="19852"/>
      <c r="DW166" s="19853"/>
      <c r="DX166" s="19854"/>
      <c r="DY166" s="19855"/>
      <c r="DZ166" s="19856"/>
      <c r="EA166" s="19857"/>
      <c r="EB166" s="11891"/>
      <c r="EC166" s="11892"/>
      <c r="ED166" s="11471"/>
      <c r="EE166" s="11472"/>
      <c r="EF166" s="11472" t="str">
        <f>IF(V166="","",V166)</f>
        <v>Добавить группу потребителей</v>
      </c>
      <c r="EG166" s="11472"/>
      <c r="EH166" s="11472"/>
      <c r="EI166" s="11462">
        <v>0</v>
      </c>
    </row>
    <row s="36658" customFormat="1" customHeight="1" ht="14.25">
      <c r="A167" s="8474"/>
      <c r="B167" s="8474"/>
      <c r="C167" s="8474"/>
      <c r="D167" s="8474"/>
      <c r="E167" s="11456"/>
      <c r="F167" s="11456" t="s">
        <v>124</v>
      </c>
      <c r="G167" s="11456"/>
      <c r="H167" s="11457"/>
      <c r="I167" s="8474"/>
      <c r="J167" s="8474"/>
      <c r="K167" s="8474"/>
      <c r="L167" s="8474"/>
      <c r="M167" s="11458"/>
      <c r="N167" s="11459"/>
      <c r="O167" s="11459"/>
      <c r="P167" s="11462"/>
      <c r="Q167" s="11582"/>
      <c r="R167" s="11583"/>
      <c r="S167" s="11584"/>
      <c r="T167" s="11582"/>
      <c r="U167" s="11585"/>
      <c r="V167" s="11586"/>
      <c r="W167" s="11587"/>
      <c r="X167" s="11587"/>
      <c r="Y167" s="11587"/>
      <c r="Z167" s="11587"/>
      <c r="AA167" s="11587"/>
      <c r="AB167" s="11587"/>
      <c r="AC167" s="11587"/>
      <c r="AD167" s="11587"/>
      <c r="AE167" s="11587"/>
      <c r="AF167" s="11587"/>
      <c r="AG167" s="11587"/>
      <c r="AH167" s="11587"/>
      <c r="AI167" s="11587"/>
      <c r="AJ167" s="11587"/>
      <c r="AK167" s="11587"/>
      <c r="AL167" s="11587"/>
      <c r="AM167" s="11587"/>
      <c r="AN167" s="11587"/>
      <c r="AO167" s="11587"/>
      <c r="AP167" s="17004"/>
      <c r="AQ167" s="17004"/>
      <c r="AR167" s="17004"/>
      <c r="AS167" s="17004"/>
      <c r="AT167" s="17004"/>
      <c r="AU167" s="17004"/>
      <c r="AV167" s="17004"/>
      <c r="AW167" s="17004"/>
      <c r="AX167" s="17004"/>
      <c r="AY167" s="17004"/>
      <c r="AZ167" s="17004"/>
      <c r="BA167" s="17004"/>
      <c r="BB167" s="17004"/>
      <c r="BC167" s="17004"/>
      <c r="BD167" s="17004"/>
      <c r="BE167" s="17004"/>
      <c r="BF167" s="17004"/>
      <c r="BG167" s="17004"/>
      <c r="BH167" s="17004"/>
      <c r="BI167" s="17004"/>
      <c r="BJ167" s="17004"/>
      <c r="BK167" s="17004"/>
      <c r="BL167" s="17004"/>
      <c r="BM167" s="17004"/>
      <c r="BN167" s="17004"/>
      <c r="BO167" s="17004"/>
      <c r="BP167" s="17004"/>
      <c r="BQ167" s="17004"/>
      <c r="BR167" s="17004"/>
      <c r="BS167" s="17004"/>
      <c r="BT167" s="17004"/>
      <c r="BU167" s="17004"/>
      <c r="BV167" s="17004"/>
      <c r="BW167" s="17004"/>
      <c r="BX167" s="17004"/>
      <c r="BY167" s="17004"/>
      <c r="BZ167" s="17004"/>
      <c r="CA167" s="17004"/>
      <c r="CB167" s="17004"/>
      <c r="CC167" s="17004"/>
      <c r="CD167" s="17004"/>
      <c r="CE167" s="17004"/>
      <c r="CF167" s="17004"/>
      <c r="CG167" s="17004"/>
      <c r="CH167" s="17004"/>
      <c r="CI167" s="17004"/>
      <c r="CJ167" s="17004"/>
      <c r="CK167" s="17004"/>
      <c r="CL167" s="17004"/>
      <c r="CM167" s="17004"/>
      <c r="CN167" s="17004"/>
      <c r="CO167" s="17004"/>
      <c r="CP167" s="17004"/>
      <c r="CQ167" s="17004"/>
      <c r="CR167" s="17004"/>
      <c r="CS167" s="17004"/>
      <c r="CT167" s="17004"/>
      <c r="CU167" s="17004"/>
      <c r="CV167" s="17004"/>
      <c r="CW167" s="17004"/>
      <c r="CX167" s="17004"/>
      <c r="CY167" s="17004"/>
      <c r="CZ167" s="17004"/>
      <c r="DA167" s="17004"/>
      <c r="DB167" s="17004"/>
      <c r="DC167" s="17004"/>
      <c r="DD167" s="17004"/>
      <c r="DE167" s="17004"/>
      <c r="DF167" s="17004"/>
      <c r="DG167" s="17004"/>
      <c r="DH167" s="17004"/>
      <c r="DI167" s="17004"/>
      <c r="DJ167" s="17004"/>
      <c r="DK167" s="17004"/>
      <c r="DL167" s="17004"/>
      <c r="DM167" s="17004"/>
      <c r="DN167" s="17004"/>
      <c r="DO167" s="17004"/>
      <c r="DP167" s="17004"/>
      <c r="DQ167" s="17004"/>
      <c r="DR167" s="17004"/>
      <c r="DS167" s="17004"/>
      <c r="DT167" s="17004"/>
      <c r="DU167" s="17004"/>
      <c r="DV167" s="17004"/>
      <c r="DW167" s="17004"/>
      <c r="DX167" s="17004"/>
      <c r="DY167" s="17004"/>
      <c r="DZ167" s="17004"/>
      <c r="EA167" s="17004"/>
      <c r="EB167" s="11587"/>
      <c r="EC167" s="11588"/>
      <c r="ED167" s="11471"/>
      <c r="EE167" s="11472"/>
      <c r="EF167" s="11472" t="str">
        <f>IF(V167="","",V167)</f>
        <v/>
      </c>
      <c r="EG167" s="11472"/>
      <c r="EH167" s="11472"/>
      <c r="EI167" s="11462">
        <v>0</v>
      </c>
    </row>
    <row s="36659" customFormat="1" customHeight="1" ht="14.25">
      <c r="A168" s="11590"/>
      <c r="B168" s="11590"/>
      <c r="C168" s="11590"/>
      <c r="D168" s="11590"/>
      <c r="E168" s="11456"/>
      <c r="F168" s="11456" t="s">
        <v>124</v>
      </c>
      <c r="G168" s="11457"/>
      <c r="H168" s="11590"/>
      <c r="I168" s="11590"/>
      <c r="J168" s="11590"/>
      <c r="K168" s="11590"/>
      <c r="L168" s="11590"/>
      <c r="M168" s="11591"/>
      <c r="N168" s="11592"/>
      <c r="O168" s="11592"/>
      <c r="P168" s="11593"/>
      <c r="Q168" s="11594"/>
      <c r="R168" s="11595"/>
      <c r="S168" s="11594"/>
      <c r="T168" s="11594"/>
      <c r="U168" s="11596"/>
      <c r="V168" s="11597" t="s">
        <v>213</v>
      </c>
      <c r="W168" s="11598"/>
      <c r="X168" s="11598"/>
      <c r="Y168" s="11598"/>
      <c r="Z168" s="11598"/>
      <c r="AA168" s="11598"/>
      <c r="AB168" s="11598"/>
      <c r="AC168" s="11598"/>
      <c r="AD168" s="11598"/>
      <c r="AE168" s="11598"/>
      <c r="AF168" s="11598"/>
      <c r="AG168" s="11598"/>
      <c r="AH168" s="11598"/>
      <c r="AI168" s="11598"/>
      <c r="AJ168" s="11598"/>
      <c r="AK168" s="11598"/>
      <c r="AL168" s="11598"/>
      <c r="AM168" s="11598"/>
      <c r="AN168" s="11598"/>
      <c r="AO168" s="11598"/>
      <c r="AP168" s="17005"/>
      <c r="AQ168" s="17005"/>
      <c r="AR168" s="17005"/>
      <c r="AS168" s="17005"/>
      <c r="AT168" s="17005"/>
      <c r="AU168" s="17005"/>
      <c r="AV168" s="17005"/>
      <c r="AW168" s="17005"/>
      <c r="AX168" s="17005"/>
      <c r="AY168" s="17005"/>
      <c r="AZ168" s="17005"/>
      <c r="BA168" s="17005"/>
      <c r="BB168" s="17005"/>
      <c r="BC168" s="17005"/>
      <c r="BD168" s="17005"/>
      <c r="BE168" s="17005"/>
      <c r="BF168" s="17005"/>
      <c r="BG168" s="17005"/>
      <c r="BH168" s="17005"/>
      <c r="BI168" s="17005"/>
      <c r="BJ168" s="17005"/>
      <c r="BK168" s="17005"/>
      <c r="BL168" s="17005"/>
      <c r="BM168" s="17005"/>
      <c r="BN168" s="17005"/>
      <c r="BO168" s="17005"/>
      <c r="BP168" s="17005"/>
      <c r="BQ168" s="17005"/>
      <c r="BR168" s="17005"/>
      <c r="BS168" s="17005"/>
      <c r="BT168" s="17005"/>
      <c r="BU168" s="17005"/>
      <c r="BV168" s="17005"/>
      <c r="BW168" s="17005"/>
      <c r="BX168" s="17005"/>
      <c r="BY168" s="17005"/>
      <c r="BZ168" s="17005"/>
      <c r="CA168" s="17005"/>
      <c r="CB168" s="17005"/>
      <c r="CC168" s="17005"/>
      <c r="CD168" s="17005"/>
      <c r="CE168" s="17005"/>
      <c r="CF168" s="17005"/>
      <c r="CG168" s="17005"/>
      <c r="CH168" s="17005"/>
      <c r="CI168" s="17005"/>
      <c r="CJ168" s="17005"/>
      <c r="CK168" s="17005"/>
      <c r="CL168" s="17005"/>
      <c r="CM168" s="17005"/>
      <c r="CN168" s="17005"/>
      <c r="CO168" s="17005"/>
      <c r="CP168" s="17005"/>
      <c r="CQ168" s="17005"/>
      <c r="CR168" s="17005"/>
      <c r="CS168" s="17005"/>
      <c r="CT168" s="17005"/>
      <c r="CU168" s="17005"/>
      <c r="CV168" s="17005"/>
      <c r="CW168" s="17005"/>
      <c r="CX168" s="17005"/>
      <c r="CY168" s="17005"/>
      <c r="CZ168" s="17005"/>
      <c r="DA168" s="17005"/>
      <c r="DB168" s="17005"/>
      <c r="DC168" s="17005"/>
      <c r="DD168" s="17005"/>
      <c r="DE168" s="17005"/>
      <c r="DF168" s="17005"/>
      <c r="DG168" s="17005"/>
      <c r="DH168" s="17005"/>
      <c r="DI168" s="17005"/>
      <c r="DJ168" s="17005"/>
      <c r="DK168" s="17005"/>
      <c r="DL168" s="17005"/>
      <c r="DM168" s="17005"/>
      <c r="DN168" s="17005"/>
      <c r="DO168" s="17005"/>
      <c r="DP168" s="17005"/>
      <c r="DQ168" s="17005"/>
      <c r="DR168" s="17005"/>
      <c r="DS168" s="17005"/>
      <c r="DT168" s="17005"/>
      <c r="DU168" s="17005"/>
      <c r="DV168" s="17005"/>
      <c r="DW168" s="17005"/>
      <c r="DX168" s="17005"/>
      <c r="DY168" s="17005"/>
      <c r="DZ168" s="17005"/>
      <c r="EA168" s="17005"/>
      <c r="EB168" s="11598"/>
      <c r="EC168" s="11598"/>
      <c r="ED168" s="11471"/>
      <c r="EE168" s="11472"/>
      <c r="EF168" s="11472" t="str">
        <f>IF(V168="","",V168)</f>
        <v>Добавить источник для дифференциации</v>
      </c>
      <c r="EG168" s="11472"/>
      <c r="EH168" s="11472"/>
      <c r="EI168" s="11471">
        <v>0</v>
      </c>
    </row>
    <row s="36660" customFormat="1" customHeight="1" ht="14.25">
      <c r="A169" s="11590"/>
      <c r="B169" s="11590"/>
      <c r="C169" s="11590"/>
      <c r="D169" s="11590"/>
      <c r="E169" s="11456"/>
      <c r="F169" s="11457" t="s">
        <v>124</v>
      </c>
      <c r="G169" s="11590"/>
      <c r="H169" s="11590"/>
      <c r="I169" s="11590"/>
      <c r="J169" s="11590"/>
      <c r="K169" s="11590"/>
      <c r="L169" s="11590"/>
      <c r="M169" s="11591"/>
      <c r="N169" s="11600"/>
      <c r="O169" s="11600"/>
      <c r="P169" s="11593"/>
      <c r="Q169" s="11594"/>
      <c r="R169" s="11595"/>
      <c r="S169" s="11594"/>
      <c r="T169" s="11594"/>
      <c r="U169" s="11601"/>
      <c r="V169" s="11602" t="s">
        <v>214</v>
      </c>
      <c r="W169" s="11603"/>
      <c r="X169" s="11603"/>
      <c r="Y169" s="11603"/>
      <c r="Z169" s="11603"/>
      <c r="AA169" s="11603"/>
      <c r="AB169" s="11603"/>
      <c r="AC169" s="11603"/>
      <c r="AD169" s="11603"/>
      <c r="AE169" s="11603"/>
      <c r="AF169" s="11603"/>
      <c r="AG169" s="11603"/>
      <c r="AH169" s="11603"/>
      <c r="AI169" s="11603"/>
      <c r="AJ169" s="11603"/>
      <c r="AK169" s="11603"/>
      <c r="AL169" s="11603"/>
      <c r="AM169" s="11603"/>
      <c r="AN169" s="11603"/>
      <c r="AO169" s="11603"/>
      <c r="AP169" s="17006"/>
      <c r="AQ169" s="17006"/>
      <c r="AR169" s="17006"/>
      <c r="AS169" s="17006"/>
      <c r="AT169" s="17006"/>
      <c r="AU169" s="17006"/>
      <c r="AV169" s="17006"/>
      <c r="AW169" s="17006"/>
      <c r="AX169" s="17006"/>
      <c r="AY169" s="17006"/>
      <c r="AZ169" s="17006"/>
      <c r="BA169" s="17006"/>
      <c r="BB169" s="17006"/>
      <c r="BC169" s="17006"/>
      <c r="BD169" s="17006"/>
      <c r="BE169" s="17006"/>
      <c r="BF169" s="17006"/>
      <c r="BG169" s="17006"/>
      <c r="BH169" s="17006"/>
      <c r="BI169" s="17006"/>
      <c r="BJ169" s="17006"/>
      <c r="BK169" s="17006"/>
      <c r="BL169" s="17006"/>
      <c r="BM169" s="17006"/>
      <c r="BN169" s="17006"/>
      <c r="BO169" s="17006"/>
      <c r="BP169" s="17006"/>
      <c r="BQ169" s="17006"/>
      <c r="BR169" s="17006"/>
      <c r="BS169" s="17006"/>
      <c r="BT169" s="17006"/>
      <c r="BU169" s="17006"/>
      <c r="BV169" s="17006"/>
      <c r="BW169" s="17006"/>
      <c r="BX169" s="17006"/>
      <c r="BY169" s="17006"/>
      <c r="BZ169" s="17006"/>
      <c r="CA169" s="17006"/>
      <c r="CB169" s="17006"/>
      <c r="CC169" s="17006"/>
      <c r="CD169" s="17006"/>
      <c r="CE169" s="17006"/>
      <c r="CF169" s="17006"/>
      <c r="CG169" s="17006"/>
      <c r="CH169" s="17006"/>
      <c r="CI169" s="17006"/>
      <c r="CJ169" s="17006"/>
      <c r="CK169" s="17006"/>
      <c r="CL169" s="17006"/>
      <c r="CM169" s="17006"/>
      <c r="CN169" s="17006"/>
      <c r="CO169" s="17006"/>
      <c r="CP169" s="17006"/>
      <c r="CQ169" s="17006"/>
      <c r="CR169" s="17006"/>
      <c r="CS169" s="17006"/>
      <c r="CT169" s="17006"/>
      <c r="CU169" s="17006"/>
      <c r="CV169" s="17006"/>
      <c r="CW169" s="17006"/>
      <c r="CX169" s="17006"/>
      <c r="CY169" s="17006"/>
      <c r="CZ169" s="17006"/>
      <c r="DA169" s="17006"/>
      <c r="DB169" s="17006"/>
      <c r="DC169" s="17006"/>
      <c r="DD169" s="17006"/>
      <c r="DE169" s="17006"/>
      <c r="DF169" s="17006"/>
      <c r="DG169" s="17006"/>
      <c r="DH169" s="17006"/>
      <c r="DI169" s="17006"/>
      <c r="DJ169" s="17006"/>
      <c r="DK169" s="17006"/>
      <c r="DL169" s="17006"/>
      <c r="DM169" s="17006"/>
      <c r="DN169" s="17006"/>
      <c r="DO169" s="17006"/>
      <c r="DP169" s="17006"/>
      <c r="DQ169" s="17006"/>
      <c r="DR169" s="17006"/>
      <c r="DS169" s="17006"/>
      <c r="DT169" s="17006"/>
      <c r="DU169" s="17006"/>
      <c r="DV169" s="17006"/>
      <c r="DW169" s="17006"/>
      <c r="DX169" s="17006"/>
      <c r="DY169" s="17006"/>
      <c r="DZ169" s="17006"/>
      <c r="EA169" s="17006"/>
      <c r="EB169" s="11603"/>
      <c r="EC169" s="11603"/>
      <c r="ED169" s="11471"/>
      <c r="EE169" s="11472"/>
      <c r="EF169" s="11472" t="str">
        <f>IF(V169="","",V169)</f>
        <v>Добавить централизованную систему для дифференциации</v>
      </c>
      <c r="EG169" s="11472"/>
      <c r="EH169" s="11472"/>
      <c r="EI169" s="11471">
        <v>0</v>
      </c>
    </row>
    <row s="30621" customFormat="1" customHeight="1" ht="0">
      <c r="A170" s="1659" t="s">
        <v>209</v>
      </c>
      <c r="B170" s="1659"/>
      <c r="C170" s="1659"/>
      <c r="D170" s="1659"/>
      <c r="E170" s="2573"/>
      <c r="F170" s="1659"/>
      <c r="G170" s="1659"/>
      <c r="H170" s="1659"/>
      <c r="I170" s="1659"/>
      <c r="J170" s="1659"/>
      <c r="K170" s="1659"/>
      <c r="L170" s="1659"/>
      <c r="M170" s="1665"/>
      <c r="N170" s="1663"/>
      <c r="O170" s="1663"/>
      <c r="P170" s="635"/>
      <c r="Q170" s="664"/>
      <c r="R170" s="1628"/>
      <c r="S170" s="664"/>
      <c r="T170" s="664"/>
      <c r="U170" s="1606"/>
      <c r="V170" s="1609" t="s">
        <v>230</v>
      </c>
      <c r="W170" s="1608"/>
      <c r="X170" s="1608"/>
      <c r="Y170" s="1608"/>
      <c r="Z170" s="1608"/>
      <c r="AA170" s="1608"/>
      <c r="AB170" s="1608"/>
      <c r="AC170" s="1608"/>
      <c r="AD170" s="1608"/>
      <c r="AE170" s="1608"/>
      <c r="AF170" s="1608"/>
      <c r="AG170" s="1608"/>
      <c r="AH170" s="1608"/>
      <c r="AI170" s="1608"/>
      <c r="AJ170" s="1608"/>
      <c r="AK170" s="1608"/>
      <c r="AL170" s="1608"/>
      <c r="AM170" s="1608"/>
      <c r="AN170" s="1608"/>
      <c r="AO170" s="1608"/>
      <c r="AP170" s="17006"/>
      <c r="AQ170" s="17006"/>
      <c r="AR170" s="17006"/>
      <c r="AS170" s="17006"/>
      <c r="AT170" s="17006"/>
      <c r="AU170" s="17006"/>
      <c r="AV170" s="17006"/>
      <c r="AW170" s="17006"/>
      <c r="AX170" s="17006"/>
      <c r="AY170" s="17006"/>
      <c r="AZ170" s="17006"/>
      <c r="BA170" s="17006"/>
      <c r="BB170" s="17006"/>
      <c r="BC170" s="17006"/>
      <c r="BD170" s="17006"/>
      <c r="BE170" s="17006"/>
      <c r="BF170" s="17006"/>
      <c r="BG170" s="17006"/>
      <c r="BH170" s="17006"/>
      <c r="BI170" s="17006"/>
      <c r="BJ170" s="17006"/>
      <c r="BK170" s="17006"/>
      <c r="BL170" s="17006"/>
      <c r="BM170" s="17006"/>
      <c r="BN170" s="17006"/>
      <c r="BO170" s="17006"/>
      <c r="BP170" s="17006"/>
      <c r="BQ170" s="17006"/>
      <c r="BR170" s="17006"/>
      <c r="BS170" s="17006"/>
      <c r="BT170" s="17006"/>
      <c r="BU170" s="17006"/>
      <c r="BV170" s="17006"/>
      <c r="BW170" s="17006"/>
      <c r="BX170" s="17006"/>
      <c r="BY170" s="17006"/>
      <c r="BZ170" s="17006"/>
      <c r="CA170" s="17006"/>
      <c r="CB170" s="17006"/>
      <c r="CC170" s="17006"/>
      <c r="CD170" s="17006"/>
      <c r="CE170" s="17006"/>
      <c r="CF170" s="17006"/>
      <c r="CG170" s="17006"/>
      <c r="CH170" s="17006"/>
      <c r="CI170" s="17006"/>
      <c r="CJ170" s="17006"/>
      <c r="CK170" s="17006"/>
      <c r="CL170" s="17006"/>
      <c r="CM170" s="17006"/>
      <c r="CN170" s="17006"/>
      <c r="CO170" s="17006"/>
      <c r="CP170" s="17006"/>
      <c r="CQ170" s="17006"/>
      <c r="CR170" s="17006"/>
      <c r="CS170" s="17006"/>
      <c r="CT170" s="17006"/>
      <c r="CU170" s="17006"/>
      <c r="CV170" s="17006"/>
      <c r="CW170" s="17006"/>
      <c r="CX170" s="17006"/>
      <c r="CY170" s="17006"/>
      <c r="CZ170" s="17006"/>
      <c r="DA170" s="17006"/>
      <c r="DB170" s="17006"/>
      <c r="DC170" s="17006"/>
      <c r="DD170" s="17006"/>
      <c r="DE170" s="17006"/>
      <c r="DF170" s="17006"/>
      <c r="DG170" s="17006"/>
      <c r="DH170" s="17006"/>
      <c r="DI170" s="17006"/>
      <c r="DJ170" s="17006"/>
      <c r="DK170" s="17006"/>
      <c r="DL170" s="17006"/>
      <c r="DM170" s="17006"/>
      <c r="DN170" s="17006"/>
      <c r="DO170" s="17006"/>
      <c r="DP170" s="17006"/>
      <c r="DQ170" s="17006"/>
      <c r="DR170" s="17006"/>
      <c r="DS170" s="17006"/>
      <c r="DT170" s="17006"/>
      <c r="DU170" s="17006"/>
      <c r="DV170" s="17006"/>
      <c r="DW170" s="17006"/>
      <c r="DX170" s="17006"/>
      <c r="DY170" s="17006"/>
      <c r="DZ170" s="17006"/>
      <c r="EA170" s="17006"/>
      <c r="EB170" s="1608"/>
      <c r="EC170" s="1608"/>
      <c r="EE170" s="784"/>
      <c r="EF170" s="784" t="str">
        <f>IF(V170="","",V170)</f>
        <v>Добавить территорию для дифференциации</v>
      </c>
      <c r="EG170" s="784"/>
      <c r="EH170" s="784"/>
      <c r="EI170" s="795">
        <v>0</v>
      </c>
    </row>
    <row s="36661" customFormat="1" customHeight="1" ht="21">
      <c r="A171" s="8474" t="s">
        <v>232</v>
      </c>
      <c r="B171" s="8474"/>
      <c r="C171" s="8474"/>
      <c r="D171" s="8474"/>
      <c r="E171" s="11457" t="s">
        <v>105</v>
      </c>
      <c r="F171" s="8474"/>
      <c r="G171" s="8474"/>
      <c r="H171" s="8474"/>
      <c r="I171" s="8474"/>
      <c r="J171" s="8474"/>
      <c r="K171" s="8474"/>
      <c r="L171" s="8474"/>
      <c r="M171" s="11458"/>
      <c r="N171" s="11459"/>
      <c r="O171" s="11459"/>
      <c r="P171" s="11459"/>
      <c r="Q171" s="11480"/>
      <c r="R171" s="11582"/>
      <c r="S171" s="11582"/>
      <c r="T171" s="11584"/>
      <c r="U171" s="11464" t="str">
        <f>INDEX(PT_DIFFERENTIATION_NUM_NTAR,MATCH(A171,PT_DIFFERENTIATION_NTAR_ID,0))</f>
        <v>2</v>
      </c>
      <c r="V171" s="11897" t="s">
        <v>153</v>
      </c>
      <c r="W171" s="11466"/>
      <c r="X171" s="11467"/>
      <c r="Y171" s="11468"/>
      <c r="Z171" s="11468"/>
      <c r="AA171" s="11468"/>
      <c r="AB171" s="11468"/>
      <c r="AC171" s="11468"/>
      <c r="AD171" s="11468"/>
      <c r="AE171" s="11468"/>
      <c r="AF171" s="11469"/>
      <c r="AG171" s="11467" t="str">
        <f>INDEX(PT_DIFFERENTIATION_NTAR,MATCH(A171,PT_DIFFERENTIATION_NTAR_ID,0))</f>
        <v>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(для потребителей, получающих тепловую энергию на коллекторах производителей).</v>
      </c>
      <c r="AH171" s="11468"/>
      <c r="AI171" s="11468"/>
      <c r="AJ171" s="11468"/>
      <c r="AK171" s="11468"/>
      <c r="AL171" s="11468"/>
      <c r="AM171" s="11468"/>
      <c r="AN171" s="11468"/>
      <c r="AO171" s="11468"/>
      <c r="AP171" s="16743"/>
      <c r="AQ171" s="16744"/>
      <c r="AR171" s="16744"/>
      <c r="AS171" s="16744"/>
      <c r="AT171" s="16744"/>
      <c r="AU171" s="16744"/>
      <c r="AV171" s="16744"/>
      <c r="AW171" s="16744"/>
      <c r="AX171" s="16745"/>
      <c r="AY171" s="16743"/>
      <c r="AZ171" s="16744"/>
      <c r="BA171" s="16744"/>
      <c r="BB171" s="16744"/>
      <c r="BC171" s="16744"/>
      <c r="BD171" s="16744"/>
      <c r="BE171" s="16744"/>
      <c r="BF171" s="16744"/>
      <c r="BG171" s="16745"/>
      <c r="BH171" s="16743"/>
      <c r="BI171" s="16744"/>
      <c r="BJ171" s="16744"/>
      <c r="BK171" s="16744"/>
      <c r="BL171" s="16744"/>
      <c r="BM171" s="16744"/>
      <c r="BN171" s="16744"/>
      <c r="BO171" s="16744"/>
      <c r="BP171" s="16745"/>
      <c r="BQ171" s="16743"/>
      <c r="BR171" s="16744"/>
      <c r="BS171" s="16744"/>
      <c r="BT171" s="16744"/>
      <c r="BU171" s="16744"/>
      <c r="BV171" s="16744"/>
      <c r="BW171" s="16744"/>
      <c r="BX171" s="16744"/>
      <c r="BY171" s="16745"/>
      <c r="BZ171" s="16743"/>
      <c r="CA171" s="16744"/>
      <c r="CB171" s="16744"/>
      <c r="CC171" s="16744"/>
      <c r="CD171" s="16744"/>
      <c r="CE171" s="16744"/>
      <c r="CF171" s="16744"/>
      <c r="CG171" s="16744"/>
      <c r="CH171" s="16745"/>
      <c r="CI171" s="16743"/>
      <c r="CJ171" s="16744"/>
      <c r="CK171" s="16744"/>
      <c r="CL171" s="16744"/>
      <c r="CM171" s="16744"/>
      <c r="CN171" s="16744"/>
      <c r="CO171" s="16744"/>
      <c r="CP171" s="16744"/>
      <c r="CQ171" s="16745"/>
      <c r="CR171" s="16743"/>
      <c r="CS171" s="16744"/>
      <c r="CT171" s="16744"/>
      <c r="CU171" s="16744"/>
      <c r="CV171" s="16744"/>
      <c r="CW171" s="16744"/>
      <c r="CX171" s="16744"/>
      <c r="CY171" s="16744"/>
      <c r="CZ171" s="16745"/>
      <c r="DA171" s="16743"/>
      <c r="DB171" s="16744"/>
      <c r="DC171" s="16744"/>
      <c r="DD171" s="16744"/>
      <c r="DE171" s="16744"/>
      <c r="DF171" s="16744"/>
      <c r="DG171" s="16744"/>
      <c r="DH171" s="16744"/>
      <c r="DI171" s="16745"/>
      <c r="DJ171" s="16743"/>
      <c r="DK171" s="16744"/>
      <c r="DL171" s="16744"/>
      <c r="DM171" s="16744"/>
      <c r="DN171" s="16744"/>
      <c r="DO171" s="16744"/>
      <c r="DP171" s="16744"/>
      <c r="DQ171" s="16744"/>
      <c r="DR171" s="16745"/>
      <c r="DS171" s="16743"/>
      <c r="DT171" s="16744"/>
      <c r="DU171" s="16744"/>
      <c r="DV171" s="16744"/>
      <c r="DW171" s="16744"/>
      <c r="DX171" s="16744"/>
      <c r="DY171" s="16744"/>
      <c r="DZ171" s="16744"/>
      <c r="EA171" s="16745"/>
      <c r="EB171" s="11469"/>
      <c r="EC171" s="11470" t="s">
        <v>456</v>
      </c>
      <c r="ED171" s="11471"/>
      <c r="EE171" s="11472"/>
      <c r="EF171" s="11472" t="str">
        <f>IF(V171="","",V171)</f>
        <v>Наименование тарифа</v>
      </c>
      <c r="EG171" s="11472"/>
      <c r="EH171" s="11472"/>
      <c r="EI171" s="11462">
        <v>0</v>
      </c>
    </row>
    <row s="36663" customFormat="1" customHeight="1" ht="21">
      <c r="A172" s="8474"/>
      <c r="B172" s="8474" t="s">
        <v>233</v>
      </c>
      <c r="C172" s="8474"/>
      <c r="D172" s="8474"/>
      <c r="E172" s="11456">
        <v>1</v>
      </c>
      <c r="F172" s="11457">
        <v>1</v>
      </c>
      <c r="G172" s="8474"/>
      <c r="H172" s="8474"/>
      <c r="I172" s="8474"/>
      <c r="J172" s="8474"/>
      <c r="K172" s="8474"/>
      <c r="L172" s="8474"/>
      <c r="M172" s="11458"/>
      <c r="N172" s="11459"/>
      <c r="O172" s="11459"/>
      <c r="P172" s="11459"/>
      <c r="Q172" s="11460"/>
      <c r="R172" s="11461"/>
      <c r="S172" s="11462"/>
      <c r="T172" s="11463"/>
      <c r="U172" s="11464" t="str">
        <f>INDEX(PT_DIFFERENTIATION_NUM_TER,MATCH(B172,PT_DIFFERENTIATION_TER_ID,0))</f>
        <v>2.1</v>
      </c>
      <c r="V172" s="11465" t="s">
        <v>457</v>
      </c>
      <c r="W172" s="11466"/>
      <c r="X172" s="11467"/>
      <c r="Y172" s="11468"/>
      <c r="Z172" s="11468"/>
      <c r="AA172" s="11468"/>
      <c r="AB172" s="11468"/>
      <c r="AC172" s="11468"/>
      <c r="AD172" s="11468"/>
      <c r="AE172" s="11468"/>
      <c r="AF172" s="11469"/>
      <c r="AG172" s="11467" t="str">
        <f>INDEX(PT_DIFFERENTIATION_TER,MATCH(B172,PT_DIFFERENTIATION_TER_ID,0))</f>
        <v>Территория 2</v>
      </c>
      <c r="AH172" s="11468"/>
      <c r="AI172" s="11468"/>
      <c r="AJ172" s="11468"/>
      <c r="AK172" s="11468"/>
      <c r="AL172" s="11468"/>
      <c r="AM172" s="11468"/>
      <c r="AN172" s="11468"/>
      <c r="AO172" s="11468"/>
      <c r="AP172" s="16743"/>
      <c r="AQ172" s="16744"/>
      <c r="AR172" s="16744"/>
      <c r="AS172" s="16744"/>
      <c r="AT172" s="16744"/>
      <c r="AU172" s="16744"/>
      <c r="AV172" s="16744"/>
      <c r="AW172" s="16744"/>
      <c r="AX172" s="16745"/>
      <c r="AY172" s="16743"/>
      <c r="AZ172" s="16744"/>
      <c r="BA172" s="16744"/>
      <c r="BB172" s="16744"/>
      <c r="BC172" s="16744"/>
      <c r="BD172" s="16744"/>
      <c r="BE172" s="16744"/>
      <c r="BF172" s="16744"/>
      <c r="BG172" s="16745"/>
      <c r="BH172" s="16743"/>
      <c r="BI172" s="16744"/>
      <c r="BJ172" s="16744"/>
      <c r="BK172" s="16744"/>
      <c r="BL172" s="16744"/>
      <c r="BM172" s="16744"/>
      <c r="BN172" s="16744"/>
      <c r="BO172" s="16744"/>
      <c r="BP172" s="16745"/>
      <c r="BQ172" s="16743"/>
      <c r="BR172" s="16744"/>
      <c r="BS172" s="16744"/>
      <c r="BT172" s="16744"/>
      <c r="BU172" s="16744"/>
      <c r="BV172" s="16744"/>
      <c r="BW172" s="16744"/>
      <c r="BX172" s="16744"/>
      <c r="BY172" s="16745"/>
      <c r="BZ172" s="16743"/>
      <c r="CA172" s="16744"/>
      <c r="CB172" s="16744"/>
      <c r="CC172" s="16744"/>
      <c r="CD172" s="16744"/>
      <c r="CE172" s="16744"/>
      <c r="CF172" s="16744"/>
      <c r="CG172" s="16744"/>
      <c r="CH172" s="16745"/>
      <c r="CI172" s="16743"/>
      <c r="CJ172" s="16744"/>
      <c r="CK172" s="16744"/>
      <c r="CL172" s="16744"/>
      <c r="CM172" s="16744"/>
      <c r="CN172" s="16744"/>
      <c r="CO172" s="16744"/>
      <c r="CP172" s="16744"/>
      <c r="CQ172" s="16745"/>
      <c r="CR172" s="16743"/>
      <c r="CS172" s="16744"/>
      <c r="CT172" s="16744"/>
      <c r="CU172" s="16744"/>
      <c r="CV172" s="16744"/>
      <c r="CW172" s="16744"/>
      <c r="CX172" s="16744"/>
      <c r="CY172" s="16744"/>
      <c r="CZ172" s="16745"/>
      <c r="DA172" s="16743"/>
      <c r="DB172" s="16744"/>
      <c r="DC172" s="16744"/>
      <c r="DD172" s="16744"/>
      <c r="DE172" s="16744"/>
      <c r="DF172" s="16744"/>
      <c r="DG172" s="16744"/>
      <c r="DH172" s="16744"/>
      <c r="DI172" s="16745"/>
      <c r="DJ172" s="16743"/>
      <c r="DK172" s="16744"/>
      <c r="DL172" s="16744"/>
      <c r="DM172" s="16744"/>
      <c r="DN172" s="16744"/>
      <c r="DO172" s="16744"/>
      <c r="DP172" s="16744"/>
      <c r="DQ172" s="16744"/>
      <c r="DR172" s="16745"/>
      <c r="DS172" s="16743"/>
      <c r="DT172" s="16744"/>
      <c r="DU172" s="16744"/>
      <c r="DV172" s="16744"/>
      <c r="DW172" s="16744"/>
      <c r="DX172" s="16744"/>
      <c r="DY172" s="16744"/>
      <c r="DZ172" s="16744"/>
      <c r="EA172" s="16745"/>
      <c r="EB172" s="11469"/>
      <c r="EC172" s="11470" t="s">
        <v>458</v>
      </c>
      <c r="ED172" s="11471"/>
      <c r="EE172" s="11472"/>
      <c r="EF172" s="11472" t="str">
        <f>IF(V172="","",V172)</f>
        <v>Территория действия тарифа</v>
      </c>
      <c r="EG172" s="11472"/>
      <c r="EH172" s="11472"/>
      <c r="EI172" s="11462">
        <v>0</v>
      </c>
    </row>
    <row s="36664" customFormat="1" customHeight="1" ht="22.5">
      <c r="A173" s="8474"/>
      <c r="B173" s="8474"/>
      <c r="C173" s="8474" t="s">
        <v>234</v>
      </c>
      <c r="D173" s="8474"/>
      <c r="E173" s="11456">
        <v>1</v>
      </c>
      <c r="F173" s="11456"/>
      <c r="G173" s="11457">
        <v>1</v>
      </c>
      <c r="H173" s="8474"/>
      <c r="I173" s="8474"/>
      <c r="J173" s="8474"/>
      <c r="K173" s="8474"/>
      <c r="L173" s="8474"/>
      <c r="M173" s="11458"/>
      <c r="N173" s="11459"/>
      <c r="O173" s="11459"/>
      <c r="P173" s="11459"/>
      <c r="Q173" s="11474"/>
      <c r="R173" s="11461"/>
      <c r="S173" s="11462"/>
      <c r="T173" s="11463"/>
      <c r="U173" s="11464" t="str">
        <f>INDEX(PT_DIFFERENTIATION_NUM_CS,MATCH(C173,PT_DIFFERENTIATION_CS_ID,0))</f>
        <v>2.1.1</v>
      </c>
      <c r="V173" s="11475" t="s">
        <v>459</v>
      </c>
      <c r="W173" s="11466"/>
      <c r="X173" s="11467"/>
      <c r="Y173" s="11468"/>
      <c r="Z173" s="11468"/>
      <c r="AA173" s="11468"/>
      <c r="AB173" s="11468"/>
      <c r="AC173" s="11468"/>
      <c r="AD173" s="11468"/>
      <c r="AE173" s="11468"/>
      <c r="AF173" s="11469"/>
      <c r="AG173" s="11467" t="str">
        <f>INDEX(PT_DIFFERENTIATION_CS,MATCH(C173,PT_DIFFERENTIATION_CS_ID,0))</f>
        <v>без дифференциации</v>
      </c>
      <c r="AH173" s="11468"/>
      <c r="AI173" s="11468"/>
      <c r="AJ173" s="11468"/>
      <c r="AK173" s="11468"/>
      <c r="AL173" s="11468"/>
      <c r="AM173" s="11468"/>
      <c r="AN173" s="11468"/>
      <c r="AO173" s="11468"/>
      <c r="AP173" s="16743"/>
      <c r="AQ173" s="16744"/>
      <c r="AR173" s="16744"/>
      <c r="AS173" s="16744"/>
      <c r="AT173" s="16744"/>
      <c r="AU173" s="16744"/>
      <c r="AV173" s="16744"/>
      <c r="AW173" s="16744"/>
      <c r="AX173" s="16745"/>
      <c r="AY173" s="16743"/>
      <c r="AZ173" s="16744"/>
      <c r="BA173" s="16744"/>
      <c r="BB173" s="16744"/>
      <c r="BC173" s="16744"/>
      <c r="BD173" s="16744"/>
      <c r="BE173" s="16744"/>
      <c r="BF173" s="16744"/>
      <c r="BG173" s="16745"/>
      <c r="BH173" s="16743"/>
      <c r="BI173" s="16744"/>
      <c r="BJ173" s="16744"/>
      <c r="BK173" s="16744"/>
      <c r="BL173" s="16744"/>
      <c r="BM173" s="16744"/>
      <c r="BN173" s="16744"/>
      <c r="BO173" s="16744"/>
      <c r="BP173" s="16745"/>
      <c r="BQ173" s="16743"/>
      <c r="BR173" s="16744"/>
      <c r="BS173" s="16744"/>
      <c r="BT173" s="16744"/>
      <c r="BU173" s="16744"/>
      <c r="BV173" s="16744"/>
      <c r="BW173" s="16744"/>
      <c r="BX173" s="16744"/>
      <c r="BY173" s="16745"/>
      <c r="BZ173" s="16743"/>
      <c r="CA173" s="16744"/>
      <c r="CB173" s="16744"/>
      <c r="CC173" s="16744"/>
      <c r="CD173" s="16744"/>
      <c r="CE173" s="16744"/>
      <c r="CF173" s="16744"/>
      <c r="CG173" s="16744"/>
      <c r="CH173" s="16745"/>
      <c r="CI173" s="16743"/>
      <c r="CJ173" s="16744"/>
      <c r="CK173" s="16744"/>
      <c r="CL173" s="16744"/>
      <c r="CM173" s="16744"/>
      <c r="CN173" s="16744"/>
      <c r="CO173" s="16744"/>
      <c r="CP173" s="16744"/>
      <c r="CQ173" s="16745"/>
      <c r="CR173" s="16743"/>
      <c r="CS173" s="16744"/>
      <c r="CT173" s="16744"/>
      <c r="CU173" s="16744"/>
      <c r="CV173" s="16744"/>
      <c r="CW173" s="16744"/>
      <c r="CX173" s="16744"/>
      <c r="CY173" s="16744"/>
      <c r="CZ173" s="16745"/>
      <c r="DA173" s="16743"/>
      <c r="DB173" s="16744"/>
      <c r="DC173" s="16744"/>
      <c r="DD173" s="16744"/>
      <c r="DE173" s="16744"/>
      <c r="DF173" s="16744"/>
      <c r="DG173" s="16744"/>
      <c r="DH173" s="16744"/>
      <c r="DI173" s="16745"/>
      <c r="DJ173" s="16743"/>
      <c r="DK173" s="16744"/>
      <c r="DL173" s="16744"/>
      <c r="DM173" s="16744"/>
      <c r="DN173" s="16744"/>
      <c r="DO173" s="16744"/>
      <c r="DP173" s="16744"/>
      <c r="DQ173" s="16744"/>
      <c r="DR173" s="16745"/>
      <c r="DS173" s="16743"/>
      <c r="DT173" s="16744"/>
      <c r="DU173" s="16744"/>
      <c r="DV173" s="16744"/>
      <c r="DW173" s="16744"/>
      <c r="DX173" s="16744"/>
      <c r="DY173" s="16744"/>
      <c r="DZ173" s="16744"/>
      <c r="EA173" s="16745"/>
      <c r="EB173" s="11469"/>
      <c r="EC173" s="11470" t="s">
        <v>460</v>
      </c>
      <c r="ED173" s="11471"/>
      <c r="EE173" s="11472"/>
      <c r="EF173" s="11472" t="str">
        <f>IF(V173="","",V173)</f>
        <v>Наименование системы теплоснабжения </v>
      </c>
      <c r="EG173" s="11472"/>
      <c r="EH173" s="11472"/>
      <c r="EI173" s="11462">
        <v>0</v>
      </c>
    </row>
    <row s="36665" customFormat="1" customHeight="1" ht="21">
      <c r="A174" s="8474"/>
      <c r="B174" s="8474"/>
      <c r="C174" s="8474"/>
      <c r="D174" s="8474" t="s">
        <v>235</v>
      </c>
      <c r="E174" s="11456">
        <v>1</v>
      </c>
      <c r="F174" s="11456"/>
      <c r="G174" s="11456"/>
      <c r="H174" s="11457">
        <v>1</v>
      </c>
      <c r="I174" s="8474"/>
      <c r="J174" s="8474"/>
      <c r="K174" s="8474"/>
      <c r="L174" s="8474"/>
      <c r="M174" s="11458"/>
      <c r="N174" s="11459"/>
      <c r="O174" s="11459"/>
      <c r="P174" s="11459"/>
      <c r="Q174" s="11474"/>
      <c r="R174" s="11461"/>
      <c r="S174" s="11462"/>
      <c r="T174" s="11463"/>
      <c r="U174" s="11464" t="str">
        <f>INDEX(PT_DIFFERENTIATION_NUM_IST_TE,MATCH(D174,PT_DIFFERENTIATION_IST_TE_ID,0))</f>
        <v>2.1.1.1</v>
      </c>
      <c r="V174" s="11477" t="s">
        <v>461</v>
      </c>
      <c r="W174" s="11466"/>
      <c r="X174" s="11467"/>
      <c r="Y174" s="11468"/>
      <c r="Z174" s="11468"/>
      <c r="AA174" s="11468"/>
      <c r="AB174" s="11468"/>
      <c r="AC174" s="11468"/>
      <c r="AD174" s="11468"/>
      <c r="AE174" s="11468"/>
      <c r="AF174" s="11469"/>
      <c r="AG174" s="11467" t="str">
        <f>INDEX(PT_DIFFERENTIATION_IST_TE,MATCH(D174,PT_DIFFERENTIATION_IST_TE_ID,0))</f>
        <v>без дифференциации</v>
      </c>
      <c r="AH174" s="11468"/>
      <c r="AI174" s="11468"/>
      <c r="AJ174" s="11468"/>
      <c r="AK174" s="11468"/>
      <c r="AL174" s="11468"/>
      <c r="AM174" s="11468"/>
      <c r="AN174" s="11468"/>
      <c r="AO174" s="11468"/>
      <c r="AP174" s="16743"/>
      <c r="AQ174" s="16744"/>
      <c r="AR174" s="16744"/>
      <c r="AS174" s="16744"/>
      <c r="AT174" s="16744"/>
      <c r="AU174" s="16744"/>
      <c r="AV174" s="16744"/>
      <c r="AW174" s="16744"/>
      <c r="AX174" s="16745"/>
      <c r="AY174" s="16743"/>
      <c r="AZ174" s="16744"/>
      <c r="BA174" s="16744"/>
      <c r="BB174" s="16744"/>
      <c r="BC174" s="16744"/>
      <c r="BD174" s="16744"/>
      <c r="BE174" s="16744"/>
      <c r="BF174" s="16744"/>
      <c r="BG174" s="16745"/>
      <c r="BH174" s="16743"/>
      <c r="BI174" s="16744"/>
      <c r="BJ174" s="16744"/>
      <c r="BK174" s="16744"/>
      <c r="BL174" s="16744"/>
      <c r="BM174" s="16744"/>
      <c r="BN174" s="16744"/>
      <c r="BO174" s="16744"/>
      <c r="BP174" s="16745"/>
      <c r="BQ174" s="16743"/>
      <c r="BR174" s="16744"/>
      <c r="BS174" s="16744"/>
      <c r="BT174" s="16744"/>
      <c r="BU174" s="16744"/>
      <c r="BV174" s="16744"/>
      <c r="BW174" s="16744"/>
      <c r="BX174" s="16744"/>
      <c r="BY174" s="16745"/>
      <c r="BZ174" s="16743"/>
      <c r="CA174" s="16744"/>
      <c r="CB174" s="16744"/>
      <c r="CC174" s="16744"/>
      <c r="CD174" s="16744"/>
      <c r="CE174" s="16744"/>
      <c r="CF174" s="16744"/>
      <c r="CG174" s="16744"/>
      <c r="CH174" s="16745"/>
      <c r="CI174" s="16743"/>
      <c r="CJ174" s="16744"/>
      <c r="CK174" s="16744"/>
      <c r="CL174" s="16744"/>
      <c r="CM174" s="16744"/>
      <c r="CN174" s="16744"/>
      <c r="CO174" s="16744"/>
      <c r="CP174" s="16744"/>
      <c r="CQ174" s="16745"/>
      <c r="CR174" s="16743"/>
      <c r="CS174" s="16744"/>
      <c r="CT174" s="16744"/>
      <c r="CU174" s="16744"/>
      <c r="CV174" s="16744"/>
      <c r="CW174" s="16744"/>
      <c r="CX174" s="16744"/>
      <c r="CY174" s="16744"/>
      <c r="CZ174" s="16745"/>
      <c r="DA174" s="16743"/>
      <c r="DB174" s="16744"/>
      <c r="DC174" s="16744"/>
      <c r="DD174" s="16744"/>
      <c r="DE174" s="16744"/>
      <c r="DF174" s="16744"/>
      <c r="DG174" s="16744"/>
      <c r="DH174" s="16744"/>
      <c r="DI174" s="16745"/>
      <c r="DJ174" s="16743"/>
      <c r="DK174" s="16744"/>
      <c r="DL174" s="16744"/>
      <c r="DM174" s="16744"/>
      <c r="DN174" s="16744"/>
      <c r="DO174" s="16744"/>
      <c r="DP174" s="16744"/>
      <c r="DQ174" s="16744"/>
      <c r="DR174" s="16745"/>
      <c r="DS174" s="16743"/>
      <c r="DT174" s="16744"/>
      <c r="DU174" s="16744"/>
      <c r="DV174" s="16744"/>
      <c r="DW174" s="16744"/>
      <c r="DX174" s="16744"/>
      <c r="DY174" s="16744"/>
      <c r="DZ174" s="16744"/>
      <c r="EA174" s="16745"/>
      <c r="EB174" s="11469"/>
      <c r="EC174" s="11470" t="s">
        <v>462</v>
      </c>
      <c r="ED174" s="11471"/>
      <c r="EE174" s="11472"/>
      <c r="EF174" s="11472" t="str">
        <f>IF(V174="","",V174)</f>
        <v>Источник тепловой энергии  </v>
      </c>
      <c r="EG174" s="11472"/>
      <c r="EH174" s="11472"/>
      <c r="EI174" s="11462">
        <v>0</v>
      </c>
    </row>
    <row s="36666" customFormat="1" customHeight="1" ht="14.25">
      <c r="A175" s="8474"/>
      <c r="B175" s="8474"/>
      <c r="C175" s="8474"/>
      <c r="D175" s="8474"/>
      <c r="E175" s="11456">
        <v>1</v>
      </c>
      <c r="F175" s="11456"/>
      <c r="G175" s="11456"/>
      <c r="H175" s="11456"/>
      <c r="I175" s="11479" t="str">
        <f>U174&amp;".1"</f>
        <v>2.1.1.1.1</v>
      </c>
      <c r="J175" s="8474"/>
      <c r="K175" s="8474"/>
      <c r="L175" s="8474"/>
      <c r="M175" s="11458" t="s">
        <v>463</v>
      </c>
      <c r="N175" s="11462"/>
      <c r="O175" s="11480"/>
      <c r="P175" s="11480"/>
      <c r="Q175" s="11481">
        <v>1</v>
      </c>
      <c r="R175" s="11481"/>
      <c r="S175" s="11481"/>
      <c r="T175" s="11482"/>
      <c r="U175" s="11483"/>
      <c r="V175" s="11484"/>
      <c r="W175" s="11485"/>
      <c r="X175" s="11486"/>
      <c r="Y175" s="11487"/>
      <c r="Z175" s="11487"/>
      <c r="AA175" s="11487"/>
      <c r="AB175" s="11487"/>
      <c r="AC175" s="11487"/>
      <c r="AD175" s="11487"/>
      <c r="AE175" s="11487"/>
      <c r="AF175" s="11488"/>
      <c r="AG175" s="11486"/>
      <c r="AH175" s="11487"/>
      <c r="AI175" s="11487"/>
      <c r="AJ175" s="11487"/>
      <c r="AK175" s="11487"/>
      <c r="AL175" s="11487"/>
      <c r="AM175" s="11487"/>
      <c r="AN175" s="11487"/>
      <c r="AO175" s="11487"/>
      <c r="AP175" s="16746"/>
      <c r="AQ175" s="16747"/>
      <c r="AR175" s="16747"/>
      <c r="AS175" s="16747"/>
      <c r="AT175" s="16747"/>
      <c r="AU175" s="16747"/>
      <c r="AV175" s="16747"/>
      <c r="AW175" s="16747"/>
      <c r="AX175" s="16748"/>
      <c r="AY175" s="16746"/>
      <c r="AZ175" s="16747"/>
      <c r="BA175" s="16747"/>
      <c r="BB175" s="16747"/>
      <c r="BC175" s="16747"/>
      <c r="BD175" s="16747"/>
      <c r="BE175" s="16747"/>
      <c r="BF175" s="16747"/>
      <c r="BG175" s="16748"/>
      <c r="BH175" s="16746"/>
      <c r="BI175" s="16747"/>
      <c r="BJ175" s="16747"/>
      <c r="BK175" s="16747"/>
      <c r="BL175" s="16747"/>
      <c r="BM175" s="16747"/>
      <c r="BN175" s="16747"/>
      <c r="BO175" s="16747"/>
      <c r="BP175" s="16748"/>
      <c r="BQ175" s="16746"/>
      <c r="BR175" s="16747"/>
      <c r="BS175" s="16747"/>
      <c r="BT175" s="16747"/>
      <c r="BU175" s="16747"/>
      <c r="BV175" s="16747"/>
      <c r="BW175" s="16747"/>
      <c r="BX175" s="16747"/>
      <c r="BY175" s="16748"/>
      <c r="BZ175" s="16746"/>
      <c r="CA175" s="16747"/>
      <c r="CB175" s="16747"/>
      <c r="CC175" s="16747"/>
      <c r="CD175" s="16747"/>
      <c r="CE175" s="16747"/>
      <c r="CF175" s="16747"/>
      <c r="CG175" s="16747"/>
      <c r="CH175" s="16748"/>
      <c r="CI175" s="16746"/>
      <c r="CJ175" s="16747"/>
      <c r="CK175" s="16747"/>
      <c r="CL175" s="16747"/>
      <c r="CM175" s="16747"/>
      <c r="CN175" s="16747"/>
      <c r="CO175" s="16747"/>
      <c r="CP175" s="16747"/>
      <c r="CQ175" s="16748"/>
      <c r="CR175" s="16746"/>
      <c r="CS175" s="16747"/>
      <c r="CT175" s="16747"/>
      <c r="CU175" s="16747"/>
      <c r="CV175" s="16747"/>
      <c r="CW175" s="16747"/>
      <c r="CX175" s="16747"/>
      <c r="CY175" s="16747"/>
      <c r="CZ175" s="16748"/>
      <c r="DA175" s="16746"/>
      <c r="DB175" s="16747"/>
      <c r="DC175" s="16747"/>
      <c r="DD175" s="16747"/>
      <c r="DE175" s="16747"/>
      <c r="DF175" s="16747"/>
      <c r="DG175" s="16747"/>
      <c r="DH175" s="16747"/>
      <c r="DI175" s="16748"/>
      <c r="DJ175" s="16746"/>
      <c r="DK175" s="16747"/>
      <c r="DL175" s="16747"/>
      <c r="DM175" s="16747"/>
      <c r="DN175" s="16747"/>
      <c r="DO175" s="16747"/>
      <c r="DP175" s="16747"/>
      <c r="DQ175" s="16747"/>
      <c r="DR175" s="16748"/>
      <c r="DS175" s="16746"/>
      <c r="DT175" s="16747"/>
      <c r="DU175" s="16747"/>
      <c r="DV175" s="16747"/>
      <c r="DW175" s="16747"/>
      <c r="DX175" s="16747"/>
      <c r="DY175" s="16747"/>
      <c r="DZ175" s="16747"/>
      <c r="EA175" s="16748"/>
      <c r="EB175" s="11488"/>
      <c r="EC175" s="11489"/>
      <c r="ED175" s="11471"/>
      <c r="EE175" s="11472"/>
      <c r="EF175" s="11472" t="str">
        <f>IF(V175="","",V175)</f>
        <v/>
      </c>
      <c r="EG175" s="11472"/>
      <c r="EH175" s="11472"/>
      <c r="EI175" s="11462">
        <v>0</v>
      </c>
    </row>
    <row s="36667" customFormat="1" customHeight="1" ht="21">
      <c r="A176" s="8474"/>
      <c r="B176" s="8474"/>
      <c r="C176" s="8474"/>
      <c r="D176" s="8474"/>
      <c r="E176" s="11456">
        <v>1</v>
      </c>
      <c r="F176" s="11456"/>
      <c r="G176" s="11456"/>
      <c r="H176" s="11456"/>
      <c r="I176" s="11491"/>
      <c r="J176" s="11479" t="str">
        <f>I175&amp;".1"</f>
        <v>2.1.1.1.1.1</v>
      </c>
      <c r="K176" s="8474"/>
      <c r="L176" s="8474"/>
      <c r="M176" s="11458" t="s">
        <v>466</v>
      </c>
      <c r="N176" s="11462"/>
      <c r="O176" s="11462"/>
      <c r="P176" s="11480"/>
      <c r="Q176" s="11481"/>
      <c r="R176" s="11481">
        <v>1</v>
      </c>
      <c r="S176" s="11471"/>
      <c r="T176" s="11492"/>
      <c r="U176" s="11464" t="str">
        <f>$J176</f>
        <v>2.1.1.1.1.1</v>
      </c>
      <c r="V176" s="11493" t="s">
        <v>467</v>
      </c>
      <c r="W176" s="11466"/>
      <c r="X176" s="11494"/>
      <c r="Y176" s="11495"/>
      <c r="Z176" s="11495"/>
      <c r="AA176" s="11495"/>
      <c r="AB176" s="11495"/>
      <c r="AC176" s="11496"/>
      <c r="AD176" s="11496"/>
      <c r="AE176" s="11496"/>
      <c r="AF176" s="11497"/>
      <c r="AG176" s="11494" t="s">
        <v>507</v>
      </c>
      <c r="AH176" s="11495"/>
      <c r="AI176" s="11495"/>
      <c r="AJ176" s="11495"/>
      <c r="AK176" s="11495"/>
      <c r="AL176" s="11495"/>
      <c r="AM176" s="11495"/>
      <c r="AN176" s="11495"/>
      <c r="AO176" s="11495"/>
      <c r="AP176" s="16750"/>
      <c r="AQ176" s="16751"/>
      <c r="AR176" s="16751"/>
      <c r="AS176" s="16751"/>
      <c r="AT176" s="16751"/>
      <c r="AU176" s="16752"/>
      <c r="AV176" s="16752"/>
      <c r="AW176" s="16752"/>
      <c r="AX176" s="16753"/>
      <c r="AY176" s="16750"/>
      <c r="AZ176" s="16751"/>
      <c r="BA176" s="16751"/>
      <c r="BB176" s="16751"/>
      <c r="BC176" s="16751"/>
      <c r="BD176" s="16752"/>
      <c r="BE176" s="16752"/>
      <c r="BF176" s="16752"/>
      <c r="BG176" s="16753"/>
      <c r="BH176" s="16750"/>
      <c r="BI176" s="16751"/>
      <c r="BJ176" s="16751"/>
      <c r="BK176" s="16751"/>
      <c r="BL176" s="16751"/>
      <c r="BM176" s="16752"/>
      <c r="BN176" s="16752"/>
      <c r="BO176" s="16752"/>
      <c r="BP176" s="16753"/>
      <c r="BQ176" s="16750"/>
      <c r="BR176" s="16751"/>
      <c r="BS176" s="16751"/>
      <c r="BT176" s="16751"/>
      <c r="BU176" s="16751"/>
      <c r="BV176" s="16752"/>
      <c r="BW176" s="16752"/>
      <c r="BX176" s="16752"/>
      <c r="BY176" s="16753"/>
      <c r="BZ176" s="16750"/>
      <c r="CA176" s="16751"/>
      <c r="CB176" s="16751"/>
      <c r="CC176" s="16751"/>
      <c r="CD176" s="16751"/>
      <c r="CE176" s="16752"/>
      <c r="CF176" s="16752"/>
      <c r="CG176" s="16752"/>
      <c r="CH176" s="16753"/>
      <c r="CI176" s="16750"/>
      <c r="CJ176" s="16751"/>
      <c r="CK176" s="16751"/>
      <c r="CL176" s="16751"/>
      <c r="CM176" s="16751"/>
      <c r="CN176" s="16752"/>
      <c r="CO176" s="16752"/>
      <c r="CP176" s="16752"/>
      <c r="CQ176" s="16753"/>
      <c r="CR176" s="16750"/>
      <c r="CS176" s="16751"/>
      <c r="CT176" s="16751"/>
      <c r="CU176" s="16751"/>
      <c r="CV176" s="16751"/>
      <c r="CW176" s="16752"/>
      <c r="CX176" s="16752"/>
      <c r="CY176" s="16752"/>
      <c r="CZ176" s="16753"/>
      <c r="DA176" s="16750"/>
      <c r="DB176" s="16751"/>
      <c r="DC176" s="16751"/>
      <c r="DD176" s="16751"/>
      <c r="DE176" s="16751"/>
      <c r="DF176" s="16752"/>
      <c r="DG176" s="16752"/>
      <c r="DH176" s="16752"/>
      <c r="DI176" s="16753"/>
      <c r="DJ176" s="16750"/>
      <c r="DK176" s="16751"/>
      <c r="DL176" s="16751"/>
      <c r="DM176" s="16751"/>
      <c r="DN176" s="16751"/>
      <c r="DO176" s="16752"/>
      <c r="DP176" s="16752"/>
      <c r="DQ176" s="16752"/>
      <c r="DR176" s="16753"/>
      <c r="DS176" s="16750"/>
      <c r="DT176" s="16751"/>
      <c r="DU176" s="16751"/>
      <c r="DV176" s="16751"/>
      <c r="DW176" s="16751"/>
      <c r="DX176" s="16752"/>
      <c r="DY176" s="16752"/>
      <c r="DZ176" s="16752"/>
      <c r="EA176" s="16753"/>
      <c r="EB176" s="11498"/>
      <c r="EC176" s="11470" t="s">
        <v>468</v>
      </c>
      <c r="ED176" s="11471"/>
      <c r="EE176" s="11472"/>
      <c r="EF176" s="11472" t="str">
        <f>IF(V176="","",V176)</f>
        <v>Группа потребителей</v>
      </c>
      <c r="EG176" s="11472"/>
      <c r="EH176" s="11472"/>
      <c r="EI176" s="11462">
        <v>0</v>
      </c>
    </row>
    <row s="36668" customFormat="1" customHeight="1" ht="21">
      <c r="A177" s="8474"/>
      <c r="B177" s="8474"/>
      <c r="C177" s="8474"/>
      <c r="D177" s="8474"/>
      <c r="E177" s="11456">
        <v>1</v>
      </c>
      <c r="F177" s="11456"/>
      <c r="G177" s="11456"/>
      <c r="H177" s="11456"/>
      <c r="I177" s="11491"/>
      <c r="J177" s="11491"/>
      <c r="K177" s="11479" t="str">
        <f>J176&amp;".1"</f>
        <v>2.1.1.1.1.1.1</v>
      </c>
      <c r="L177" s="11460"/>
      <c r="M177" s="11458" t="s">
        <v>469</v>
      </c>
      <c r="N177" s="11462"/>
      <c r="O177" s="11462"/>
      <c r="P177" s="11462"/>
      <c r="Q177" s="11481"/>
      <c r="R177" s="11481"/>
      <c r="S177" s="11481">
        <v>1</v>
      </c>
      <c r="T177" s="11492"/>
      <c r="U177" s="11464" t="str">
        <f>$K177</f>
        <v>2.1.1.1.1.1.1</v>
      </c>
      <c r="V177" s="11500" t="s">
        <v>508</v>
      </c>
      <c r="W177" s="11466"/>
      <c r="X177" s="17062"/>
      <c r="Y177" s="17062"/>
      <c r="Z177" s="17062"/>
      <c r="AA177" s="17062"/>
      <c r="AB177" s="17063"/>
      <c r="AC177" s="17064"/>
      <c r="AD177" s="17065" t="s">
        <v>64</v>
      </c>
      <c r="AE177" s="17064"/>
      <c r="AF177" s="17065" t="s">
        <v>64</v>
      </c>
      <c r="AG177" s="11504"/>
      <c r="AH177" s="11501">
        <v>21.97</v>
      </c>
      <c r="AI177" s="11501">
        <v>1012.25</v>
      </c>
      <c r="AJ177" s="11501"/>
      <c r="AK177" s="11505"/>
      <c r="AL177" s="16759">
        <v>45292</v>
      </c>
      <c r="AM177" s="8452" t="s">
        <v>64</v>
      </c>
      <c r="AN177" s="16759">
        <v>45473</v>
      </c>
      <c r="AO177" s="8452" t="s">
        <v>64</v>
      </c>
      <c r="AP177" s="16757"/>
      <c r="AQ177" s="16757">
        <v>26.68</v>
      </c>
      <c r="AR177" s="16757">
        <v>1164.09</v>
      </c>
      <c r="AS177" s="16757"/>
      <c r="AT177" s="16758"/>
      <c r="AU177" s="16759">
        <v>45474</v>
      </c>
      <c r="AV177" s="16760" t="s">
        <v>64</v>
      </c>
      <c r="AW177" s="16759">
        <v>45657</v>
      </c>
      <c r="AX177" s="16760" t="s">
        <v>64</v>
      </c>
      <c r="AY177" s="16757"/>
      <c r="AZ177" s="16757">
        <v>26.68</v>
      </c>
      <c r="BA177" s="16757">
        <v>1164.09</v>
      </c>
      <c r="BB177" s="16757"/>
      <c r="BC177" s="16758"/>
      <c r="BD177" s="16759">
        <v>45658</v>
      </c>
      <c r="BE177" s="16760" t="s">
        <v>64</v>
      </c>
      <c r="BF177" s="16759">
        <v>45838</v>
      </c>
      <c r="BG177" s="16760" t="s">
        <v>64</v>
      </c>
      <c r="BH177" s="16757"/>
      <c r="BI177" s="16757">
        <v>29.93</v>
      </c>
      <c r="BJ177" s="16757">
        <v>1617.92</v>
      </c>
      <c r="BK177" s="16757"/>
      <c r="BL177" s="16758"/>
      <c r="BM177" s="16759">
        <v>45839</v>
      </c>
      <c r="BN177" s="16760" t="s">
        <v>64</v>
      </c>
      <c r="BO177" s="16759">
        <v>46022</v>
      </c>
      <c r="BP177" s="16760" t="s">
        <v>64</v>
      </c>
      <c r="BQ177" s="16757"/>
      <c r="BR177" s="16757">
        <v>31.09</v>
      </c>
      <c r="BS177" s="16757">
        <v>1421.67</v>
      </c>
      <c r="BT177" s="16757"/>
      <c r="BU177" s="16758"/>
      <c r="BV177" s="16759">
        <v>46023</v>
      </c>
      <c r="BW177" s="16760" t="s">
        <v>64</v>
      </c>
      <c r="BX177" s="16759">
        <v>46203</v>
      </c>
      <c r="BY177" s="16760" t="s">
        <v>64</v>
      </c>
      <c r="BZ177" s="16757"/>
      <c r="CA177" s="16757">
        <v>36.47</v>
      </c>
      <c r="CB177" s="16757">
        <v>1421.67</v>
      </c>
      <c r="CC177" s="16757"/>
      <c r="CD177" s="16758"/>
      <c r="CE177" s="16759">
        <v>46204</v>
      </c>
      <c r="CF177" s="16760" t="s">
        <v>64</v>
      </c>
      <c r="CG177" s="16759">
        <v>46387</v>
      </c>
      <c r="CH177" s="16760" t="s">
        <v>64</v>
      </c>
      <c r="CI177" s="16757"/>
      <c r="CJ177" s="16757">
        <v>36.47</v>
      </c>
      <c r="CK177" s="16757">
        <v>1421.67</v>
      </c>
      <c r="CL177" s="16757"/>
      <c r="CM177" s="16758"/>
      <c r="CN177" s="16759">
        <v>46388</v>
      </c>
      <c r="CO177" s="16760" t="s">
        <v>64</v>
      </c>
      <c r="CP177" s="16759">
        <v>46568</v>
      </c>
      <c r="CQ177" s="16760" t="s">
        <v>64</v>
      </c>
      <c r="CR177" s="16757"/>
      <c r="CS177" s="16757">
        <v>37.96</v>
      </c>
      <c r="CT177" s="16757">
        <v>1445.12</v>
      </c>
      <c r="CU177" s="16757"/>
      <c r="CV177" s="16758"/>
      <c r="CW177" s="16759">
        <v>46569</v>
      </c>
      <c r="CX177" s="16760" t="s">
        <v>64</v>
      </c>
      <c r="CY177" s="16759">
        <v>46752</v>
      </c>
      <c r="CZ177" s="16760" t="s">
        <v>64</v>
      </c>
      <c r="DA177" s="16757"/>
      <c r="DB177" s="16757">
        <v>37.96</v>
      </c>
      <c r="DC177" s="16757">
        <v>1445.12</v>
      </c>
      <c r="DD177" s="16757"/>
      <c r="DE177" s="16758"/>
      <c r="DF177" s="16759">
        <v>46753</v>
      </c>
      <c r="DG177" s="16760" t="s">
        <v>64</v>
      </c>
      <c r="DH177" s="16759">
        <v>46934</v>
      </c>
      <c r="DI177" s="16760" t="s">
        <v>64</v>
      </c>
      <c r="DJ177" s="16757"/>
      <c r="DK177" s="16757">
        <v>38.93</v>
      </c>
      <c r="DL177" s="16757">
        <v>1482.52</v>
      </c>
      <c r="DM177" s="16757"/>
      <c r="DN177" s="16758"/>
      <c r="DO177" s="16759">
        <v>46935</v>
      </c>
      <c r="DP177" s="16760" t="s">
        <v>64</v>
      </c>
      <c r="DQ177" s="16759">
        <v>47118</v>
      </c>
      <c r="DR177" s="16760" t="s">
        <v>19</v>
      </c>
      <c r="DS177" s="17062"/>
      <c r="DT177" s="17062"/>
      <c r="DU177" s="17062"/>
      <c r="DV177" s="17062"/>
      <c r="DW177" s="17063"/>
      <c r="DX177" s="17064"/>
      <c r="DY177" s="17065" t="s">
        <v>64</v>
      </c>
      <c r="DZ177" s="17064"/>
      <c r="EA177" s="17065" t="s">
        <v>64</v>
      </c>
      <c r="EB177" s="11506"/>
      <c r="EC177" s="11507" t="s">
        <v>523</v>
      </c>
      <c r="ED177" s="11471">
        <f>STRCHECKDATE(X179:EB179)</f>
      </c>
      <c r="EE177" s="11472"/>
      <c r="EF177" s="11472" t="str">
        <f>IF(V177="","",V177)</f>
        <v>вода</v>
      </c>
      <c r="EG177" s="11472"/>
      <c r="EH177" s="11472"/>
      <c r="EI177" s="11462">
        <v>0</v>
      </c>
    </row>
    <row s="36669" customFormat="1" customHeight="1" ht="21">
      <c r="A178" s="8474"/>
      <c r="B178" s="8474"/>
      <c r="C178" s="8474"/>
      <c r="D178" s="8474"/>
      <c r="E178" s="11456">
        <v>1</v>
      </c>
      <c r="F178" s="11456"/>
      <c r="G178" s="11456"/>
      <c r="H178" s="11456"/>
      <c r="I178" s="11491"/>
      <c r="J178" s="11491"/>
      <c r="K178" s="11491"/>
      <c r="L178" s="11479" t="str">
        <f>K177&amp;".1"</f>
        <v>2.1.1.1.1.1.1.1</v>
      </c>
      <c r="M178" s="11458"/>
      <c r="N178" s="11462"/>
      <c r="O178" s="11462"/>
      <c r="P178" s="11462"/>
      <c r="Q178" s="11481"/>
      <c r="R178" s="11481"/>
      <c r="S178" s="11481"/>
      <c r="T178" s="11492"/>
      <c r="U178" s="11464" t="str">
        <f>$L178</f>
        <v>2.1.1.1.1.1.1.1</v>
      </c>
      <c r="V178" s="11509"/>
      <c r="W178" s="11466"/>
      <c r="X178" s="17062"/>
      <c r="Y178" s="17062"/>
      <c r="Z178" s="17062"/>
      <c r="AA178" s="17062"/>
      <c r="AB178" s="17063"/>
      <c r="AC178" s="17064"/>
      <c r="AD178" s="17065"/>
      <c r="AE178" s="17064"/>
      <c r="AF178" s="17065"/>
      <c r="AG178" s="11504"/>
      <c r="AH178" s="11501"/>
      <c r="AI178" s="11501"/>
      <c r="AJ178" s="11501"/>
      <c r="AK178" s="11505"/>
      <c r="AL178" s="11510"/>
      <c r="AM178" s="8452"/>
      <c r="AN178" s="11510"/>
      <c r="AO178" s="8452"/>
      <c r="AP178" s="16764"/>
      <c r="AQ178" s="16757"/>
      <c r="AR178" s="16757"/>
      <c r="AS178" s="16757"/>
      <c r="AT178" s="16758"/>
      <c r="AU178" s="16765"/>
      <c r="AV178" s="16760"/>
      <c r="AW178" s="16765"/>
      <c r="AX178" s="16760"/>
      <c r="AY178" s="16764"/>
      <c r="AZ178" s="16757"/>
      <c r="BA178" s="16757"/>
      <c r="BB178" s="16757"/>
      <c r="BC178" s="16758"/>
      <c r="BD178" s="16765"/>
      <c r="BE178" s="16760"/>
      <c r="BF178" s="16765"/>
      <c r="BG178" s="16760"/>
      <c r="BH178" s="16764"/>
      <c r="BI178" s="16757"/>
      <c r="BJ178" s="16757"/>
      <c r="BK178" s="16757"/>
      <c r="BL178" s="16758"/>
      <c r="BM178" s="16765"/>
      <c r="BN178" s="16760"/>
      <c r="BO178" s="16765"/>
      <c r="BP178" s="16760"/>
      <c r="BQ178" s="16764"/>
      <c r="BR178" s="16757"/>
      <c r="BS178" s="16757"/>
      <c r="BT178" s="16757"/>
      <c r="BU178" s="16758"/>
      <c r="BV178" s="16765"/>
      <c r="BW178" s="16760"/>
      <c r="BX178" s="16765"/>
      <c r="BY178" s="16760"/>
      <c r="BZ178" s="16764"/>
      <c r="CA178" s="16757"/>
      <c r="CB178" s="16757"/>
      <c r="CC178" s="16757"/>
      <c r="CD178" s="16758"/>
      <c r="CE178" s="16765"/>
      <c r="CF178" s="16760"/>
      <c r="CG178" s="16765"/>
      <c r="CH178" s="16760"/>
      <c r="CI178" s="16764"/>
      <c r="CJ178" s="16757"/>
      <c r="CK178" s="16757"/>
      <c r="CL178" s="16757"/>
      <c r="CM178" s="16758"/>
      <c r="CN178" s="16765"/>
      <c r="CO178" s="16760"/>
      <c r="CP178" s="16765"/>
      <c r="CQ178" s="16760"/>
      <c r="CR178" s="16764"/>
      <c r="CS178" s="16757"/>
      <c r="CT178" s="16757"/>
      <c r="CU178" s="16757"/>
      <c r="CV178" s="16758"/>
      <c r="CW178" s="16765"/>
      <c r="CX178" s="16760"/>
      <c r="CY178" s="16765"/>
      <c r="CZ178" s="16760"/>
      <c r="DA178" s="16764"/>
      <c r="DB178" s="16757"/>
      <c r="DC178" s="16757"/>
      <c r="DD178" s="16757"/>
      <c r="DE178" s="16758"/>
      <c r="DF178" s="16765"/>
      <c r="DG178" s="16760"/>
      <c r="DH178" s="16765"/>
      <c r="DI178" s="16760"/>
      <c r="DJ178" s="16764"/>
      <c r="DK178" s="16757"/>
      <c r="DL178" s="16757"/>
      <c r="DM178" s="16757"/>
      <c r="DN178" s="16758"/>
      <c r="DO178" s="16765"/>
      <c r="DP178" s="16760"/>
      <c r="DQ178" s="16765"/>
      <c r="DR178" s="16760"/>
      <c r="DS178" s="17062"/>
      <c r="DT178" s="17062"/>
      <c r="DU178" s="17062"/>
      <c r="DV178" s="17062"/>
      <c r="DW178" s="17063"/>
      <c r="DX178" s="17064"/>
      <c r="DY178" s="17065"/>
      <c r="DZ178" s="17064"/>
      <c r="EA178" s="17065"/>
      <c r="EB178" s="11506"/>
      <c r="EC178" s="11511" t="s">
        <v>524</v>
      </c>
      <c r="ED178" s="11471"/>
      <c r="EE178" s="11472"/>
      <c r="EF178" s="11472"/>
      <c r="EG178" s="11472"/>
      <c r="EH178" s="11472"/>
      <c r="EI178" s="11462">
        <v>0</v>
      </c>
    </row>
    <row s="36670" customFormat="1" customHeight="1" ht="14.25">
      <c r="A179" s="8474"/>
      <c r="B179" s="8474"/>
      <c r="C179" s="8474"/>
      <c r="D179" s="8474"/>
      <c r="E179" s="11456">
        <v>1</v>
      </c>
      <c r="F179" s="11456"/>
      <c r="G179" s="11456"/>
      <c r="H179" s="11456"/>
      <c r="I179" s="11491"/>
      <c r="J179" s="11491"/>
      <c r="K179" s="11491"/>
      <c r="L179" s="11479"/>
      <c r="M179" s="11458"/>
      <c r="N179" s="11462"/>
      <c r="O179" s="11462"/>
      <c r="P179" s="11462"/>
      <c r="Q179" s="11481"/>
      <c r="R179" s="11481"/>
      <c r="S179" s="11481"/>
      <c r="T179" s="11492"/>
      <c r="U179" s="11513"/>
      <c r="V179" s="11466"/>
      <c r="W179" s="11466"/>
      <c r="X179" s="17062"/>
      <c r="Y179" s="17062"/>
      <c r="Z179" s="17062"/>
      <c r="AA179" s="17062"/>
      <c r="AB179" s="17063"/>
      <c r="AC179" s="17064"/>
      <c r="AD179" s="17065"/>
      <c r="AE179" s="17064"/>
      <c r="AF179" s="17065"/>
      <c r="AG179" s="11515"/>
      <c r="AH179" s="11506"/>
      <c r="AI179" s="11506"/>
      <c r="AJ179" s="11506"/>
      <c r="AK179" s="11516" t="str">
        <f>AL177&amp;"-"&amp;AN177</f>
        <v>45292-45473</v>
      </c>
      <c r="AL179" s="11510"/>
      <c r="AM179" s="8452"/>
      <c r="AN179" s="11510"/>
      <c r="AO179" s="8452"/>
      <c r="AP179" s="16764"/>
      <c r="AQ179" s="16764"/>
      <c r="AR179" s="16764"/>
      <c r="AS179" s="16764"/>
      <c r="AT179" s="16768" t="str">
        <f>AU177&amp;"-"&amp;AW177</f>
        <v>45474-45657</v>
      </c>
      <c r="AU179" s="16765"/>
      <c r="AV179" s="16760"/>
      <c r="AW179" s="16765"/>
      <c r="AX179" s="16760"/>
      <c r="AY179" s="16764"/>
      <c r="AZ179" s="16764"/>
      <c r="BA179" s="16764"/>
      <c r="BB179" s="16764"/>
      <c r="BC179" s="16768" t="str">
        <f>BD177&amp;"-"&amp;BF177</f>
        <v>45658-45838</v>
      </c>
      <c r="BD179" s="16765"/>
      <c r="BE179" s="16760"/>
      <c r="BF179" s="16765"/>
      <c r="BG179" s="16760"/>
      <c r="BH179" s="16764"/>
      <c r="BI179" s="16764"/>
      <c r="BJ179" s="16764"/>
      <c r="BK179" s="16764"/>
      <c r="BL179" s="16768" t="str">
        <f>BM177&amp;"-"&amp;BO177</f>
        <v>45839-46022</v>
      </c>
      <c r="BM179" s="16765"/>
      <c r="BN179" s="16760"/>
      <c r="BO179" s="16765"/>
      <c r="BP179" s="16760"/>
      <c r="BQ179" s="16764"/>
      <c r="BR179" s="16764"/>
      <c r="BS179" s="16764"/>
      <c r="BT179" s="16764"/>
      <c r="BU179" s="16768" t="str">
        <f>BV177&amp;"-"&amp;BX177</f>
        <v>46023-46203</v>
      </c>
      <c r="BV179" s="16765"/>
      <c r="BW179" s="16760"/>
      <c r="BX179" s="16765"/>
      <c r="BY179" s="16760"/>
      <c r="BZ179" s="16764"/>
      <c r="CA179" s="16764"/>
      <c r="CB179" s="16764"/>
      <c r="CC179" s="16764"/>
      <c r="CD179" s="16768" t="str">
        <f>CE177&amp;"-"&amp;CG177</f>
        <v>46204-46387</v>
      </c>
      <c r="CE179" s="16765"/>
      <c r="CF179" s="16760"/>
      <c r="CG179" s="16765"/>
      <c r="CH179" s="16760"/>
      <c r="CI179" s="16764"/>
      <c r="CJ179" s="16764"/>
      <c r="CK179" s="16764"/>
      <c r="CL179" s="16764"/>
      <c r="CM179" s="16768" t="str">
        <f>CN177&amp;"-"&amp;CP177</f>
        <v>46388-46568</v>
      </c>
      <c r="CN179" s="16765"/>
      <c r="CO179" s="16760"/>
      <c r="CP179" s="16765"/>
      <c r="CQ179" s="16760"/>
      <c r="CR179" s="16764"/>
      <c r="CS179" s="16764"/>
      <c r="CT179" s="16764"/>
      <c r="CU179" s="16764"/>
      <c r="CV179" s="16768" t="str">
        <f>CW177&amp;"-"&amp;CY177</f>
        <v>46569-46752</v>
      </c>
      <c r="CW179" s="16765"/>
      <c r="CX179" s="16760"/>
      <c r="CY179" s="16765"/>
      <c r="CZ179" s="16760"/>
      <c r="DA179" s="16764"/>
      <c r="DB179" s="16764"/>
      <c r="DC179" s="16764"/>
      <c r="DD179" s="16764"/>
      <c r="DE179" s="16768" t="str">
        <f>DF177&amp;"-"&amp;DH177</f>
        <v>46753-46934</v>
      </c>
      <c r="DF179" s="16765"/>
      <c r="DG179" s="16760"/>
      <c r="DH179" s="16765"/>
      <c r="DI179" s="16760"/>
      <c r="DJ179" s="16764"/>
      <c r="DK179" s="16764"/>
      <c r="DL179" s="16764"/>
      <c r="DM179" s="16764"/>
      <c r="DN179" s="16768" t="str">
        <f>DO177&amp;"-"&amp;DQ177</f>
        <v>46935-47118</v>
      </c>
      <c r="DO179" s="16765"/>
      <c r="DP179" s="16760"/>
      <c r="DQ179" s="16765"/>
      <c r="DR179" s="16760"/>
      <c r="DS179" s="17062"/>
      <c r="DT179" s="17062"/>
      <c r="DU179" s="17062"/>
      <c r="DV179" s="17062"/>
      <c r="DW179" s="17063"/>
      <c r="DX179" s="17064"/>
      <c r="DY179" s="17065"/>
      <c r="DZ179" s="17064"/>
      <c r="EA179" s="17065"/>
      <c r="EB179" s="11506"/>
      <c r="EC179" s="11517"/>
      <c r="ED179" s="11471"/>
      <c r="EE179" s="11472"/>
      <c r="EF179" s="11472" t="str">
        <f>IF(V179="","",V179)</f>
        <v/>
      </c>
      <c r="EG179" s="11472"/>
      <c r="EH179" s="11472"/>
      <c r="EI179" s="11462">
        <v>0</v>
      </c>
    </row>
    <row s="36671" customFormat="1" customHeight="1" ht="11.25">
      <c r="A180" s="8474"/>
      <c r="B180" s="8474"/>
      <c r="C180" s="8474"/>
      <c r="D180" s="8474"/>
      <c r="E180" s="11456">
        <v>1</v>
      </c>
      <c r="F180" s="11456"/>
      <c r="G180" s="11456"/>
      <c r="H180" s="11456"/>
      <c r="I180" s="11491"/>
      <c r="J180" s="11491"/>
      <c r="K180" s="11479"/>
      <c r="L180" s="8474"/>
      <c r="M180" s="11458"/>
      <c r="N180" s="11462"/>
      <c r="O180" s="11462"/>
      <c r="P180" s="11462"/>
      <c r="Q180" s="11481"/>
      <c r="R180" s="11481"/>
      <c r="S180" s="11481"/>
      <c r="T180" s="11492"/>
      <c r="U180" s="11907"/>
      <c r="V180" s="11908" t="s">
        <v>525</v>
      </c>
      <c r="W180" s="11909"/>
      <c r="X180" s="17062"/>
      <c r="Y180" s="17062"/>
      <c r="Z180" s="17062"/>
      <c r="AA180" s="17062"/>
      <c r="AB180" s="17069" t="str">
        <f>AC177&amp;"-"&amp;AE177</f>
        <v>-</v>
      </c>
      <c r="AC180" s="17065"/>
      <c r="AD180" s="17065"/>
      <c r="AE180" s="17065"/>
      <c r="AF180" s="17065"/>
      <c r="AG180" s="11915"/>
      <c r="AH180" s="11916"/>
      <c r="AI180" s="11917"/>
      <c r="AJ180" s="11918"/>
      <c r="AK180" s="11919"/>
      <c r="AL180" s="11510"/>
      <c r="AM180" s="8452"/>
      <c r="AN180" s="11510"/>
      <c r="AO180" s="8452"/>
      <c r="AP180" s="19882"/>
      <c r="AQ180" s="19883"/>
      <c r="AR180" s="19884"/>
      <c r="AS180" s="19885"/>
      <c r="AT180" s="19886"/>
      <c r="AU180" s="16765"/>
      <c r="AV180" s="16760"/>
      <c r="AW180" s="16765"/>
      <c r="AX180" s="16760"/>
      <c r="AY180" s="19887"/>
      <c r="AZ180" s="19888"/>
      <c r="BA180" s="19889"/>
      <c r="BB180" s="19890"/>
      <c r="BC180" s="19891"/>
      <c r="BD180" s="16765"/>
      <c r="BE180" s="16760"/>
      <c r="BF180" s="16765"/>
      <c r="BG180" s="16760"/>
      <c r="BH180" s="19892"/>
      <c r="BI180" s="19893"/>
      <c r="BJ180" s="19894"/>
      <c r="BK180" s="19895"/>
      <c r="BL180" s="19896"/>
      <c r="BM180" s="16765"/>
      <c r="BN180" s="16760"/>
      <c r="BO180" s="16765"/>
      <c r="BP180" s="16760"/>
      <c r="BQ180" s="19897"/>
      <c r="BR180" s="19898"/>
      <c r="BS180" s="19899"/>
      <c r="BT180" s="19900"/>
      <c r="BU180" s="19901"/>
      <c r="BV180" s="16765"/>
      <c r="BW180" s="16760"/>
      <c r="BX180" s="16765"/>
      <c r="BY180" s="16760"/>
      <c r="BZ180" s="19902"/>
      <c r="CA180" s="19903"/>
      <c r="CB180" s="19904"/>
      <c r="CC180" s="19905"/>
      <c r="CD180" s="19906"/>
      <c r="CE180" s="16765"/>
      <c r="CF180" s="16760"/>
      <c r="CG180" s="16765"/>
      <c r="CH180" s="16760"/>
      <c r="CI180" s="19907"/>
      <c r="CJ180" s="19908"/>
      <c r="CK180" s="19909"/>
      <c r="CL180" s="19910"/>
      <c r="CM180" s="19911"/>
      <c r="CN180" s="16765"/>
      <c r="CO180" s="16760"/>
      <c r="CP180" s="16765"/>
      <c r="CQ180" s="16760"/>
      <c r="CR180" s="19912"/>
      <c r="CS180" s="19913"/>
      <c r="CT180" s="19914"/>
      <c r="CU180" s="19915"/>
      <c r="CV180" s="19916"/>
      <c r="CW180" s="16765"/>
      <c r="CX180" s="16760"/>
      <c r="CY180" s="16765"/>
      <c r="CZ180" s="16760"/>
      <c r="DA180" s="19917"/>
      <c r="DB180" s="19918"/>
      <c r="DC180" s="19919"/>
      <c r="DD180" s="19920"/>
      <c r="DE180" s="19921"/>
      <c r="DF180" s="16765"/>
      <c r="DG180" s="16760"/>
      <c r="DH180" s="16765"/>
      <c r="DI180" s="16760"/>
      <c r="DJ180" s="19922"/>
      <c r="DK180" s="19923"/>
      <c r="DL180" s="19924"/>
      <c r="DM180" s="19925"/>
      <c r="DN180" s="19926"/>
      <c r="DO180" s="16765"/>
      <c r="DP180" s="16760"/>
      <c r="DQ180" s="16765"/>
      <c r="DR180" s="16760"/>
      <c r="DS180" s="17062"/>
      <c r="DT180" s="17062"/>
      <c r="DU180" s="17062"/>
      <c r="DV180" s="17062"/>
      <c r="DW180" s="17069" t="str">
        <f>DX177&amp;"-"&amp;DZ177</f>
        <v>-</v>
      </c>
      <c r="DX180" s="17065"/>
      <c r="DY180" s="17065"/>
      <c r="DZ180" s="17065"/>
      <c r="EA180" s="17065"/>
      <c r="EB180" s="11920"/>
      <c r="EC180" s="11517"/>
      <c r="ED180" s="11471"/>
      <c r="EE180" s="11472"/>
      <c r="EF180" s="11472"/>
      <c r="EG180" s="11472"/>
      <c r="EH180" s="11472"/>
      <c r="EI180" s="11462">
        <v>0</v>
      </c>
    </row>
    <row s="36726" customFormat="1" customHeight="1" ht="15">
      <c r="A181" s="8474"/>
      <c r="B181" s="8474"/>
      <c r="C181" s="8474"/>
      <c r="D181" s="8474"/>
      <c r="E181" s="11456">
        <v>1</v>
      </c>
      <c r="F181" s="11456"/>
      <c r="G181" s="11456"/>
      <c r="H181" s="11456"/>
      <c r="I181" s="11491"/>
      <c r="J181" s="11479"/>
      <c r="K181" s="8474"/>
      <c r="L181" s="8474"/>
      <c r="M181" s="11458"/>
      <c r="N181" s="11462"/>
      <c r="O181" s="11462"/>
      <c r="P181" s="11480"/>
      <c r="Q181" s="11481"/>
      <c r="R181" s="11481"/>
      <c r="S181" s="11481"/>
      <c r="T181" s="11482"/>
      <c r="U181" s="11922"/>
      <c r="V181" s="11923" t="s">
        <v>471</v>
      </c>
      <c r="W181" s="11924"/>
      <c r="X181" s="11925"/>
      <c r="Y181" s="11926"/>
      <c r="Z181" s="11927"/>
      <c r="AA181" s="11928"/>
      <c r="AB181" s="11929"/>
      <c r="AC181" s="11930"/>
      <c r="AD181" s="11931"/>
      <c r="AE181" s="11932"/>
      <c r="AF181" s="11933"/>
      <c r="AG181" s="11934"/>
      <c r="AH181" s="11935"/>
      <c r="AI181" s="11936"/>
      <c r="AJ181" s="11937"/>
      <c r="AK181" s="11938"/>
      <c r="AL181" s="11939"/>
      <c r="AM181" s="11940"/>
      <c r="AN181" s="11941"/>
      <c r="AO181" s="11942"/>
      <c r="AP181" s="19950"/>
      <c r="AQ181" s="19951"/>
      <c r="AR181" s="19952"/>
      <c r="AS181" s="19953"/>
      <c r="AT181" s="19954"/>
      <c r="AU181" s="19955"/>
      <c r="AV181" s="19956"/>
      <c r="AW181" s="19957"/>
      <c r="AX181" s="19958"/>
      <c r="AY181" s="19959"/>
      <c r="AZ181" s="19960"/>
      <c r="BA181" s="19961"/>
      <c r="BB181" s="19962"/>
      <c r="BC181" s="19963"/>
      <c r="BD181" s="19964"/>
      <c r="BE181" s="19965"/>
      <c r="BF181" s="19966"/>
      <c r="BG181" s="19967"/>
      <c r="BH181" s="19968"/>
      <c r="BI181" s="19969"/>
      <c r="BJ181" s="19970"/>
      <c r="BK181" s="19971"/>
      <c r="BL181" s="19972"/>
      <c r="BM181" s="19973"/>
      <c r="BN181" s="19974"/>
      <c r="BO181" s="19975"/>
      <c r="BP181" s="19976"/>
      <c r="BQ181" s="19977"/>
      <c r="BR181" s="19978"/>
      <c r="BS181" s="19979"/>
      <c r="BT181" s="19980"/>
      <c r="BU181" s="19981"/>
      <c r="BV181" s="19982"/>
      <c r="BW181" s="19983"/>
      <c r="BX181" s="19984"/>
      <c r="BY181" s="19985"/>
      <c r="BZ181" s="19986"/>
      <c r="CA181" s="19987"/>
      <c r="CB181" s="19988"/>
      <c r="CC181" s="19989"/>
      <c r="CD181" s="19990"/>
      <c r="CE181" s="19991"/>
      <c r="CF181" s="19992"/>
      <c r="CG181" s="19993"/>
      <c r="CH181" s="19994"/>
      <c r="CI181" s="19995"/>
      <c r="CJ181" s="19996"/>
      <c r="CK181" s="19997"/>
      <c r="CL181" s="19998"/>
      <c r="CM181" s="19999"/>
      <c r="CN181" s="20000"/>
      <c r="CO181" s="20001"/>
      <c r="CP181" s="20002"/>
      <c r="CQ181" s="20003"/>
      <c r="CR181" s="20004"/>
      <c r="CS181" s="20005"/>
      <c r="CT181" s="20006"/>
      <c r="CU181" s="20007"/>
      <c r="CV181" s="20008"/>
      <c r="CW181" s="20009"/>
      <c r="CX181" s="20010"/>
      <c r="CY181" s="20011"/>
      <c r="CZ181" s="20012"/>
      <c r="DA181" s="20013"/>
      <c r="DB181" s="20014"/>
      <c r="DC181" s="20015"/>
      <c r="DD181" s="20016"/>
      <c r="DE181" s="20017"/>
      <c r="DF181" s="20018"/>
      <c r="DG181" s="20019"/>
      <c r="DH181" s="20020"/>
      <c r="DI181" s="20021"/>
      <c r="DJ181" s="20022"/>
      <c r="DK181" s="20023"/>
      <c r="DL181" s="20024"/>
      <c r="DM181" s="20025"/>
      <c r="DN181" s="20026"/>
      <c r="DO181" s="20027"/>
      <c r="DP181" s="20028"/>
      <c r="DQ181" s="20029"/>
      <c r="DR181" s="20030"/>
      <c r="DS181" s="20031"/>
      <c r="DT181" s="20032"/>
      <c r="DU181" s="20033"/>
      <c r="DV181" s="20034"/>
      <c r="DW181" s="20035"/>
      <c r="DX181" s="20036"/>
      <c r="DY181" s="20037"/>
      <c r="DZ181" s="20038"/>
      <c r="EA181" s="20039"/>
      <c r="EB181" s="11943"/>
      <c r="EC181" s="11556"/>
      <c r="ED181" s="11471"/>
      <c r="EE181" s="11472"/>
      <c r="EF181" s="11472" t="str">
        <f>IF(V181="","",V181)</f>
        <v>Добавить вид теплоносителя (параметры теплоносителя)</v>
      </c>
      <c r="EG181" s="11472"/>
      <c r="EH181" s="11472"/>
      <c r="EI181" s="11462">
        <v>0</v>
      </c>
    </row>
    <row s="36839" customFormat="1" customHeight="1" ht="11.25">
      <c r="A182" s="8474"/>
      <c r="B182" s="8474"/>
      <c r="C182" s="8474"/>
      <c r="D182" s="8474"/>
      <c r="E182" s="11456">
        <v>1</v>
      </c>
      <c r="F182" s="11456"/>
      <c r="G182" s="11456"/>
      <c r="H182" s="11456"/>
      <c r="I182" s="11479"/>
      <c r="J182" s="8474"/>
      <c r="K182" s="8474"/>
      <c r="L182" s="8474"/>
      <c r="M182" s="11458"/>
      <c r="N182" s="11462"/>
      <c r="O182" s="11480"/>
      <c r="P182" s="11480"/>
      <c r="Q182" s="11481"/>
      <c r="R182" s="11481"/>
      <c r="S182" s="11481"/>
      <c r="T182" s="11482"/>
      <c r="U182" s="11945"/>
      <c r="V182" s="11946" t="s">
        <v>472</v>
      </c>
      <c r="W182" s="11947"/>
      <c r="X182" s="11948"/>
      <c r="Y182" s="11949"/>
      <c r="Z182" s="11950"/>
      <c r="AA182" s="11951"/>
      <c r="AB182" s="11952"/>
      <c r="AC182" s="11953"/>
      <c r="AD182" s="11954"/>
      <c r="AE182" s="11955"/>
      <c r="AF182" s="11956"/>
      <c r="AG182" s="11957"/>
      <c r="AH182" s="11958"/>
      <c r="AI182" s="11959"/>
      <c r="AJ182" s="11960"/>
      <c r="AK182" s="11961"/>
      <c r="AL182" s="11962"/>
      <c r="AM182" s="11963"/>
      <c r="AN182" s="11964"/>
      <c r="AO182" s="11965"/>
      <c r="AP182" s="20063"/>
      <c r="AQ182" s="20064"/>
      <c r="AR182" s="20065"/>
      <c r="AS182" s="20066"/>
      <c r="AT182" s="20067"/>
      <c r="AU182" s="20068"/>
      <c r="AV182" s="20069"/>
      <c r="AW182" s="20070"/>
      <c r="AX182" s="20071"/>
      <c r="AY182" s="20072"/>
      <c r="AZ182" s="20073"/>
      <c r="BA182" s="20074"/>
      <c r="BB182" s="20075"/>
      <c r="BC182" s="20076"/>
      <c r="BD182" s="20077"/>
      <c r="BE182" s="20078"/>
      <c r="BF182" s="20079"/>
      <c r="BG182" s="20080"/>
      <c r="BH182" s="20081"/>
      <c r="BI182" s="20082"/>
      <c r="BJ182" s="20083"/>
      <c r="BK182" s="20084"/>
      <c r="BL182" s="20085"/>
      <c r="BM182" s="20086"/>
      <c r="BN182" s="20087"/>
      <c r="BO182" s="20088"/>
      <c r="BP182" s="20089"/>
      <c r="BQ182" s="20090"/>
      <c r="BR182" s="20091"/>
      <c r="BS182" s="20092"/>
      <c r="BT182" s="20093"/>
      <c r="BU182" s="20094"/>
      <c r="BV182" s="20095"/>
      <c r="BW182" s="20096"/>
      <c r="BX182" s="20097"/>
      <c r="BY182" s="20098"/>
      <c r="BZ182" s="20099"/>
      <c r="CA182" s="20100"/>
      <c r="CB182" s="20101"/>
      <c r="CC182" s="20102"/>
      <c r="CD182" s="20103"/>
      <c r="CE182" s="20104"/>
      <c r="CF182" s="20105"/>
      <c r="CG182" s="20106"/>
      <c r="CH182" s="20107"/>
      <c r="CI182" s="20108"/>
      <c r="CJ182" s="20109"/>
      <c r="CK182" s="20110"/>
      <c r="CL182" s="20111"/>
      <c r="CM182" s="20112"/>
      <c r="CN182" s="20113"/>
      <c r="CO182" s="20114"/>
      <c r="CP182" s="20115"/>
      <c r="CQ182" s="20116"/>
      <c r="CR182" s="20117"/>
      <c r="CS182" s="20118"/>
      <c r="CT182" s="20119"/>
      <c r="CU182" s="20120"/>
      <c r="CV182" s="20121"/>
      <c r="CW182" s="20122"/>
      <c r="CX182" s="20123"/>
      <c r="CY182" s="20124"/>
      <c r="CZ182" s="20125"/>
      <c r="DA182" s="20126"/>
      <c r="DB182" s="20127"/>
      <c r="DC182" s="20128"/>
      <c r="DD182" s="20129"/>
      <c r="DE182" s="20130"/>
      <c r="DF182" s="20131"/>
      <c r="DG182" s="20132"/>
      <c r="DH182" s="20133"/>
      <c r="DI182" s="20134"/>
      <c r="DJ182" s="20135"/>
      <c r="DK182" s="20136"/>
      <c r="DL182" s="20137"/>
      <c r="DM182" s="20138"/>
      <c r="DN182" s="20139"/>
      <c r="DO182" s="20140"/>
      <c r="DP182" s="20141"/>
      <c r="DQ182" s="20142"/>
      <c r="DR182" s="20143"/>
      <c r="DS182" s="20144"/>
      <c r="DT182" s="20145"/>
      <c r="DU182" s="20146"/>
      <c r="DV182" s="20147"/>
      <c r="DW182" s="20148"/>
      <c r="DX182" s="20149"/>
      <c r="DY182" s="20150"/>
      <c r="DZ182" s="20151"/>
      <c r="EA182" s="20152"/>
      <c r="EB182" s="11966"/>
      <c r="EC182" s="11967"/>
      <c r="ED182" s="11471"/>
      <c r="EE182" s="11472"/>
      <c r="EF182" s="11472" t="str">
        <f>IF(V182="","",V182)</f>
        <v>Добавить группу потребителей</v>
      </c>
      <c r="EG182" s="11472"/>
      <c r="EH182" s="11472"/>
      <c r="EI182" s="11462">
        <v>0</v>
      </c>
    </row>
    <row s="36953" customFormat="1" customHeight="1" ht="14.25">
      <c r="A183" s="8474"/>
      <c r="B183" s="8474"/>
      <c r="C183" s="8474"/>
      <c r="D183" s="8474"/>
      <c r="E183" s="11456">
        <v>1</v>
      </c>
      <c r="F183" s="11456"/>
      <c r="G183" s="11456"/>
      <c r="H183" s="11457"/>
      <c r="I183" s="8474"/>
      <c r="J183" s="8474"/>
      <c r="K183" s="8474"/>
      <c r="L183" s="8474"/>
      <c r="M183" s="11458"/>
      <c r="N183" s="11459"/>
      <c r="O183" s="11459"/>
      <c r="P183" s="11462"/>
      <c r="Q183" s="11582"/>
      <c r="R183" s="11583"/>
      <c r="S183" s="11584"/>
      <c r="T183" s="11582"/>
      <c r="U183" s="11585"/>
      <c r="V183" s="11586"/>
      <c r="W183" s="11587"/>
      <c r="X183" s="11587"/>
      <c r="Y183" s="11587"/>
      <c r="Z183" s="11587"/>
      <c r="AA183" s="11587"/>
      <c r="AB183" s="11587"/>
      <c r="AC183" s="11587"/>
      <c r="AD183" s="11587"/>
      <c r="AE183" s="11587"/>
      <c r="AF183" s="11587"/>
      <c r="AG183" s="11587"/>
      <c r="AH183" s="11587"/>
      <c r="AI183" s="11587"/>
      <c r="AJ183" s="11587"/>
      <c r="AK183" s="11587"/>
      <c r="AL183" s="11587"/>
      <c r="AM183" s="11587"/>
      <c r="AN183" s="11587"/>
      <c r="AO183" s="11587"/>
      <c r="AP183" s="17004"/>
      <c r="AQ183" s="17004"/>
      <c r="AR183" s="17004"/>
      <c r="AS183" s="17004"/>
      <c r="AT183" s="17004"/>
      <c r="AU183" s="17004"/>
      <c r="AV183" s="17004"/>
      <c r="AW183" s="17004"/>
      <c r="AX183" s="17004"/>
      <c r="AY183" s="17004"/>
      <c r="AZ183" s="17004"/>
      <c r="BA183" s="17004"/>
      <c r="BB183" s="17004"/>
      <c r="BC183" s="17004"/>
      <c r="BD183" s="17004"/>
      <c r="BE183" s="17004"/>
      <c r="BF183" s="17004"/>
      <c r="BG183" s="17004"/>
      <c r="BH183" s="17004"/>
      <c r="BI183" s="17004"/>
      <c r="BJ183" s="17004"/>
      <c r="BK183" s="17004"/>
      <c r="BL183" s="17004"/>
      <c r="BM183" s="17004"/>
      <c r="BN183" s="17004"/>
      <c r="BO183" s="17004"/>
      <c r="BP183" s="17004"/>
      <c r="BQ183" s="17004"/>
      <c r="BR183" s="17004"/>
      <c r="BS183" s="17004"/>
      <c r="BT183" s="17004"/>
      <c r="BU183" s="17004"/>
      <c r="BV183" s="17004"/>
      <c r="BW183" s="17004"/>
      <c r="BX183" s="17004"/>
      <c r="BY183" s="17004"/>
      <c r="BZ183" s="17004"/>
      <c r="CA183" s="17004"/>
      <c r="CB183" s="17004"/>
      <c r="CC183" s="17004"/>
      <c r="CD183" s="17004"/>
      <c r="CE183" s="17004"/>
      <c r="CF183" s="17004"/>
      <c r="CG183" s="17004"/>
      <c r="CH183" s="17004"/>
      <c r="CI183" s="17004"/>
      <c r="CJ183" s="17004"/>
      <c r="CK183" s="17004"/>
      <c r="CL183" s="17004"/>
      <c r="CM183" s="17004"/>
      <c r="CN183" s="17004"/>
      <c r="CO183" s="17004"/>
      <c r="CP183" s="17004"/>
      <c r="CQ183" s="17004"/>
      <c r="CR183" s="17004"/>
      <c r="CS183" s="17004"/>
      <c r="CT183" s="17004"/>
      <c r="CU183" s="17004"/>
      <c r="CV183" s="17004"/>
      <c r="CW183" s="17004"/>
      <c r="CX183" s="17004"/>
      <c r="CY183" s="17004"/>
      <c r="CZ183" s="17004"/>
      <c r="DA183" s="17004"/>
      <c r="DB183" s="17004"/>
      <c r="DC183" s="17004"/>
      <c r="DD183" s="17004"/>
      <c r="DE183" s="17004"/>
      <c r="DF183" s="17004"/>
      <c r="DG183" s="17004"/>
      <c r="DH183" s="17004"/>
      <c r="DI183" s="17004"/>
      <c r="DJ183" s="17004"/>
      <c r="DK183" s="17004"/>
      <c r="DL183" s="17004"/>
      <c r="DM183" s="17004"/>
      <c r="DN183" s="17004"/>
      <c r="DO183" s="17004"/>
      <c r="DP183" s="17004"/>
      <c r="DQ183" s="17004"/>
      <c r="DR183" s="17004"/>
      <c r="DS183" s="17004"/>
      <c r="DT183" s="17004"/>
      <c r="DU183" s="17004"/>
      <c r="DV183" s="17004"/>
      <c r="DW183" s="17004"/>
      <c r="DX183" s="17004"/>
      <c r="DY183" s="17004"/>
      <c r="DZ183" s="17004"/>
      <c r="EA183" s="17004"/>
      <c r="EB183" s="11587"/>
      <c r="EC183" s="11588"/>
      <c r="ED183" s="11471"/>
      <c r="EE183" s="11472"/>
      <c r="EF183" s="11472" t="str">
        <f>IF(V183="","",V183)</f>
        <v/>
      </c>
      <c r="EG183" s="11472"/>
      <c r="EH183" s="11472"/>
      <c r="EI183" s="11462">
        <v>0</v>
      </c>
    </row>
    <row s="36954" customFormat="1" customHeight="1" ht="14.25">
      <c r="A184" s="11590"/>
      <c r="B184" s="11590"/>
      <c r="C184" s="11590"/>
      <c r="D184" s="11590"/>
      <c r="E184" s="11456">
        <v>1</v>
      </c>
      <c r="F184" s="11456"/>
      <c r="G184" s="11457"/>
      <c r="H184" s="11590"/>
      <c r="I184" s="11590"/>
      <c r="J184" s="11590"/>
      <c r="K184" s="11590"/>
      <c r="L184" s="11590"/>
      <c r="M184" s="11591"/>
      <c r="N184" s="11592"/>
      <c r="O184" s="11592"/>
      <c r="P184" s="11593"/>
      <c r="Q184" s="11594"/>
      <c r="R184" s="11595"/>
      <c r="S184" s="11594"/>
      <c r="T184" s="11594"/>
      <c r="U184" s="11596"/>
      <c r="V184" s="11597" t="s">
        <v>213</v>
      </c>
      <c r="W184" s="11598"/>
      <c r="X184" s="11598"/>
      <c r="Y184" s="11598"/>
      <c r="Z184" s="11598"/>
      <c r="AA184" s="11598"/>
      <c r="AB184" s="11598"/>
      <c r="AC184" s="11598"/>
      <c r="AD184" s="11598"/>
      <c r="AE184" s="11598"/>
      <c r="AF184" s="11598"/>
      <c r="AG184" s="11598"/>
      <c r="AH184" s="11598"/>
      <c r="AI184" s="11598"/>
      <c r="AJ184" s="11598"/>
      <c r="AK184" s="11598"/>
      <c r="AL184" s="11598"/>
      <c r="AM184" s="11598"/>
      <c r="AN184" s="11598"/>
      <c r="AO184" s="11598"/>
      <c r="AP184" s="17005"/>
      <c r="AQ184" s="17005"/>
      <c r="AR184" s="17005"/>
      <c r="AS184" s="17005"/>
      <c r="AT184" s="17005"/>
      <c r="AU184" s="17005"/>
      <c r="AV184" s="17005"/>
      <c r="AW184" s="17005"/>
      <c r="AX184" s="17005"/>
      <c r="AY184" s="17005"/>
      <c r="AZ184" s="17005"/>
      <c r="BA184" s="17005"/>
      <c r="BB184" s="17005"/>
      <c r="BC184" s="17005"/>
      <c r="BD184" s="17005"/>
      <c r="BE184" s="17005"/>
      <c r="BF184" s="17005"/>
      <c r="BG184" s="17005"/>
      <c r="BH184" s="17005"/>
      <c r="BI184" s="17005"/>
      <c r="BJ184" s="17005"/>
      <c r="BK184" s="17005"/>
      <c r="BL184" s="17005"/>
      <c r="BM184" s="17005"/>
      <c r="BN184" s="17005"/>
      <c r="BO184" s="17005"/>
      <c r="BP184" s="17005"/>
      <c r="BQ184" s="17005"/>
      <c r="BR184" s="17005"/>
      <c r="BS184" s="17005"/>
      <c r="BT184" s="17005"/>
      <c r="BU184" s="17005"/>
      <c r="BV184" s="17005"/>
      <c r="BW184" s="17005"/>
      <c r="BX184" s="17005"/>
      <c r="BY184" s="17005"/>
      <c r="BZ184" s="17005"/>
      <c r="CA184" s="17005"/>
      <c r="CB184" s="17005"/>
      <c r="CC184" s="17005"/>
      <c r="CD184" s="17005"/>
      <c r="CE184" s="17005"/>
      <c r="CF184" s="17005"/>
      <c r="CG184" s="17005"/>
      <c r="CH184" s="17005"/>
      <c r="CI184" s="17005"/>
      <c r="CJ184" s="17005"/>
      <c r="CK184" s="17005"/>
      <c r="CL184" s="17005"/>
      <c r="CM184" s="17005"/>
      <c r="CN184" s="17005"/>
      <c r="CO184" s="17005"/>
      <c r="CP184" s="17005"/>
      <c r="CQ184" s="17005"/>
      <c r="CR184" s="17005"/>
      <c r="CS184" s="17005"/>
      <c r="CT184" s="17005"/>
      <c r="CU184" s="17005"/>
      <c r="CV184" s="17005"/>
      <c r="CW184" s="17005"/>
      <c r="CX184" s="17005"/>
      <c r="CY184" s="17005"/>
      <c r="CZ184" s="17005"/>
      <c r="DA184" s="17005"/>
      <c r="DB184" s="17005"/>
      <c r="DC184" s="17005"/>
      <c r="DD184" s="17005"/>
      <c r="DE184" s="17005"/>
      <c r="DF184" s="17005"/>
      <c r="DG184" s="17005"/>
      <c r="DH184" s="17005"/>
      <c r="DI184" s="17005"/>
      <c r="DJ184" s="17005"/>
      <c r="DK184" s="17005"/>
      <c r="DL184" s="17005"/>
      <c r="DM184" s="17005"/>
      <c r="DN184" s="17005"/>
      <c r="DO184" s="17005"/>
      <c r="DP184" s="17005"/>
      <c r="DQ184" s="17005"/>
      <c r="DR184" s="17005"/>
      <c r="DS184" s="17005"/>
      <c r="DT184" s="17005"/>
      <c r="DU184" s="17005"/>
      <c r="DV184" s="17005"/>
      <c r="DW184" s="17005"/>
      <c r="DX184" s="17005"/>
      <c r="DY184" s="17005"/>
      <c r="DZ184" s="17005"/>
      <c r="EA184" s="17005"/>
      <c r="EB184" s="11598"/>
      <c r="EC184" s="11598"/>
      <c r="ED184" s="11471"/>
      <c r="EE184" s="11472"/>
      <c r="EF184" s="11472" t="str">
        <f>IF(V184="","",V184)</f>
        <v>Добавить источник для дифференциации</v>
      </c>
      <c r="EG184" s="11472"/>
      <c r="EH184" s="11472"/>
      <c r="EI184" s="11471">
        <v>0</v>
      </c>
    </row>
    <row s="36955" customFormat="1" customHeight="1" ht="14.25">
      <c r="A185" s="11590"/>
      <c r="B185" s="11590"/>
      <c r="C185" s="11590"/>
      <c r="D185" s="11590"/>
      <c r="E185" s="11456">
        <v>1</v>
      </c>
      <c r="F185" s="11457"/>
      <c r="G185" s="11590"/>
      <c r="H185" s="11590"/>
      <c r="I185" s="11590"/>
      <c r="J185" s="11590"/>
      <c r="K185" s="11590"/>
      <c r="L185" s="11590"/>
      <c r="M185" s="11591"/>
      <c r="N185" s="11600"/>
      <c r="O185" s="11600"/>
      <c r="P185" s="11593"/>
      <c r="Q185" s="11594"/>
      <c r="R185" s="11595"/>
      <c r="S185" s="11594"/>
      <c r="T185" s="11594"/>
      <c r="U185" s="11601"/>
      <c r="V185" s="11602" t="s">
        <v>214</v>
      </c>
      <c r="W185" s="11603"/>
      <c r="X185" s="11603"/>
      <c r="Y185" s="11603"/>
      <c r="Z185" s="11603"/>
      <c r="AA185" s="11603"/>
      <c r="AB185" s="11603"/>
      <c r="AC185" s="11603"/>
      <c r="AD185" s="11603"/>
      <c r="AE185" s="11603"/>
      <c r="AF185" s="11603"/>
      <c r="AG185" s="11603"/>
      <c r="AH185" s="11603"/>
      <c r="AI185" s="11603"/>
      <c r="AJ185" s="11603"/>
      <c r="AK185" s="11603"/>
      <c r="AL185" s="11603"/>
      <c r="AM185" s="11603"/>
      <c r="AN185" s="11603"/>
      <c r="AO185" s="11603"/>
      <c r="AP185" s="17006"/>
      <c r="AQ185" s="17006"/>
      <c r="AR185" s="17006"/>
      <c r="AS185" s="17006"/>
      <c r="AT185" s="17006"/>
      <c r="AU185" s="17006"/>
      <c r="AV185" s="17006"/>
      <c r="AW185" s="17006"/>
      <c r="AX185" s="17006"/>
      <c r="AY185" s="17006"/>
      <c r="AZ185" s="17006"/>
      <c r="BA185" s="17006"/>
      <c r="BB185" s="17006"/>
      <c r="BC185" s="17006"/>
      <c r="BD185" s="17006"/>
      <c r="BE185" s="17006"/>
      <c r="BF185" s="17006"/>
      <c r="BG185" s="17006"/>
      <c r="BH185" s="17006"/>
      <c r="BI185" s="17006"/>
      <c r="BJ185" s="17006"/>
      <c r="BK185" s="17006"/>
      <c r="BL185" s="17006"/>
      <c r="BM185" s="17006"/>
      <c r="BN185" s="17006"/>
      <c r="BO185" s="17006"/>
      <c r="BP185" s="17006"/>
      <c r="BQ185" s="17006"/>
      <c r="BR185" s="17006"/>
      <c r="BS185" s="17006"/>
      <c r="BT185" s="17006"/>
      <c r="BU185" s="17006"/>
      <c r="BV185" s="17006"/>
      <c r="BW185" s="17006"/>
      <c r="BX185" s="17006"/>
      <c r="BY185" s="17006"/>
      <c r="BZ185" s="17006"/>
      <c r="CA185" s="17006"/>
      <c r="CB185" s="17006"/>
      <c r="CC185" s="17006"/>
      <c r="CD185" s="17006"/>
      <c r="CE185" s="17006"/>
      <c r="CF185" s="17006"/>
      <c r="CG185" s="17006"/>
      <c r="CH185" s="17006"/>
      <c r="CI185" s="17006"/>
      <c r="CJ185" s="17006"/>
      <c r="CK185" s="17006"/>
      <c r="CL185" s="17006"/>
      <c r="CM185" s="17006"/>
      <c r="CN185" s="17006"/>
      <c r="CO185" s="17006"/>
      <c r="CP185" s="17006"/>
      <c r="CQ185" s="17006"/>
      <c r="CR185" s="17006"/>
      <c r="CS185" s="17006"/>
      <c r="CT185" s="17006"/>
      <c r="CU185" s="17006"/>
      <c r="CV185" s="17006"/>
      <c r="CW185" s="17006"/>
      <c r="CX185" s="17006"/>
      <c r="CY185" s="17006"/>
      <c r="CZ185" s="17006"/>
      <c r="DA185" s="17006"/>
      <c r="DB185" s="17006"/>
      <c r="DC185" s="17006"/>
      <c r="DD185" s="17006"/>
      <c r="DE185" s="17006"/>
      <c r="DF185" s="17006"/>
      <c r="DG185" s="17006"/>
      <c r="DH185" s="17006"/>
      <c r="DI185" s="17006"/>
      <c r="DJ185" s="17006"/>
      <c r="DK185" s="17006"/>
      <c r="DL185" s="17006"/>
      <c r="DM185" s="17006"/>
      <c r="DN185" s="17006"/>
      <c r="DO185" s="17006"/>
      <c r="DP185" s="17006"/>
      <c r="DQ185" s="17006"/>
      <c r="DR185" s="17006"/>
      <c r="DS185" s="17006"/>
      <c r="DT185" s="17006"/>
      <c r="DU185" s="17006"/>
      <c r="DV185" s="17006"/>
      <c r="DW185" s="17006"/>
      <c r="DX185" s="17006"/>
      <c r="DY185" s="17006"/>
      <c r="DZ185" s="17006"/>
      <c r="EA185" s="17006"/>
      <c r="EB185" s="11603"/>
      <c r="EC185" s="11603"/>
      <c r="ED185" s="11471"/>
      <c r="EE185" s="11472"/>
      <c r="EF185" s="11472" t="str">
        <f>IF(V185="","",V185)</f>
        <v>Добавить централизованную систему для дифференциации</v>
      </c>
      <c r="EG185" s="11472"/>
      <c r="EH185" s="11472"/>
      <c r="EI185" s="11471">
        <v>0</v>
      </c>
    </row>
    <row s="36956" customFormat="1" customHeight="1" ht="21">
      <c r="A186" s="8474"/>
      <c r="B186" s="8474" t="s">
        <v>236</v>
      </c>
      <c r="C186" s="8474"/>
      <c r="D186" s="8474"/>
      <c r="E186" s="11456"/>
      <c r="F186" s="11457" t="s">
        <v>105</v>
      </c>
      <c r="G186" s="8474"/>
      <c r="H186" s="8474"/>
      <c r="I186" s="8474"/>
      <c r="J186" s="8474"/>
      <c r="K186" s="8474"/>
      <c r="L186" s="8474"/>
      <c r="M186" s="11458"/>
      <c r="N186" s="11459"/>
      <c r="O186" s="11459"/>
      <c r="P186" s="11459"/>
      <c r="Q186" s="11460"/>
      <c r="R186" s="11461"/>
      <c r="S186" s="11462"/>
      <c r="T186" s="11463"/>
      <c r="U186" s="11464" t="str">
        <f>INDEX(PT_DIFFERENTIATION_NUM_TER,MATCH(B186,PT_DIFFERENTIATION_TER_ID,0))</f>
        <v>2.2</v>
      </c>
      <c r="V186" s="11465" t="s">
        <v>457</v>
      </c>
      <c r="W186" s="11466"/>
      <c r="X186" s="11467"/>
      <c r="Y186" s="11468"/>
      <c r="Z186" s="11468"/>
      <c r="AA186" s="11468"/>
      <c r="AB186" s="11468"/>
      <c r="AC186" s="11468"/>
      <c r="AD186" s="11468"/>
      <c r="AE186" s="11468"/>
      <c r="AF186" s="11469"/>
      <c r="AG186" s="11467" t="str">
        <f>INDEX(PT_DIFFERENTIATION_TER,MATCH(B186,PT_DIFFERENTIATION_TER_ID,0))</f>
        <v>Территория 3</v>
      </c>
      <c r="AH186" s="11468"/>
      <c r="AI186" s="11468"/>
      <c r="AJ186" s="11468"/>
      <c r="AK186" s="11468"/>
      <c r="AL186" s="11468"/>
      <c r="AM186" s="11468"/>
      <c r="AN186" s="11468"/>
      <c r="AO186" s="11468"/>
      <c r="AP186" s="16743"/>
      <c r="AQ186" s="16744"/>
      <c r="AR186" s="16744"/>
      <c r="AS186" s="16744"/>
      <c r="AT186" s="16744"/>
      <c r="AU186" s="16744"/>
      <c r="AV186" s="16744"/>
      <c r="AW186" s="16744"/>
      <c r="AX186" s="16745"/>
      <c r="AY186" s="16743"/>
      <c r="AZ186" s="16744"/>
      <c r="BA186" s="16744"/>
      <c r="BB186" s="16744"/>
      <c r="BC186" s="16744"/>
      <c r="BD186" s="16744"/>
      <c r="BE186" s="16744"/>
      <c r="BF186" s="16744"/>
      <c r="BG186" s="16745"/>
      <c r="BH186" s="16743"/>
      <c r="BI186" s="16744"/>
      <c r="BJ186" s="16744"/>
      <c r="BK186" s="16744"/>
      <c r="BL186" s="16744"/>
      <c r="BM186" s="16744"/>
      <c r="BN186" s="16744"/>
      <c r="BO186" s="16744"/>
      <c r="BP186" s="16745"/>
      <c r="BQ186" s="16743"/>
      <c r="BR186" s="16744"/>
      <c r="BS186" s="16744"/>
      <c r="BT186" s="16744"/>
      <c r="BU186" s="16744"/>
      <c r="BV186" s="16744"/>
      <c r="BW186" s="16744"/>
      <c r="BX186" s="16744"/>
      <c r="BY186" s="16745"/>
      <c r="BZ186" s="16743"/>
      <c r="CA186" s="16744"/>
      <c r="CB186" s="16744"/>
      <c r="CC186" s="16744"/>
      <c r="CD186" s="16744"/>
      <c r="CE186" s="16744"/>
      <c r="CF186" s="16744"/>
      <c r="CG186" s="16744"/>
      <c r="CH186" s="16745"/>
      <c r="CI186" s="16743"/>
      <c r="CJ186" s="16744"/>
      <c r="CK186" s="16744"/>
      <c r="CL186" s="16744"/>
      <c r="CM186" s="16744"/>
      <c r="CN186" s="16744"/>
      <c r="CO186" s="16744"/>
      <c r="CP186" s="16744"/>
      <c r="CQ186" s="16745"/>
      <c r="CR186" s="16743"/>
      <c r="CS186" s="16744"/>
      <c r="CT186" s="16744"/>
      <c r="CU186" s="16744"/>
      <c r="CV186" s="16744"/>
      <c r="CW186" s="16744"/>
      <c r="CX186" s="16744"/>
      <c r="CY186" s="16744"/>
      <c r="CZ186" s="16745"/>
      <c r="DA186" s="16743"/>
      <c r="DB186" s="16744"/>
      <c r="DC186" s="16744"/>
      <c r="DD186" s="16744"/>
      <c r="DE186" s="16744"/>
      <c r="DF186" s="16744"/>
      <c r="DG186" s="16744"/>
      <c r="DH186" s="16744"/>
      <c r="DI186" s="16745"/>
      <c r="DJ186" s="16743"/>
      <c r="DK186" s="16744"/>
      <c r="DL186" s="16744"/>
      <c r="DM186" s="16744"/>
      <c r="DN186" s="16744"/>
      <c r="DO186" s="16744"/>
      <c r="DP186" s="16744"/>
      <c r="DQ186" s="16744"/>
      <c r="DR186" s="16745"/>
      <c r="DS186" s="16743"/>
      <c r="DT186" s="16744"/>
      <c r="DU186" s="16744"/>
      <c r="DV186" s="16744"/>
      <c r="DW186" s="16744"/>
      <c r="DX186" s="16744"/>
      <c r="DY186" s="16744"/>
      <c r="DZ186" s="16744"/>
      <c r="EA186" s="16745"/>
      <c r="EB186" s="11469"/>
      <c r="EC186" s="11470" t="s">
        <v>458</v>
      </c>
      <c r="ED186" s="11471"/>
      <c r="EE186" s="11472"/>
      <c r="EF186" s="11472" t="str">
        <f>IF(V186="","",V186)</f>
        <v>Территория действия тарифа</v>
      </c>
      <c r="EG186" s="11472"/>
      <c r="EH186" s="11472"/>
      <c r="EI186" s="11462">
        <v>0</v>
      </c>
    </row>
    <row s="36957" customFormat="1" customHeight="1" ht="22.5">
      <c r="A187" s="8474"/>
      <c r="B187" s="8474"/>
      <c r="C187" s="8474" t="s">
        <v>237</v>
      </c>
      <c r="D187" s="8474"/>
      <c r="E187" s="11456"/>
      <c r="F187" s="11456">
        <v>1</v>
      </c>
      <c r="G187" s="11457">
        <v>1</v>
      </c>
      <c r="H187" s="8474"/>
      <c r="I187" s="8474"/>
      <c r="J187" s="8474"/>
      <c r="K187" s="8474"/>
      <c r="L187" s="8474"/>
      <c r="M187" s="11458"/>
      <c r="N187" s="11459"/>
      <c r="O187" s="11459"/>
      <c r="P187" s="11459"/>
      <c r="Q187" s="11474"/>
      <c r="R187" s="11461"/>
      <c r="S187" s="11462"/>
      <c r="T187" s="11463"/>
      <c r="U187" s="11464" t="str">
        <f>INDEX(PT_DIFFERENTIATION_NUM_CS,MATCH(C187,PT_DIFFERENTIATION_CS_ID,0))</f>
        <v>2.2.1</v>
      </c>
      <c r="V187" s="11475" t="s">
        <v>459</v>
      </c>
      <c r="W187" s="11466"/>
      <c r="X187" s="11467"/>
      <c r="Y187" s="11468"/>
      <c r="Z187" s="11468"/>
      <c r="AA187" s="11468"/>
      <c r="AB187" s="11468"/>
      <c r="AC187" s="11468"/>
      <c r="AD187" s="11468"/>
      <c r="AE187" s="11468"/>
      <c r="AF187" s="11469"/>
      <c r="AG187" s="11467" t="str">
        <f>INDEX(PT_DIFFERENTIATION_CS,MATCH(C187,PT_DIFFERENTIATION_CS_ID,0))</f>
        <v>без дифференциации</v>
      </c>
      <c r="AH187" s="11468"/>
      <c r="AI187" s="11468"/>
      <c r="AJ187" s="11468"/>
      <c r="AK187" s="11468"/>
      <c r="AL187" s="11468"/>
      <c r="AM187" s="11468"/>
      <c r="AN187" s="11468"/>
      <c r="AO187" s="11468"/>
      <c r="AP187" s="16743"/>
      <c r="AQ187" s="16744"/>
      <c r="AR187" s="16744"/>
      <c r="AS187" s="16744"/>
      <c r="AT187" s="16744"/>
      <c r="AU187" s="16744"/>
      <c r="AV187" s="16744"/>
      <c r="AW187" s="16744"/>
      <c r="AX187" s="16745"/>
      <c r="AY187" s="16743"/>
      <c r="AZ187" s="16744"/>
      <c r="BA187" s="16744"/>
      <c r="BB187" s="16744"/>
      <c r="BC187" s="16744"/>
      <c r="BD187" s="16744"/>
      <c r="BE187" s="16744"/>
      <c r="BF187" s="16744"/>
      <c r="BG187" s="16745"/>
      <c r="BH187" s="16743"/>
      <c r="BI187" s="16744"/>
      <c r="BJ187" s="16744"/>
      <c r="BK187" s="16744"/>
      <c r="BL187" s="16744"/>
      <c r="BM187" s="16744"/>
      <c r="BN187" s="16744"/>
      <c r="BO187" s="16744"/>
      <c r="BP187" s="16745"/>
      <c r="BQ187" s="16743"/>
      <c r="BR187" s="16744"/>
      <c r="BS187" s="16744"/>
      <c r="BT187" s="16744"/>
      <c r="BU187" s="16744"/>
      <c r="BV187" s="16744"/>
      <c r="BW187" s="16744"/>
      <c r="BX187" s="16744"/>
      <c r="BY187" s="16745"/>
      <c r="BZ187" s="16743"/>
      <c r="CA187" s="16744"/>
      <c r="CB187" s="16744"/>
      <c r="CC187" s="16744"/>
      <c r="CD187" s="16744"/>
      <c r="CE187" s="16744"/>
      <c r="CF187" s="16744"/>
      <c r="CG187" s="16744"/>
      <c r="CH187" s="16745"/>
      <c r="CI187" s="16743"/>
      <c r="CJ187" s="16744"/>
      <c r="CK187" s="16744"/>
      <c r="CL187" s="16744"/>
      <c r="CM187" s="16744"/>
      <c r="CN187" s="16744"/>
      <c r="CO187" s="16744"/>
      <c r="CP187" s="16744"/>
      <c r="CQ187" s="16745"/>
      <c r="CR187" s="16743"/>
      <c r="CS187" s="16744"/>
      <c r="CT187" s="16744"/>
      <c r="CU187" s="16744"/>
      <c r="CV187" s="16744"/>
      <c r="CW187" s="16744"/>
      <c r="CX187" s="16744"/>
      <c r="CY187" s="16744"/>
      <c r="CZ187" s="16745"/>
      <c r="DA187" s="16743"/>
      <c r="DB187" s="16744"/>
      <c r="DC187" s="16744"/>
      <c r="DD187" s="16744"/>
      <c r="DE187" s="16744"/>
      <c r="DF187" s="16744"/>
      <c r="DG187" s="16744"/>
      <c r="DH187" s="16744"/>
      <c r="DI187" s="16745"/>
      <c r="DJ187" s="16743"/>
      <c r="DK187" s="16744"/>
      <c r="DL187" s="16744"/>
      <c r="DM187" s="16744"/>
      <c r="DN187" s="16744"/>
      <c r="DO187" s="16744"/>
      <c r="DP187" s="16744"/>
      <c r="DQ187" s="16744"/>
      <c r="DR187" s="16745"/>
      <c r="DS187" s="16743"/>
      <c r="DT187" s="16744"/>
      <c r="DU187" s="16744"/>
      <c r="DV187" s="16744"/>
      <c r="DW187" s="16744"/>
      <c r="DX187" s="16744"/>
      <c r="DY187" s="16744"/>
      <c r="DZ187" s="16744"/>
      <c r="EA187" s="16745"/>
      <c r="EB187" s="11469"/>
      <c r="EC187" s="11470" t="s">
        <v>460</v>
      </c>
      <c r="ED187" s="11471"/>
      <c r="EE187" s="11472"/>
      <c r="EF187" s="11472" t="str">
        <f>IF(V187="","",V187)</f>
        <v>Наименование системы теплоснабжения </v>
      </c>
      <c r="EG187" s="11472"/>
      <c r="EH187" s="11472"/>
      <c r="EI187" s="11462">
        <v>0</v>
      </c>
    </row>
    <row s="36958" customFormat="1" customHeight="1" ht="21">
      <c r="A188" s="8474"/>
      <c r="B188" s="8474"/>
      <c r="C188" s="8474"/>
      <c r="D188" s="8474" t="s">
        <v>238</v>
      </c>
      <c r="E188" s="11456"/>
      <c r="F188" s="11456">
        <v>1</v>
      </c>
      <c r="G188" s="11456"/>
      <c r="H188" s="11457">
        <v>1</v>
      </c>
      <c r="I188" s="8474"/>
      <c r="J188" s="8474"/>
      <c r="K188" s="8474"/>
      <c r="L188" s="8474"/>
      <c r="M188" s="11458"/>
      <c r="N188" s="11459"/>
      <c r="O188" s="11459"/>
      <c r="P188" s="11459"/>
      <c r="Q188" s="11474"/>
      <c r="R188" s="11461"/>
      <c r="S188" s="11462"/>
      <c r="T188" s="11463"/>
      <c r="U188" s="11464" t="str">
        <f>INDEX(PT_DIFFERENTIATION_NUM_IST_TE,MATCH(D188,PT_DIFFERENTIATION_IST_TE_ID,0))</f>
        <v>2.2.1.1</v>
      </c>
      <c r="V188" s="11477" t="s">
        <v>461</v>
      </c>
      <c r="W188" s="11466"/>
      <c r="X188" s="11467"/>
      <c r="Y188" s="11468"/>
      <c r="Z188" s="11468"/>
      <c r="AA188" s="11468"/>
      <c r="AB188" s="11468"/>
      <c r="AC188" s="11468"/>
      <c r="AD188" s="11468"/>
      <c r="AE188" s="11468"/>
      <c r="AF188" s="11469"/>
      <c r="AG188" s="11467" t="str">
        <f>INDEX(PT_DIFFERENTIATION_IST_TE,MATCH(D188,PT_DIFFERENTIATION_IST_TE_ID,0))</f>
        <v>без дифференциации</v>
      </c>
      <c r="AH188" s="11468"/>
      <c r="AI188" s="11468"/>
      <c r="AJ188" s="11468"/>
      <c r="AK188" s="11468"/>
      <c r="AL188" s="11468"/>
      <c r="AM188" s="11468"/>
      <c r="AN188" s="11468"/>
      <c r="AO188" s="11468"/>
      <c r="AP188" s="16743"/>
      <c r="AQ188" s="16744"/>
      <c r="AR188" s="16744"/>
      <c r="AS188" s="16744"/>
      <c r="AT188" s="16744"/>
      <c r="AU188" s="16744"/>
      <c r="AV188" s="16744"/>
      <c r="AW188" s="16744"/>
      <c r="AX188" s="16745"/>
      <c r="AY188" s="16743"/>
      <c r="AZ188" s="16744"/>
      <c r="BA188" s="16744"/>
      <c r="BB188" s="16744"/>
      <c r="BC188" s="16744"/>
      <c r="BD188" s="16744"/>
      <c r="BE188" s="16744"/>
      <c r="BF188" s="16744"/>
      <c r="BG188" s="16745"/>
      <c r="BH188" s="16743"/>
      <c r="BI188" s="16744"/>
      <c r="BJ188" s="16744"/>
      <c r="BK188" s="16744"/>
      <c r="BL188" s="16744"/>
      <c r="BM188" s="16744"/>
      <c r="BN188" s="16744"/>
      <c r="BO188" s="16744"/>
      <c r="BP188" s="16745"/>
      <c r="BQ188" s="16743"/>
      <c r="BR188" s="16744"/>
      <c r="BS188" s="16744"/>
      <c r="BT188" s="16744"/>
      <c r="BU188" s="16744"/>
      <c r="BV188" s="16744"/>
      <c r="BW188" s="16744"/>
      <c r="BX188" s="16744"/>
      <c r="BY188" s="16745"/>
      <c r="BZ188" s="16743"/>
      <c r="CA188" s="16744"/>
      <c r="CB188" s="16744"/>
      <c r="CC188" s="16744"/>
      <c r="CD188" s="16744"/>
      <c r="CE188" s="16744"/>
      <c r="CF188" s="16744"/>
      <c r="CG188" s="16744"/>
      <c r="CH188" s="16745"/>
      <c r="CI188" s="16743"/>
      <c r="CJ188" s="16744"/>
      <c r="CK188" s="16744"/>
      <c r="CL188" s="16744"/>
      <c r="CM188" s="16744"/>
      <c r="CN188" s="16744"/>
      <c r="CO188" s="16744"/>
      <c r="CP188" s="16744"/>
      <c r="CQ188" s="16745"/>
      <c r="CR188" s="16743"/>
      <c r="CS188" s="16744"/>
      <c r="CT188" s="16744"/>
      <c r="CU188" s="16744"/>
      <c r="CV188" s="16744"/>
      <c r="CW188" s="16744"/>
      <c r="CX188" s="16744"/>
      <c r="CY188" s="16744"/>
      <c r="CZ188" s="16745"/>
      <c r="DA188" s="16743"/>
      <c r="DB188" s="16744"/>
      <c r="DC188" s="16744"/>
      <c r="DD188" s="16744"/>
      <c r="DE188" s="16744"/>
      <c r="DF188" s="16744"/>
      <c r="DG188" s="16744"/>
      <c r="DH188" s="16744"/>
      <c r="DI188" s="16745"/>
      <c r="DJ188" s="16743"/>
      <c r="DK188" s="16744"/>
      <c r="DL188" s="16744"/>
      <c r="DM188" s="16744"/>
      <c r="DN188" s="16744"/>
      <c r="DO188" s="16744"/>
      <c r="DP188" s="16744"/>
      <c r="DQ188" s="16744"/>
      <c r="DR188" s="16745"/>
      <c r="DS188" s="16743"/>
      <c r="DT188" s="16744"/>
      <c r="DU188" s="16744"/>
      <c r="DV188" s="16744"/>
      <c r="DW188" s="16744"/>
      <c r="DX188" s="16744"/>
      <c r="DY188" s="16744"/>
      <c r="DZ188" s="16744"/>
      <c r="EA188" s="16745"/>
      <c r="EB188" s="11469"/>
      <c r="EC188" s="11470" t="s">
        <v>462</v>
      </c>
      <c r="ED188" s="11471"/>
      <c r="EE188" s="11472"/>
      <c r="EF188" s="11472" t="str">
        <f>IF(V188="","",V188)</f>
        <v>Источник тепловой энергии  </v>
      </c>
      <c r="EG188" s="11472"/>
      <c r="EH188" s="11472"/>
      <c r="EI188" s="11462">
        <v>0</v>
      </c>
    </row>
    <row s="36959" customFormat="1" customHeight="1" ht="14.25">
      <c r="A189" s="8474"/>
      <c r="B189" s="8474"/>
      <c r="C189" s="8474"/>
      <c r="D189" s="8474"/>
      <c r="E189" s="11456"/>
      <c r="F189" s="11456">
        <v>1</v>
      </c>
      <c r="G189" s="11456"/>
      <c r="H189" s="11456"/>
      <c r="I189" s="11479" t="str">
        <f>U188&amp;".1"</f>
        <v>2.2.1.1.1</v>
      </c>
      <c r="J189" s="8474"/>
      <c r="K189" s="8474"/>
      <c r="L189" s="8474"/>
      <c r="M189" s="11458" t="s">
        <v>463</v>
      </c>
      <c r="N189" s="11462"/>
      <c r="O189" s="11480"/>
      <c r="P189" s="11480"/>
      <c r="Q189" s="11481">
        <v>1</v>
      </c>
      <c r="R189" s="11481"/>
      <c r="S189" s="11481"/>
      <c r="T189" s="11482"/>
      <c r="U189" s="11483"/>
      <c r="V189" s="11484"/>
      <c r="W189" s="11485"/>
      <c r="X189" s="11486"/>
      <c r="Y189" s="11487"/>
      <c r="Z189" s="11487"/>
      <c r="AA189" s="11487"/>
      <c r="AB189" s="11487"/>
      <c r="AC189" s="11487"/>
      <c r="AD189" s="11487"/>
      <c r="AE189" s="11487"/>
      <c r="AF189" s="11488"/>
      <c r="AG189" s="11486"/>
      <c r="AH189" s="11487"/>
      <c r="AI189" s="11487"/>
      <c r="AJ189" s="11487"/>
      <c r="AK189" s="11487"/>
      <c r="AL189" s="11487"/>
      <c r="AM189" s="11487"/>
      <c r="AN189" s="11487"/>
      <c r="AO189" s="11487"/>
      <c r="AP189" s="16746"/>
      <c r="AQ189" s="16747"/>
      <c r="AR189" s="16747"/>
      <c r="AS189" s="16747"/>
      <c r="AT189" s="16747"/>
      <c r="AU189" s="16747"/>
      <c r="AV189" s="16747"/>
      <c r="AW189" s="16747"/>
      <c r="AX189" s="16748"/>
      <c r="AY189" s="16746"/>
      <c r="AZ189" s="16747"/>
      <c r="BA189" s="16747"/>
      <c r="BB189" s="16747"/>
      <c r="BC189" s="16747"/>
      <c r="BD189" s="16747"/>
      <c r="BE189" s="16747"/>
      <c r="BF189" s="16747"/>
      <c r="BG189" s="16748"/>
      <c r="BH189" s="16746"/>
      <c r="BI189" s="16747"/>
      <c r="BJ189" s="16747"/>
      <c r="BK189" s="16747"/>
      <c r="BL189" s="16747"/>
      <c r="BM189" s="16747"/>
      <c r="BN189" s="16747"/>
      <c r="BO189" s="16747"/>
      <c r="BP189" s="16748"/>
      <c r="BQ189" s="16746"/>
      <c r="BR189" s="16747"/>
      <c r="BS189" s="16747"/>
      <c r="BT189" s="16747"/>
      <c r="BU189" s="16747"/>
      <c r="BV189" s="16747"/>
      <c r="BW189" s="16747"/>
      <c r="BX189" s="16747"/>
      <c r="BY189" s="16748"/>
      <c r="BZ189" s="16746"/>
      <c r="CA189" s="16747"/>
      <c r="CB189" s="16747"/>
      <c r="CC189" s="16747"/>
      <c r="CD189" s="16747"/>
      <c r="CE189" s="16747"/>
      <c r="CF189" s="16747"/>
      <c r="CG189" s="16747"/>
      <c r="CH189" s="16748"/>
      <c r="CI189" s="16746"/>
      <c r="CJ189" s="16747"/>
      <c r="CK189" s="16747"/>
      <c r="CL189" s="16747"/>
      <c r="CM189" s="16747"/>
      <c r="CN189" s="16747"/>
      <c r="CO189" s="16747"/>
      <c r="CP189" s="16747"/>
      <c r="CQ189" s="16748"/>
      <c r="CR189" s="16746"/>
      <c r="CS189" s="16747"/>
      <c r="CT189" s="16747"/>
      <c r="CU189" s="16747"/>
      <c r="CV189" s="16747"/>
      <c r="CW189" s="16747"/>
      <c r="CX189" s="16747"/>
      <c r="CY189" s="16747"/>
      <c r="CZ189" s="16748"/>
      <c r="DA189" s="16746"/>
      <c r="DB189" s="16747"/>
      <c r="DC189" s="16747"/>
      <c r="DD189" s="16747"/>
      <c r="DE189" s="16747"/>
      <c r="DF189" s="16747"/>
      <c r="DG189" s="16747"/>
      <c r="DH189" s="16747"/>
      <c r="DI189" s="16748"/>
      <c r="DJ189" s="16746"/>
      <c r="DK189" s="16747"/>
      <c r="DL189" s="16747"/>
      <c r="DM189" s="16747"/>
      <c r="DN189" s="16747"/>
      <c r="DO189" s="16747"/>
      <c r="DP189" s="16747"/>
      <c r="DQ189" s="16747"/>
      <c r="DR189" s="16748"/>
      <c r="DS189" s="16746"/>
      <c r="DT189" s="16747"/>
      <c r="DU189" s="16747"/>
      <c r="DV189" s="16747"/>
      <c r="DW189" s="16747"/>
      <c r="DX189" s="16747"/>
      <c r="DY189" s="16747"/>
      <c r="DZ189" s="16747"/>
      <c r="EA189" s="16748"/>
      <c r="EB189" s="11488"/>
      <c r="EC189" s="11489"/>
      <c r="ED189" s="11471"/>
      <c r="EE189" s="11472"/>
      <c r="EF189" s="11472" t="str">
        <f>IF(V189="","",V189)</f>
        <v/>
      </c>
      <c r="EG189" s="11472"/>
      <c r="EH189" s="11472"/>
      <c r="EI189" s="11462">
        <v>0</v>
      </c>
    </row>
    <row s="36960" customFormat="1" customHeight="1" ht="21">
      <c r="A190" s="8474"/>
      <c r="B190" s="8474"/>
      <c r="C190" s="8474"/>
      <c r="D190" s="8474"/>
      <c r="E190" s="11456"/>
      <c r="F190" s="11456">
        <v>1</v>
      </c>
      <c r="G190" s="11456"/>
      <c r="H190" s="11456"/>
      <c r="I190" s="11491"/>
      <c r="J190" s="11479" t="str">
        <f>I189&amp;".1"</f>
        <v>2.2.1.1.1.1</v>
      </c>
      <c r="K190" s="8474"/>
      <c r="L190" s="8474"/>
      <c r="M190" s="11458" t="s">
        <v>466</v>
      </c>
      <c r="N190" s="11462"/>
      <c r="O190" s="11462"/>
      <c r="P190" s="11480"/>
      <c r="Q190" s="11481"/>
      <c r="R190" s="11481">
        <v>1</v>
      </c>
      <c r="S190" s="11471"/>
      <c r="T190" s="11492"/>
      <c r="U190" s="11464" t="str">
        <f>$J190</f>
        <v>2.2.1.1.1.1</v>
      </c>
      <c r="V190" s="11493" t="s">
        <v>467</v>
      </c>
      <c r="W190" s="11466"/>
      <c r="X190" s="11494"/>
      <c r="Y190" s="11495"/>
      <c r="Z190" s="11495"/>
      <c r="AA190" s="11495"/>
      <c r="AB190" s="11495"/>
      <c r="AC190" s="11496"/>
      <c r="AD190" s="11496"/>
      <c r="AE190" s="11496"/>
      <c r="AF190" s="11497"/>
      <c r="AG190" s="11494" t="s">
        <v>507</v>
      </c>
      <c r="AH190" s="11495"/>
      <c r="AI190" s="11495"/>
      <c r="AJ190" s="11495"/>
      <c r="AK190" s="11495"/>
      <c r="AL190" s="11495"/>
      <c r="AM190" s="11495"/>
      <c r="AN190" s="11495"/>
      <c r="AO190" s="11495"/>
      <c r="AP190" s="16750"/>
      <c r="AQ190" s="16751"/>
      <c r="AR190" s="16751"/>
      <c r="AS190" s="16751"/>
      <c r="AT190" s="16751"/>
      <c r="AU190" s="16752"/>
      <c r="AV190" s="16752"/>
      <c r="AW190" s="16752"/>
      <c r="AX190" s="16753"/>
      <c r="AY190" s="16750"/>
      <c r="AZ190" s="16751"/>
      <c r="BA190" s="16751"/>
      <c r="BB190" s="16751"/>
      <c r="BC190" s="16751"/>
      <c r="BD190" s="16752"/>
      <c r="BE190" s="16752"/>
      <c r="BF190" s="16752"/>
      <c r="BG190" s="16753"/>
      <c r="BH190" s="16750"/>
      <c r="BI190" s="16751"/>
      <c r="BJ190" s="16751"/>
      <c r="BK190" s="16751"/>
      <c r="BL190" s="16751"/>
      <c r="BM190" s="16752"/>
      <c r="BN190" s="16752"/>
      <c r="BO190" s="16752"/>
      <c r="BP190" s="16753"/>
      <c r="BQ190" s="16750"/>
      <c r="BR190" s="16751"/>
      <c r="BS190" s="16751"/>
      <c r="BT190" s="16751"/>
      <c r="BU190" s="16751"/>
      <c r="BV190" s="16752"/>
      <c r="BW190" s="16752"/>
      <c r="BX190" s="16752"/>
      <c r="BY190" s="16753"/>
      <c r="BZ190" s="16750"/>
      <c r="CA190" s="16751"/>
      <c r="CB190" s="16751"/>
      <c r="CC190" s="16751"/>
      <c r="CD190" s="16751"/>
      <c r="CE190" s="16752"/>
      <c r="CF190" s="16752"/>
      <c r="CG190" s="16752"/>
      <c r="CH190" s="16753"/>
      <c r="CI190" s="16750"/>
      <c r="CJ190" s="16751"/>
      <c r="CK190" s="16751"/>
      <c r="CL190" s="16751"/>
      <c r="CM190" s="16751"/>
      <c r="CN190" s="16752"/>
      <c r="CO190" s="16752"/>
      <c r="CP190" s="16752"/>
      <c r="CQ190" s="16753"/>
      <c r="CR190" s="16750"/>
      <c r="CS190" s="16751"/>
      <c r="CT190" s="16751"/>
      <c r="CU190" s="16751"/>
      <c r="CV190" s="16751"/>
      <c r="CW190" s="16752"/>
      <c r="CX190" s="16752"/>
      <c r="CY190" s="16752"/>
      <c r="CZ190" s="16753"/>
      <c r="DA190" s="16750"/>
      <c r="DB190" s="16751"/>
      <c r="DC190" s="16751"/>
      <c r="DD190" s="16751"/>
      <c r="DE190" s="16751"/>
      <c r="DF190" s="16752"/>
      <c r="DG190" s="16752"/>
      <c r="DH190" s="16752"/>
      <c r="DI190" s="16753"/>
      <c r="DJ190" s="16750"/>
      <c r="DK190" s="16751"/>
      <c r="DL190" s="16751"/>
      <c r="DM190" s="16751"/>
      <c r="DN190" s="16751"/>
      <c r="DO190" s="16752"/>
      <c r="DP190" s="16752"/>
      <c r="DQ190" s="16752"/>
      <c r="DR190" s="16753"/>
      <c r="DS190" s="16750"/>
      <c r="DT190" s="16751"/>
      <c r="DU190" s="16751"/>
      <c r="DV190" s="16751"/>
      <c r="DW190" s="16751"/>
      <c r="DX190" s="16752"/>
      <c r="DY190" s="16752"/>
      <c r="DZ190" s="16752"/>
      <c r="EA190" s="16753"/>
      <c r="EB190" s="11498"/>
      <c r="EC190" s="11470" t="s">
        <v>468</v>
      </c>
      <c r="ED190" s="11471"/>
      <c r="EE190" s="11472"/>
      <c r="EF190" s="11472" t="str">
        <f>IF(V190="","",V190)</f>
        <v>Группа потребителей</v>
      </c>
      <c r="EG190" s="11472"/>
      <c r="EH190" s="11472"/>
      <c r="EI190" s="11462">
        <v>0</v>
      </c>
    </row>
    <row s="36961" customFormat="1" customHeight="1" ht="21">
      <c r="A191" s="8474"/>
      <c r="B191" s="8474"/>
      <c r="C191" s="8474"/>
      <c r="D191" s="8474"/>
      <c r="E191" s="11456"/>
      <c r="F191" s="11456">
        <v>1</v>
      </c>
      <c r="G191" s="11456"/>
      <c r="H191" s="11456"/>
      <c r="I191" s="11491"/>
      <c r="J191" s="11491"/>
      <c r="K191" s="11479" t="str">
        <f>J190&amp;".1"</f>
        <v>2.2.1.1.1.1.1</v>
      </c>
      <c r="L191" s="11460"/>
      <c r="M191" s="11458" t="s">
        <v>469</v>
      </c>
      <c r="N191" s="11462"/>
      <c r="O191" s="11462"/>
      <c r="P191" s="11462"/>
      <c r="Q191" s="11481"/>
      <c r="R191" s="11481"/>
      <c r="S191" s="11481">
        <v>1</v>
      </c>
      <c r="T191" s="11492"/>
      <c r="U191" s="11464" t="str">
        <f>$K191</f>
        <v>2.2.1.1.1.1.1</v>
      </c>
      <c r="V191" s="11500" t="s">
        <v>508</v>
      </c>
      <c r="W191" s="11466"/>
      <c r="X191" s="17062"/>
      <c r="Y191" s="17062"/>
      <c r="Z191" s="17062"/>
      <c r="AA191" s="17062"/>
      <c r="AB191" s="17063"/>
      <c r="AC191" s="17064"/>
      <c r="AD191" s="17065" t="s">
        <v>64</v>
      </c>
      <c r="AE191" s="17064"/>
      <c r="AF191" s="17065" t="s">
        <v>64</v>
      </c>
      <c r="AG191" s="11504"/>
      <c r="AH191" s="11501">
        <v>51.02</v>
      </c>
      <c r="AI191" s="11501">
        <v>1012.25</v>
      </c>
      <c r="AJ191" s="11501"/>
      <c r="AK191" s="11505"/>
      <c r="AL191" s="16759">
        <v>45292</v>
      </c>
      <c r="AM191" s="8452" t="s">
        <v>64</v>
      </c>
      <c r="AN191" s="16759">
        <v>45473</v>
      </c>
      <c r="AO191" s="8452" t="s">
        <v>64</v>
      </c>
      <c r="AP191" s="16757"/>
      <c r="AQ191" s="16757">
        <v>55.86</v>
      </c>
      <c r="AR191" s="16757">
        <v>1164.09</v>
      </c>
      <c r="AS191" s="16757"/>
      <c r="AT191" s="16758"/>
      <c r="AU191" s="16759">
        <v>45474</v>
      </c>
      <c r="AV191" s="16760" t="s">
        <v>64</v>
      </c>
      <c r="AW191" s="16759">
        <v>45657</v>
      </c>
      <c r="AX191" s="16760" t="s">
        <v>64</v>
      </c>
      <c r="AY191" s="16757"/>
      <c r="AZ191" s="16757">
        <v>55.86</v>
      </c>
      <c r="BA191" s="16757">
        <v>1164.09</v>
      </c>
      <c r="BB191" s="16757"/>
      <c r="BC191" s="16758"/>
      <c r="BD191" s="16759">
        <v>45658</v>
      </c>
      <c r="BE191" s="16760" t="s">
        <v>64</v>
      </c>
      <c r="BF191" s="16759">
        <v>45838</v>
      </c>
      <c r="BG191" s="16760" t="s">
        <v>64</v>
      </c>
      <c r="BH191" s="16757"/>
      <c r="BI191" s="16757">
        <v>62.68</v>
      </c>
      <c r="BJ191" s="16757">
        <v>1617.92</v>
      </c>
      <c r="BK191" s="16757"/>
      <c r="BL191" s="16758"/>
      <c r="BM191" s="16759">
        <v>45839</v>
      </c>
      <c r="BN191" s="16760" t="s">
        <v>64</v>
      </c>
      <c r="BO191" s="16759">
        <v>46022</v>
      </c>
      <c r="BP191" s="16760" t="s">
        <v>64</v>
      </c>
      <c r="BQ191" s="16757"/>
      <c r="BR191" s="16757">
        <v>61</v>
      </c>
      <c r="BS191" s="16757">
        <v>1421.67</v>
      </c>
      <c r="BT191" s="16757"/>
      <c r="BU191" s="16758"/>
      <c r="BV191" s="16759">
        <v>46023</v>
      </c>
      <c r="BW191" s="16760" t="s">
        <v>64</v>
      </c>
      <c r="BX191" s="16759">
        <v>46203</v>
      </c>
      <c r="BY191" s="16760" t="s">
        <v>64</v>
      </c>
      <c r="BZ191" s="16757"/>
      <c r="CA191" s="16757">
        <v>67.66</v>
      </c>
      <c r="CB191" s="16757">
        <v>1421.67</v>
      </c>
      <c r="CC191" s="16757"/>
      <c r="CD191" s="16758"/>
      <c r="CE191" s="16759">
        <v>46204</v>
      </c>
      <c r="CF191" s="16760" t="s">
        <v>64</v>
      </c>
      <c r="CG191" s="16759">
        <v>46387</v>
      </c>
      <c r="CH191" s="16760" t="s">
        <v>64</v>
      </c>
      <c r="CI191" s="17066"/>
      <c r="CJ191" s="16757">
        <v>67.66</v>
      </c>
      <c r="CK191" s="16757">
        <v>1421.67</v>
      </c>
      <c r="CL191" s="16757"/>
      <c r="CM191" s="17067"/>
      <c r="CN191" s="16759">
        <v>46388</v>
      </c>
      <c r="CO191" s="16760" t="s">
        <v>64</v>
      </c>
      <c r="CP191" s="16759">
        <v>46568</v>
      </c>
      <c r="CQ191" s="16760" t="s">
        <v>64</v>
      </c>
      <c r="CR191" s="17066"/>
      <c r="CS191" s="16757">
        <v>70.4</v>
      </c>
      <c r="CT191" s="16757">
        <v>1445.12</v>
      </c>
      <c r="CU191" s="16757"/>
      <c r="CV191" s="17067"/>
      <c r="CW191" s="16759">
        <v>46569</v>
      </c>
      <c r="CX191" s="16760" t="s">
        <v>64</v>
      </c>
      <c r="CY191" s="16759">
        <v>46752</v>
      </c>
      <c r="CZ191" s="16760" t="s">
        <v>64</v>
      </c>
      <c r="DA191" s="17066"/>
      <c r="DB191" s="16757">
        <v>70.4</v>
      </c>
      <c r="DC191" s="16757">
        <v>1445.12</v>
      </c>
      <c r="DD191" s="16757"/>
      <c r="DE191" s="17067"/>
      <c r="DF191" s="16759">
        <v>46753</v>
      </c>
      <c r="DG191" s="16760" t="s">
        <v>64</v>
      </c>
      <c r="DH191" s="16759">
        <v>46934</v>
      </c>
      <c r="DI191" s="16760" t="s">
        <v>64</v>
      </c>
      <c r="DJ191" s="17066"/>
      <c r="DK191" s="16757">
        <v>75.39</v>
      </c>
      <c r="DL191" s="16757">
        <v>1482.52</v>
      </c>
      <c r="DM191" s="16757"/>
      <c r="DN191" s="17067"/>
      <c r="DO191" s="16759">
        <v>46935</v>
      </c>
      <c r="DP191" s="16760" t="s">
        <v>64</v>
      </c>
      <c r="DQ191" s="16759">
        <v>47118</v>
      </c>
      <c r="DR191" s="16760" t="s">
        <v>19</v>
      </c>
      <c r="DS191" s="17062"/>
      <c r="DT191" s="17062"/>
      <c r="DU191" s="17062"/>
      <c r="DV191" s="17062"/>
      <c r="DW191" s="17063"/>
      <c r="DX191" s="17064"/>
      <c r="DY191" s="17065" t="s">
        <v>64</v>
      </c>
      <c r="DZ191" s="17064"/>
      <c r="EA191" s="17065" t="s">
        <v>64</v>
      </c>
      <c r="EB191" s="11506"/>
      <c r="EC191" s="11507" t="s">
        <v>523</v>
      </c>
      <c r="ED191" s="11471">
        <f>STRCHECKDATE(X193:EB193)</f>
      </c>
      <c r="EE191" s="11472"/>
      <c r="EF191" s="11472" t="str">
        <f>IF(V191="","",V191)</f>
        <v>вода</v>
      </c>
      <c r="EG191" s="11472"/>
      <c r="EH191" s="11472"/>
      <c r="EI191" s="11462">
        <v>0</v>
      </c>
    </row>
    <row s="36962" customFormat="1" customHeight="1" ht="21">
      <c r="A192" s="8474"/>
      <c r="B192" s="8474"/>
      <c r="C192" s="8474"/>
      <c r="D192" s="8474"/>
      <c r="E192" s="11456"/>
      <c r="F192" s="11456">
        <v>1</v>
      </c>
      <c r="G192" s="11456"/>
      <c r="H192" s="11456"/>
      <c r="I192" s="11491"/>
      <c r="J192" s="11491"/>
      <c r="K192" s="11491"/>
      <c r="L192" s="11479" t="str">
        <f>K191&amp;".1"</f>
        <v>2.2.1.1.1.1.1.1</v>
      </c>
      <c r="M192" s="11458"/>
      <c r="N192" s="11462"/>
      <c r="O192" s="11462"/>
      <c r="P192" s="11462"/>
      <c r="Q192" s="11481"/>
      <c r="R192" s="11481"/>
      <c r="S192" s="11481"/>
      <c r="T192" s="11492"/>
      <c r="U192" s="11464" t="str">
        <f>$L192</f>
        <v>2.2.1.1.1.1.1.1</v>
      </c>
      <c r="V192" s="11509"/>
      <c r="W192" s="11466"/>
      <c r="X192" s="17062"/>
      <c r="Y192" s="17062"/>
      <c r="Z192" s="17062"/>
      <c r="AA192" s="17062"/>
      <c r="AB192" s="17063"/>
      <c r="AC192" s="17064"/>
      <c r="AD192" s="17065"/>
      <c r="AE192" s="17064"/>
      <c r="AF192" s="17065"/>
      <c r="AG192" s="11504"/>
      <c r="AH192" s="11501"/>
      <c r="AI192" s="11501"/>
      <c r="AJ192" s="11501"/>
      <c r="AK192" s="11505"/>
      <c r="AL192" s="11510"/>
      <c r="AM192" s="8452"/>
      <c r="AN192" s="11510"/>
      <c r="AO192" s="8452"/>
      <c r="AP192" s="16764"/>
      <c r="AQ192" s="16757"/>
      <c r="AR192" s="16757"/>
      <c r="AS192" s="16757"/>
      <c r="AT192" s="16758"/>
      <c r="AU192" s="16765"/>
      <c r="AV192" s="16760"/>
      <c r="AW192" s="16765"/>
      <c r="AX192" s="16760"/>
      <c r="AY192" s="16764"/>
      <c r="AZ192" s="16757"/>
      <c r="BA192" s="16757"/>
      <c r="BB192" s="16757"/>
      <c r="BC192" s="16758"/>
      <c r="BD192" s="16765"/>
      <c r="BE192" s="16760"/>
      <c r="BF192" s="16765"/>
      <c r="BG192" s="16760"/>
      <c r="BH192" s="16764"/>
      <c r="BI192" s="16757"/>
      <c r="BJ192" s="16757"/>
      <c r="BK192" s="16757"/>
      <c r="BL192" s="16758"/>
      <c r="BM192" s="16765"/>
      <c r="BN192" s="16760"/>
      <c r="BO192" s="16765"/>
      <c r="BP192" s="16760"/>
      <c r="BQ192" s="16764"/>
      <c r="BR192" s="16757"/>
      <c r="BS192" s="16757"/>
      <c r="BT192" s="16757"/>
      <c r="BU192" s="16758"/>
      <c r="BV192" s="16765"/>
      <c r="BW192" s="16760"/>
      <c r="BX192" s="16765"/>
      <c r="BY192" s="16760"/>
      <c r="BZ192" s="16764"/>
      <c r="CA192" s="16757"/>
      <c r="CB192" s="16757"/>
      <c r="CC192" s="16757"/>
      <c r="CD192" s="16758"/>
      <c r="CE192" s="16765"/>
      <c r="CF192" s="16760"/>
      <c r="CG192" s="16765"/>
      <c r="CH192" s="16760"/>
      <c r="CI192" s="17066"/>
      <c r="CJ192" s="16757"/>
      <c r="CK192" s="16757"/>
      <c r="CL192" s="16757"/>
      <c r="CM192" s="17067"/>
      <c r="CN192" s="16765"/>
      <c r="CO192" s="16760"/>
      <c r="CP192" s="16765"/>
      <c r="CQ192" s="16760"/>
      <c r="CR192" s="17066"/>
      <c r="CS192" s="16757"/>
      <c r="CT192" s="16757"/>
      <c r="CU192" s="16757"/>
      <c r="CV192" s="17067"/>
      <c r="CW192" s="16765"/>
      <c r="CX192" s="16760"/>
      <c r="CY192" s="16765"/>
      <c r="CZ192" s="16760"/>
      <c r="DA192" s="17066"/>
      <c r="DB192" s="16757"/>
      <c r="DC192" s="16757"/>
      <c r="DD192" s="16757"/>
      <c r="DE192" s="17067"/>
      <c r="DF192" s="16765"/>
      <c r="DG192" s="16760"/>
      <c r="DH192" s="16765"/>
      <c r="DI192" s="16760"/>
      <c r="DJ192" s="17066"/>
      <c r="DK192" s="16757"/>
      <c r="DL192" s="16757"/>
      <c r="DM192" s="16757"/>
      <c r="DN192" s="17067"/>
      <c r="DO192" s="16765"/>
      <c r="DP192" s="16760"/>
      <c r="DQ192" s="16765"/>
      <c r="DR192" s="16760"/>
      <c r="DS192" s="17062"/>
      <c r="DT192" s="17062"/>
      <c r="DU192" s="17062"/>
      <c r="DV192" s="17062"/>
      <c r="DW192" s="17063"/>
      <c r="DX192" s="17064"/>
      <c r="DY192" s="17065"/>
      <c r="DZ192" s="17064"/>
      <c r="EA192" s="17065"/>
      <c r="EB192" s="11506"/>
      <c r="EC192" s="11511" t="s">
        <v>524</v>
      </c>
      <c r="ED192" s="11471"/>
      <c r="EE192" s="11472"/>
      <c r="EF192" s="11472"/>
      <c r="EG192" s="11472"/>
      <c r="EH192" s="11472"/>
      <c r="EI192" s="11462">
        <v>0</v>
      </c>
    </row>
    <row s="36963" customFormat="1" customHeight="1" ht="14.25">
      <c r="A193" s="8474"/>
      <c r="B193" s="8474"/>
      <c r="C193" s="8474"/>
      <c r="D193" s="8474"/>
      <c r="E193" s="11456"/>
      <c r="F193" s="11456">
        <v>1</v>
      </c>
      <c r="G193" s="11456"/>
      <c r="H193" s="11456"/>
      <c r="I193" s="11491"/>
      <c r="J193" s="11491"/>
      <c r="K193" s="11491"/>
      <c r="L193" s="11479"/>
      <c r="M193" s="11458"/>
      <c r="N193" s="11462"/>
      <c r="O193" s="11462"/>
      <c r="P193" s="11462"/>
      <c r="Q193" s="11481"/>
      <c r="R193" s="11481"/>
      <c r="S193" s="11481"/>
      <c r="T193" s="11492"/>
      <c r="U193" s="11513"/>
      <c r="V193" s="11466"/>
      <c r="W193" s="11466"/>
      <c r="X193" s="17062"/>
      <c r="Y193" s="17062"/>
      <c r="Z193" s="17062"/>
      <c r="AA193" s="17062"/>
      <c r="AB193" s="17063"/>
      <c r="AC193" s="17064"/>
      <c r="AD193" s="17065"/>
      <c r="AE193" s="17064"/>
      <c r="AF193" s="17065"/>
      <c r="AG193" s="11515"/>
      <c r="AH193" s="11506"/>
      <c r="AI193" s="11506"/>
      <c r="AJ193" s="11506"/>
      <c r="AK193" s="11516" t="str">
        <f>AL191&amp;"-"&amp;AN191</f>
        <v>45292-45473</v>
      </c>
      <c r="AL193" s="11510"/>
      <c r="AM193" s="8452"/>
      <c r="AN193" s="11510"/>
      <c r="AO193" s="8452"/>
      <c r="AP193" s="16764"/>
      <c r="AQ193" s="16764"/>
      <c r="AR193" s="16764"/>
      <c r="AS193" s="16764"/>
      <c r="AT193" s="16768" t="str">
        <f>AU191&amp;"-"&amp;AW191</f>
        <v>45474-45657</v>
      </c>
      <c r="AU193" s="16765"/>
      <c r="AV193" s="16760"/>
      <c r="AW193" s="16765"/>
      <c r="AX193" s="16760"/>
      <c r="AY193" s="16764"/>
      <c r="AZ193" s="16764"/>
      <c r="BA193" s="16764"/>
      <c r="BB193" s="16764"/>
      <c r="BC193" s="16768" t="str">
        <f>BD191&amp;"-"&amp;BF191</f>
        <v>45658-45838</v>
      </c>
      <c r="BD193" s="16765"/>
      <c r="BE193" s="16760"/>
      <c r="BF193" s="16765"/>
      <c r="BG193" s="16760"/>
      <c r="BH193" s="16764"/>
      <c r="BI193" s="16764"/>
      <c r="BJ193" s="16764"/>
      <c r="BK193" s="16764"/>
      <c r="BL193" s="16768" t="str">
        <f>BM191&amp;"-"&amp;BO191</f>
        <v>45839-46022</v>
      </c>
      <c r="BM193" s="16765"/>
      <c r="BN193" s="16760"/>
      <c r="BO193" s="16765"/>
      <c r="BP193" s="16760"/>
      <c r="BQ193" s="16764"/>
      <c r="BR193" s="16764"/>
      <c r="BS193" s="16764"/>
      <c r="BT193" s="16764"/>
      <c r="BU193" s="16768" t="str">
        <f>BV191&amp;"-"&amp;BX191</f>
        <v>46023-46203</v>
      </c>
      <c r="BV193" s="16765"/>
      <c r="BW193" s="16760"/>
      <c r="BX193" s="16765"/>
      <c r="BY193" s="16760"/>
      <c r="BZ193" s="16764"/>
      <c r="CA193" s="16764"/>
      <c r="CB193" s="16764"/>
      <c r="CC193" s="16764"/>
      <c r="CD193" s="16768" t="str">
        <f>CE191&amp;"-"&amp;CG191</f>
        <v>46204-46387</v>
      </c>
      <c r="CE193" s="16765"/>
      <c r="CF193" s="16760"/>
      <c r="CG193" s="16765"/>
      <c r="CH193" s="16760"/>
      <c r="CI193" s="17068"/>
      <c r="CJ193" s="16764"/>
      <c r="CK193" s="16764"/>
      <c r="CL193" s="16764"/>
      <c r="CM193" s="17069" t="str">
        <f>CN191&amp;"-"&amp;CP191</f>
        <v>46388-46568</v>
      </c>
      <c r="CN193" s="16765"/>
      <c r="CO193" s="16760"/>
      <c r="CP193" s="16765"/>
      <c r="CQ193" s="16760"/>
      <c r="CR193" s="17068"/>
      <c r="CS193" s="16764"/>
      <c r="CT193" s="16764"/>
      <c r="CU193" s="16764"/>
      <c r="CV193" s="17069" t="str">
        <f>CW191&amp;"-"&amp;CY191</f>
        <v>46569-46752</v>
      </c>
      <c r="CW193" s="16765"/>
      <c r="CX193" s="16760"/>
      <c r="CY193" s="16765"/>
      <c r="CZ193" s="16760"/>
      <c r="DA193" s="17068"/>
      <c r="DB193" s="16764"/>
      <c r="DC193" s="16764"/>
      <c r="DD193" s="16764"/>
      <c r="DE193" s="17069" t="str">
        <f>DF191&amp;"-"&amp;DH191</f>
        <v>46753-46934</v>
      </c>
      <c r="DF193" s="16765"/>
      <c r="DG193" s="16760"/>
      <c r="DH193" s="16765"/>
      <c r="DI193" s="16760"/>
      <c r="DJ193" s="17068"/>
      <c r="DK193" s="16764"/>
      <c r="DL193" s="16764"/>
      <c r="DM193" s="16764"/>
      <c r="DN193" s="17069" t="str">
        <f>DO191&amp;"-"&amp;DQ191</f>
        <v>46935-47118</v>
      </c>
      <c r="DO193" s="16765"/>
      <c r="DP193" s="16760"/>
      <c r="DQ193" s="16765"/>
      <c r="DR193" s="16760"/>
      <c r="DS193" s="17062"/>
      <c r="DT193" s="17062"/>
      <c r="DU193" s="17062"/>
      <c r="DV193" s="17062"/>
      <c r="DW193" s="17063"/>
      <c r="DX193" s="17064"/>
      <c r="DY193" s="17065"/>
      <c r="DZ193" s="17064"/>
      <c r="EA193" s="17065"/>
      <c r="EB193" s="11506"/>
      <c r="EC193" s="11517"/>
      <c r="ED193" s="11471"/>
      <c r="EE193" s="11472"/>
      <c r="EF193" s="11472" t="str">
        <f>IF(V193="","",V193)</f>
        <v/>
      </c>
      <c r="EG193" s="11472"/>
      <c r="EH193" s="11472"/>
      <c r="EI193" s="11462">
        <v>0</v>
      </c>
    </row>
    <row s="36964" customFormat="1" customHeight="1" ht="11.25">
      <c r="A194" s="8474"/>
      <c r="B194" s="8474"/>
      <c r="C194" s="8474"/>
      <c r="D194" s="8474"/>
      <c r="E194" s="11456"/>
      <c r="F194" s="11456">
        <v>1</v>
      </c>
      <c r="G194" s="11456"/>
      <c r="H194" s="11456"/>
      <c r="I194" s="11491"/>
      <c r="J194" s="11491"/>
      <c r="K194" s="11479"/>
      <c r="L194" s="8474"/>
      <c r="M194" s="11458"/>
      <c r="N194" s="11462"/>
      <c r="O194" s="11462"/>
      <c r="P194" s="11462"/>
      <c r="Q194" s="11481"/>
      <c r="R194" s="11481"/>
      <c r="S194" s="11481"/>
      <c r="T194" s="11492"/>
      <c r="U194" s="11980"/>
      <c r="V194" s="11981" t="s">
        <v>525</v>
      </c>
      <c r="W194" s="11982"/>
      <c r="X194" s="17062"/>
      <c r="Y194" s="17062"/>
      <c r="Z194" s="17062"/>
      <c r="AA194" s="17062"/>
      <c r="AB194" s="17069" t="str">
        <f>AC191&amp;"-"&amp;AE191</f>
        <v>-</v>
      </c>
      <c r="AC194" s="17065"/>
      <c r="AD194" s="17065"/>
      <c r="AE194" s="17065"/>
      <c r="AF194" s="17065"/>
      <c r="AG194" s="11988"/>
      <c r="AH194" s="11989"/>
      <c r="AI194" s="11990"/>
      <c r="AJ194" s="11991"/>
      <c r="AK194" s="11992"/>
      <c r="AL194" s="11510"/>
      <c r="AM194" s="8452"/>
      <c r="AN194" s="11510"/>
      <c r="AO194" s="8452"/>
      <c r="AP194" s="20175"/>
      <c r="AQ194" s="20176"/>
      <c r="AR194" s="20177"/>
      <c r="AS194" s="20178"/>
      <c r="AT194" s="20179"/>
      <c r="AU194" s="16765"/>
      <c r="AV194" s="16760"/>
      <c r="AW194" s="16765"/>
      <c r="AX194" s="16760"/>
      <c r="AY194" s="20180"/>
      <c r="AZ194" s="20181"/>
      <c r="BA194" s="20182"/>
      <c r="BB194" s="20183"/>
      <c r="BC194" s="20184"/>
      <c r="BD194" s="16765"/>
      <c r="BE194" s="16760"/>
      <c r="BF194" s="16765"/>
      <c r="BG194" s="16760"/>
      <c r="BH194" s="20185"/>
      <c r="BI194" s="20186"/>
      <c r="BJ194" s="20187"/>
      <c r="BK194" s="20188"/>
      <c r="BL194" s="20189"/>
      <c r="BM194" s="16765"/>
      <c r="BN194" s="16760"/>
      <c r="BO194" s="16765"/>
      <c r="BP194" s="16760"/>
      <c r="BQ194" s="20190"/>
      <c r="BR194" s="20191"/>
      <c r="BS194" s="20192"/>
      <c r="BT194" s="20193"/>
      <c r="BU194" s="20194"/>
      <c r="BV194" s="16765"/>
      <c r="BW194" s="16760"/>
      <c r="BX194" s="16765"/>
      <c r="BY194" s="16760"/>
      <c r="BZ194" s="20195"/>
      <c r="CA194" s="20196"/>
      <c r="CB194" s="20197"/>
      <c r="CC194" s="20198"/>
      <c r="CD194" s="20199"/>
      <c r="CE194" s="16765"/>
      <c r="CF194" s="16760"/>
      <c r="CG194" s="16765"/>
      <c r="CH194" s="16760"/>
      <c r="CI194" s="17062"/>
      <c r="CJ194" s="17062"/>
      <c r="CK194" s="17062"/>
      <c r="CL194" s="17062"/>
      <c r="CM194" s="17069" t="str">
        <f>CN191&amp;"-"&amp;CP191</f>
        <v>46388-46568</v>
      </c>
      <c r="CN194" s="17065"/>
      <c r="CO194" s="17065"/>
      <c r="CP194" s="17065"/>
      <c r="CQ194" s="17065"/>
      <c r="CR194" s="17062"/>
      <c r="CS194" s="17062"/>
      <c r="CT194" s="17062"/>
      <c r="CU194" s="17062"/>
      <c r="CV194" s="17069" t="str">
        <f>CW191&amp;"-"&amp;CY191</f>
        <v>46569-46752</v>
      </c>
      <c r="CW194" s="17065"/>
      <c r="CX194" s="17065"/>
      <c r="CY194" s="17065"/>
      <c r="CZ194" s="17065"/>
      <c r="DA194" s="17062"/>
      <c r="DB194" s="17062"/>
      <c r="DC194" s="17062"/>
      <c r="DD194" s="17062"/>
      <c r="DE194" s="17069" t="str">
        <f>DF191&amp;"-"&amp;DH191</f>
        <v>46753-46934</v>
      </c>
      <c r="DF194" s="17065"/>
      <c r="DG194" s="17065"/>
      <c r="DH194" s="17065"/>
      <c r="DI194" s="17065"/>
      <c r="DJ194" s="17062"/>
      <c r="DK194" s="17062"/>
      <c r="DL194" s="17062"/>
      <c r="DM194" s="17062"/>
      <c r="DN194" s="17069" t="str">
        <f>DO191&amp;"-"&amp;DQ191</f>
        <v>46935-47118</v>
      </c>
      <c r="DO194" s="17065"/>
      <c r="DP194" s="17065"/>
      <c r="DQ194" s="17065"/>
      <c r="DR194" s="17065"/>
      <c r="DS194" s="17062"/>
      <c r="DT194" s="17062"/>
      <c r="DU194" s="17062"/>
      <c r="DV194" s="17062"/>
      <c r="DW194" s="17069" t="str">
        <f>DX191&amp;"-"&amp;DZ191</f>
        <v>-</v>
      </c>
      <c r="DX194" s="17065"/>
      <c r="DY194" s="17065"/>
      <c r="DZ194" s="17065"/>
      <c r="EA194" s="17065"/>
      <c r="EB194" s="11993"/>
      <c r="EC194" s="11517"/>
      <c r="ED194" s="11471"/>
      <c r="EE194" s="11472"/>
      <c r="EF194" s="11472"/>
      <c r="EG194" s="11472"/>
      <c r="EH194" s="11472"/>
      <c r="EI194" s="11462">
        <v>0</v>
      </c>
    </row>
    <row s="36999" customFormat="1" customHeight="1" ht="15">
      <c r="A195" s="8474"/>
      <c r="B195" s="8474"/>
      <c r="C195" s="8474"/>
      <c r="D195" s="8474"/>
      <c r="E195" s="11456"/>
      <c r="F195" s="11456">
        <v>1</v>
      </c>
      <c r="G195" s="11456"/>
      <c r="H195" s="11456"/>
      <c r="I195" s="11491"/>
      <c r="J195" s="11479"/>
      <c r="K195" s="8474"/>
      <c r="L195" s="8474"/>
      <c r="M195" s="11458"/>
      <c r="N195" s="11462"/>
      <c r="O195" s="11462"/>
      <c r="P195" s="11480"/>
      <c r="Q195" s="11481"/>
      <c r="R195" s="11481"/>
      <c r="S195" s="11481"/>
      <c r="T195" s="11482"/>
      <c r="U195" s="11995"/>
      <c r="V195" s="11996" t="s">
        <v>471</v>
      </c>
      <c r="W195" s="11997"/>
      <c r="X195" s="11998"/>
      <c r="Y195" s="11999"/>
      <c r="Z195" s="12000"/>
      <c r="AA195" s="12001"/>
      <c r="AB195" s="12002"/>
      <c r="AC195" s="12003"/>
      <c r="AD195" s="12004"/>
      <c r="AE195" s="12005"/>
      <c r="AF195" s="12006"/>
      <c r="AG195" s="12007"/>
      <c r="AH195" s="12008"/>
      <c r="AI195" s="12009"/>
      <c r="AJ195" s="12010"/>
      <c r="AK195" s="12011"/>
      <c r="AL195" s="12012"/>
      <c r="AM195" s="12013"/>
      <c r="AN195" s="12014"/>
      <c r="AO195" s="12015"/>
      <c r="AP195" s="20223"/>
      <c r="AQ195" s="20224"/>
      <c r="AR195" s="20225"/>
      <c r="AS195" s="20226"/>
      <c r="AT195" s="20227"/>
      <c r="AU195" s="20228"/>
      <c r="AV195" s="20229"/>
      <c r="AW195" s="20230"/>
      <c r="AX195" s="20231"/>
      <c r="AY195" s="20232"/>
      <c r="AZ195" s="20233"/>
      <c r="BA195" s="20234"/>
      <c r="BB195" s="20235"/>
      <c r="BC195" s="20236"/>
      <c r="BD195" s="20237"/>
      <c r="BE195" s="20238"/>
      <c r="BF195" s="20239"/>
      <c r="BG195" s="20240"/>
      <c r="BH195" s="20241"/>
      <c r="BI195" s="20242"/>
      <c r="BJ195" s="20243"/>
      <c r="BK195" s="20244"/>
      <c r="BL195" s="20245"/>
      <c r="BM195" s="20246"/>
      <c r="BN195" s="20247"/>
      <c r="BO195" s="20248"/>
      <c r="BP195" s="20249"/>
      <c r="BQ195" s="20250"/>
      <c r="BR195" s="20251"/>
      <c r="BS195" s="20252"/>
      <c r="BT195" s="20253"/>
      <c r="BU195" s="20254"/>
      <c r="BV195" s="20255"/>
      <c r="BW195" s="20256"/>
      <c r="BX195" s="20257"/>
      <c r="BY195" s="20258"/>
      <c r="BZ195" s="20259"/>
      <c r="CA195" s="20260"/>
      <c r="CB195" s="20261"/>
      <c r="CC195" s="20262"/>
      <c r="CD195" s="20263"/>
      <c r="CE195" s="20264"/>
      <c r="CF195" s="20265"/>
      <c r="CG195" s="20266"/>
      <c r="CH195" s="20267"/>
      <c r="CI195" s="20268"/>
      <c r="CJ195" s="20269"/>
      <c r="CK195" s="20270"/>
      <c r="CL195" s="20271"/>
      <c r="CM195" s="20272"/>
      <c r="CN195" s="20273"/>
      <c r="CO195" s="20274"/>
      <c r="CP195" s="20275"/>
      <c r="CQ195" s="20276"/>
      <c r="CR195" s="20277"/>
      <c r="CS195" s="20278"/>
      <c r="CT195" s="20279"/>
      <c r="CU195" s="20280"/>
      <c r="CV195" s="20281"/>
      <c r="CW195" s="20282"/>
      <c r="CX195" s="20283"/>
      <c r="CY195" s="20284"/>
      <c r="CZ195" s="20285"/>
      <c r="DA195" s="20286"/>
      <c r="DB195" s="20287"/>
      <c r="DC195" s="20288"/>
      <c r="DD195" s="20289"/>
      <c r="DE195" s="20290"/>
      <c r="DF195" s="20291"/>
      <c r="DG195" s="20292"/>
      <c r="DH195" s="20293"/>
      <c r="DI195" s="20294"/>
      <c r="DJ195" s="20295"/>
      <c r="DK195" s="20296"/>
      <c r="DL195" s="20297"/>
      <c r="DM195" s="20298"/>
      <c r="DN195" s="20299"/>
      <c r="DO195" s="20300"/>
      <c r="DP195" s="20301"/>
      <c r="DQ195" s="20302"/>
      <c r="DR195" s="20303"/>
      <c r="DS195" s="20304"/>
      <c r="DT195" s="20305"/>
      <c r="DU195" s="20306"/>
      <c r="DV195" s="20307"/>
      <c r="DW195" s="20308"/>
      <c r="DX195" s="20309"/>
      <c r="DY195" s="20310"/>
      <c r="DZ195" s="20311"/>
      <c r="EA195" s="20312"/>
      <c r="EB195" s="12016"/>
      <c r="EC195" s="11556"/>
      <c r="ED195" s="11471"/>
      <c r="EE195" s="11472"/>
      <c r="EF195" s="11472" t="str">
        <f>IF(V195="","",V195)</f>
        <v>Добавить вид теплоносителя (параметры теплоносителя)</v>
      </c>
      <c r="EG195" s="11472"/>
      <c r="EH195" s="11472"/>
      <c r="EI195" s="11462">
        <v>0</v>
      </c>
    </row>
    <row s="37112" customFormat="1" customHeight="1" ht="11.25">
      <c r="A196" s="8474"/>
      <c r="B196" s="8474"/>
      <c r="C196" s="8474"/>
      <c r="D196" s="8474"/>
      <c r="E196" s="11456"/>
      <c r="F196" s="11456">
        <v>1</v>
      </c>
      <c r="G196" s="11456"/>
      <c r="H196" s="11456"/>
      <c r="I196" s="11479"/>
      <c r="J196" s="8474"/>
      <c r="K196" s="8474"/>
      <c r="L196" s="8474"/>
      <c r="M196" s="11458"/>
      <c r="N196" s="11462"/>
      <c r="O196" s="11480"/>
      <c r="P196" s="11480"/>
      <c r="Q196" s="11481"/>
      <c r="R196" s="11481"/>
      <c r="S196" s="11481"/>
      <c r="T196" s="11482"/>
      <c r="U196" s="12018"/>
      <c r="V196" s="12019" t="s">
        <v>472</v>
      </c>
      <c r="W196" s="12020"/>
      <c r="X196" s="12021"/>
      <c r="Y196" s="12022"/>
      <c r="Z196" s="12023"/>
      <c r="AA196" s="12024"/>
      <c r="AB196" s="12025"/>
      <c r="AC196" s="12026"/>
      <c r="AD196" s="12027"/>
      <c r="AE196" s="12028"/>
      <c r="AF196" s="12029"/>
      <c r="AG196" s="12030"/>
      <c r="AH196" s="12031"/>
      <c r="AI196" s="12032"/>
      <c r="AJ196" s="12033"/>
      <c r="AK196" s="12034"/>
      <c r="AL196" s="12035"/>
      <c r="AM196" s="12036"/>
      <c r="AN196" s="12037"/>
      <c r="AO196" s="12038"/>
      <c r="AP196" s="20336"/>
      <c r="AQ196" s="20337"/>
      <c r="AR196" s="20338"/>
      <c r="AS196" s="20339"/>
      <c r="AT196" s="20340"/>
      <c r="AU196" s="20341"/>
      <c r="AV196" s="20342"/>
      <c r="AW196" s="20343"/>
      <c r="AX196" s="20344"/>
      <c r="AY196" s="20345"/>
      <c r="AZ196" s="20346"/>
      <c r="BA196" s="20347"/>
      <c r="BB196" s="20348"/>
      <c r="BC196" s="20349"/>
      <c r="BD196" s="20350"/>
      <c r="BE196" s="20351"/>
      <c r="BF196" s="20352"/>
      <c r="BG196" s="20353"/>
      <c r="BH196" s="20354"/>
      <c r="BI196" s="20355"/>
      <c r="BJ196" s="20356"/>
      <c r="BK196" s="20357"/>
      <c r="BL196" s="20358"/>
      <c r="BM196" s="20359"/>
      <c r="BN196" s="20360"/>
      <c r="BO196" s="20361"/>
      <c r="BP196" s="20362"/>
      <c r="BQ196" s="20363"/>
      <c r="BR196" s="20364"/>
      <c r="BS196" s="20365"/>
      <c r="BT196" s="20366"/>
      <c r="BU196" s="20367"/>
      <c r="BV196" s="20368"/>
      <c r="BW196" s="20369"/>
      <c r="BX196" s="20370"/>
      <c r="BY196" s="20371"/>
      <c r="BZ196" s="20372"/>
      <c r="CA196" s="20373"/>
      <c r="CB196" s="20374"/>
      <c r="CC196" s="20375"/>
      <c r="CD196" s="20376"/>
      <c r="CE196" s="20377"/>
      <c r="CF196" s="20378"/>
      <c r="CG196" s="20379"/>
      <c r="CH196" s="20380"/>
      <c r="CI196" s="20381"/>
      <c r="CJ196" s="20382"/>
      <c r="CK196" s="20383"/>
      <c r="CL196" s="20384"/>
      <c r="CM196" s="20385"/>
      <c r="CN196" s="20386"/>
      <c r="CO196" s="20387"/>
      <c r="CP196" s="20388"/>
      <c r="CQ196" s="20389"/>
      <c r="CR196" s="20390"/>
      <c r="CS196" s="20391"/>
      <c r="CT196" s="20392"/>
      <c r="CU196" s="20393"/>
      <c r="CV196" s="20394"/>
      <c r="CW196" s="20395"/>
      <c r="CX196" s="20396"/>
      <c r="CY196" s="20397"/>
      <c r="CZ196" s="20398"/>
      <c r="DA196" s="20399"/>
      <c r="DB196" s="20400"/>
      <c r="DC196" s="20401"/>
      <c r="DD196" s="20402"/>
      <c r="DE196" s="20403"/>
      <c r="DF196" s="20404"/>
      <c r="DG196" s="20405"/>
      <c r="DH196" s="20406"/>
      <c r="DI196" s="20407"/>
      <c r="DJ196" s="20408"/>
      <c r="DK196" s="20409"/>
      <c r="DL196" s="20410"/>
      <c r="DM196" s="20411"/>
      <c r="DN196" s="20412"/>
      <c r="DO196" s="20413"/>
      <c r="DP196" s="20414"/>
      <c r="DQ196" s="20415"/>
      <c r="DR196" s="20416"/>
      <c r="DS196" s="20417"/>
      <c r="DT196" s="20418"/>
      <c r="DU196" s="20419"/>
      <c r="DV196" s="20420"/>
      <c r="DW196" s="20421"/>
      <c r="DX196" s="20422"/>
      <c r="DY196" s="20423"/>
      <c r="DZ196" s="20424"/>
      <c r="EA196" s="20425"/>
      <c r="EB196" s="12039"/>
      <c r="EC196" s="12040"/>
      <c r="ED196" s="11471"/>
      <c r="EE196" s="11472"/>
      <c r="EF196" s="11472" t="str">
        <f>IF(V196="","",V196)</f>
        <v>Добавить группу потребителей</v>
      </c>
      <c r="EG196" s="11472"/>
      <c r="EH196" s="11472"/>
      <c r="EI196" s="11462">
        <v>0</v>
      </c>
    </row>
    <row s="37226" customFormat="1" customHeight="1" ht="14.25">
      <c r="A197" s="8474"/>
      <c r="B197" s="8474"/>
      <c r="C197" s="8474"/>
      <c r="D197" s="8474"/>
      <c r="E197" s="11456"/>
      <c r="F197" s="11456">
        <v>1</v>
      </c>
      <c r="G197" s="11456"/>
      <c r="H197" s="11457"/>
      <c r="I197" s="8474"/>
      <c r="J197" s="8474"/>
      <c r="K197" s="8474"/>
      <c r="L197" s="8474"/>
      <c r="M197" s="11458"/>
      <c r="N197" s="11459"/>
      <c r="O197" s="11459"/>
      <c r="P197" s="11462"/>
      <c r="Q197" s="11582"/>
      <c r="R197" s="11583"/>
      <c r="S197" s="11584"/>
      <c r="T197" s="11582"/>
      <c r="U197" s="11585"/>
      <c r="V197" s="11586"/>
      <c r="W197" s="11587"/>
      <c r="X197" s="11587"/>
      <c r="Y197" s="11587"/>
      <c r="Z197" s="11587"/>
      <c r="AA197" s="11587"/>
      <c r="AB197" s="11587"/>
      <c r="AC197" s="11587"/>
      <c r="AD197" s="11587"/>
      <c r="AE197" s="11587"/>
      <c r="AF197" s="11587"/>
      <c r="AG197" s="11587"/>
      <c r="AH197" s="11587"/>
      <c r="AI197" s="11587"/>
      <c r="AJ197" s="11587"/>
      <c r="AK197" s="11587"/>
      <c r="AL197" s="11587"/>
      <c r="AM197" s="11587"/>
      <c r="AN197" s="11587"/>
      <c r="AO197" s="11587"/>
      <c r="AP197" s="17004"/>
      <c r="AQ197" s="17004"/>
      <c r="AR197" s="17004"/>
      <c r="AS197" s="17004"/>
      <c r="AT197" s="17004"/>
      <c r="AU197" s="17004"/>
      <c r="AV197" s="17004"/>
      <c r="AW197" s="17004"/>
      <c r="AX197" s="17004"/>
      <c r="AY197" s="17004"/>
      <c r="AZ197" s="17004"/>
      <c r="BA197" s="17004"/>
      <c r="BB197" s="17004"/>
      <c r="BC197" s="17004"/>
      <c r="BD197" s="17004"/>
      <c r="BE197" s="17004"/>
      <c r="BF197" s="17004"/>
      <c r="BG197" s="17004"/>
      <c r="BH197" s="17004"/>
      <c r="BI197" s="17004"/>
      <c r="BJ197" s="17004"/>
      <c r="BK197" s="17004"/>
      <c r="BL197" s="17004"/>
      <c r="BM197" s="17004"/>
      <c r="BN197" s="17004"/>
      <c r="BO197" s="17004"/>
      <c r="BP197" s="17004"/>
      <c r="BQ197" s="17004"/>
      <c r="BR197" s="17004"/>
      <c r="BS197" s="17004"/>
      <c r="BT197" s="17004"/>
      <c r="BU197" s="17004"/>
      <c r="BV197" s="17004"/>
      <c r="BW197" s="17004"/>
      <c r="BX197" s="17004"/>
      <c r="BY197" s="17004"/>
      <c r="BZ197" s="17004"/>
      <c r="CA197" s="17004"/>
      <c r="CB197" s="17004"/>
      <c r="CC197" s="17004"/>
      <c r="CD197" s="17004"/>
      <c r="CE197" s="17004"/>
      <c r="CF197" s="17004"/>
      <c r="CG197" s="17004"/>
      <c r="CH197" s="17004"/>
      <c r="CI197" s="17004"/>
      <c r="CJ197" s="17004"/>
      <c r="CK197" s="17004"/>
      <c r="CL197" s="17004"/>
      <c r="CM197" s="17004"/>
      <c r="CN197" s="17004"/>
      <c r="CO197" s="17004"/>
      <c r="CP197" s="17004"/>
      <c r="CQ197" s="17004"/>
      <c r="CR197" s="17004"/>
      <c r="CS197" s="17004"/>
      <c r="CT197" s="17004"/>
      <c r="CU197" s="17004"/>
      <c r="CV197" s="17004"/>
      <c r="CW197" s="17004"/>
      <c r="CX197" s="17004"/>
      <c r="CY197" s="17004"/>
      <c r="CZ197" s="17004"/>
      <c r="DA197" s="17004"/>
      <c r="DB197" s="17004"/>
      <c r="DC197" s="17004"/>
      <c r="DD197" s="17004"/>
      <c r="DE197" s="17004"/>
      <c r="DF197" s="17004"/>
      <c r="DG197" s="17004"/>
      <c r="DH197" s="17004"/>
      <c r="DI197" s="17004"/>
      <c r="DJ197" s="17004"/>
      <c r="DK197" s="17004"/>
      <c r="DL197" s="17004"/>
      <c r="DM197" s="17004"/>
      <c r="DN197" s="17004"/>
      <c r="DO197" s="17004"/>
      <c r="DP197" s="17004"/>
      <c r="DQ197" s="17004"/>
      <c r="DR197" s="17004"/>
      <c r="DS197" s="17004"/>
      <c r="DT197" s="17004"/>
      <c r="DU197" s="17004"/>
      <c r="DV197" s="17004"/>
      <c r="DW197" s="17004"/>
      <c r="DX197" s="17004"/>
      <c r="DY197" s="17004"/>
      <c r="DZ197" s="17004"/>
      <c r="EA197" s="17004"/>
      <c r="EB197" s="11587"/>
      <c r="EC197" s="11588"/>
      <c r="ED197" s="11471"/>
      <c r="EE197" s="11472"/>
      <c r="EF197" s="11472" t="str">
        <f>IF(V197="","",V197)</f>
        <v/>
      </c>
      <c r="EG197" s="11472"/>
      <c r="EH197" s="11472"/>
      <c r="EI197" s="11462">
        <v>0</v>
      </c>
    </row>
    <row s="37227" customFormat="1" customHeight="1" ht="14.25">
      <c r="A198" s="11590"/>
      <c r="B198" s="11590"/>
      <c r="C198" s="11590"/>
      <c r="D198" s="11590"/>
      <c r="E198" s="11456"/>
      <c r="F198" s="11456">
        <v>1</v>
      </c>
      <c r="G198" s="11457"/>
      <c r="H198" s="11590"/>
      <c r="I198" s="11590"/>
      <c r="J198" s="11590"/>
      <c r="K198" s="11590"/>
      <c r="L198" s="11590"/>
      <c r="M198" s="11591"/>
      <c r="N198" s="11592"/>
      <c r="O198" s="11592"/>
      <c r="P198" s="11593"/>
      <c r="Q198" s="11594"/>
      <c r="R198" s="11595"/>
      <c r="S198" s="11594"/>
      <c r="T198" s="11594"/>
      <c r="U198" s="11596"/>
      <c r="V198" s="11597" t="s">
        <v>213</v>
      </c>
      <c r="W198" s="11598"/>
      <c r="X198" s="11598"/>
      <c r="Y198" s="11598"/>
      <c r="Z198" s="11598"/>
      <c r="AA198" s="11598"/>
      <c r="AB198" s="11598"/>
      <c r="AC198" s="11598"/>
      <c r="AD198" s="11598"/>
      <c r="AE198" s="11598"/>
      <c r="AF198" s="11598"/>
      <c r="AG198" s="11598"/>
      <c r="AH198" s="11598"/>
      <c r="AI198" s="11598"/>
      <c r="AJ198" s="11598"/>
      <c r="AK198" s="11598"/>
      <c r="AL198" s="11598"/>
      <c r="AM198" s="11598"/>
      <c r="AN198" s="11598"/>
      <c r="AO198" s="11598"/>
      <c r="AP198" s="17005"/>
      <c r="AQ198" s="17005"/>
      <c r="AR198" s="17005"/>
      <c r="AS198" s="17005"/>
      <c r="AT198" s="17005"/>
      <c r="AU198" s="17005"/>
      <c r="AV198" s="17005"/>
      <c r="AW198" s="17005"/>
      <c r="AX198" s="17005"/>
      <c r="AY198" s="17005"/>
      <c r="AZ198" s="17005"/>
      <c r="BA198" s="17005"/>
      <c r="BB198" s="17005"/>
      <c r="BC198" s="17005"/>
      <c r="BD198" s="17005"/>
      <c r="BE198" s="17005"/>
      <c r="BF198" s="17005"/>
      <c r="BG198" s="17005"/>
      <c r="BH198" s="17005"/>
      <c r="BI198" s="17005"/>
      <c r="BJ198" s="17005"/>
      <c r="BK198" s="17005"/>
      <c r="BL198" s="17005"/>
      <c r="BM198" s="17005"/>
      <c r="BN198" s="17005"/>
      <c r="BO198" s="17005"/>
      <c r="BP198" s="17005"/>
      <c r="BQ198" s="17005"/>
      <c r="BR198" s="17005"/>
      <c r="BS198" s="17005"/>
      <c r="BT198" s="17005"/>
      <c r="BU198" s="17005"/>
      <c r="BV198" s="17005"/>
      <c r="BW198" s="17005"/>
      <c r="BX198" s="17005"/>
      <c r="BY198" s="17005"/>
      <c r="BZ198" s="17005"/>
      <c r="CA198" s="17005"/>
      <c r="CB198" s="17005"/>
      <c r="CC198" s="17005"/>
      <c r="CD198" s="17005"/>
      <c r="CE198" s="17005"/>
      <c r="CF198" s="17005"/>
      <c r="CG198" s="17005"/>
      <c r="CH198" s="17005"/>
      <c r="CI198" s="17005"/>
      <c r="CJ198" s="17005"/>
      <c r="CK198" s="17005"/>
      <c r="CL198" s="17005"/>
      <c r="CM198" s="17005"/>
      <c r="CN198" s="17005"/>
      <c r="CO198" s="17005"/>
      <c r="CP198" s="17005"/>
      <c r="CQ198" s="17005"/>
      <c r="CR198" s="17005"/>
      <c r="CS198" s="17005"/>
      <c r="CT198" s="17005"/>
      <c r="CU198" s="17005"/>
      <c r="CV198" s="17005"/>
      <c r="CW198" s="17005"/>
      <c r="CX198" s="17005"/>
      <c r="CY198" s="17005"/>
      <c r="CZ198" s="17005"/>
      <c r="DA198" s="17005"/>
      <c r="DB198" s="17005"/>
      <c r="DC198" s="17005"/>
      <c r="DD198" s="17005"/>
      <c r="DE198" s="17005"/>
      <c r="DF198" s="17005"/>
      <c r="DG198" s="17005"/>
      <c r="DH198" s="17005"/>
      <c r="DI198" s="17005"/>
      <c r="DJ198" s="17005"/>
      <c r="DK198" s="17005"/>
      <c r="DL198" s="17005"/>
      <c r="DM198" s="17005"/>
      <c r="DN198" s="17005"/>
      <c r="DO198" s="17005"/>
      <c r="DP198" s="17005"/>
      <c r="DQ198" s="17005"/>
      <c r="DR198" s="17005"/>
      <c r="DS198" s="17005"/>
      <c r="DT198" s="17005"/>
      <c r="DU198" s="17005"/>
      <c r="DV198" s="17005"/>
      <c r="DW198" s="17005"/>
      <c r="DX198" s="17005"/>
      <c r="DY198" s="17005"/>
      <c r="DZ198" s="17005"/>
      <c r="EA198" s="17005"/>
      <c r="EB198" s="11598"/>
      <c r="EC198" s="11598"/>
      <c r="ED198" s="11471"/>
      <c r="EE198" s="11472"/>
      <c r="EF198" s="11472" t="str">
        <f>IF(V198="","",V198)</f>
        <v>Добавить источник для дифференциации</v>
      </c>
      <c r="EG198" s="11472"/>
      <c r="EH198" s="11472"/>
      <c r="EI198" s="11471">
        <v>0</v>
      </c>
    </row>
    <row s="37228" customFormat="1" customHeight="1" ht="14.25">
      <c r="A199" s="11590"/>
      <c r="B199" s="11590"/>
      <c r="C199" s="11590"/>
      <c r="D199" s="11590"/>
      <c r="E199" s="11456"/>
      <c r="F199" s="11457">
        <v>1</v>
      </c>
      <c r="G199" s="11590"/>
      <c r="H199" s="11590"/>
      <c r="I199" s="11590"/>
      <c r="J199" s="11590"/>
      <c r="K199" s="11590"/>
      <c r="L199" s="11590"/>
      <c r="M199" s="11591"/>
      <c r="N199" s="11600"/>
      <c r="O199" s="11600"/>
      <c r="P199" s="11593"/>
      <c r="Q199" s="11594"/>
      <c r="R199" s="11595"/>
      <c r="S199" s="11594"/>
      <c r="T199" s="11594"/>
      <c r="U199" s="11601"/>
      <c r="V199" s="11602" t="s">
        <v>214</v>
      </c>
      <c r="W199" s="11603"/>
      <c r="X199" s="11603"/>
      <c r="Y199" s="11603"/>
      <c r="Z199" s="11603"/>
      <c r="AA199" s="11603"/>
      <c r="AB199" s="11603"/>
      <c r="AC199" s="11603"/>
      <c r="AD199" s="11603"/>
      <c r="AE199" s="11603"/>
      <c r="AF199" s="11603"/>
      <c r="AG199" s="11603"/>
      <c r="AH199" s="11603"/>
      <c r="AI199" s="11603"/>
      <c r="AJ199" s="11603"/>
      <c r="AK199" s="11603"/>
      <c r="AL199" s="11603"/>
      <c r="AM199" s="11603"/>
      <c r="AN199" s="11603"/>
      <c r="AO199" s="11603"/>
      <c r="AP199" s="17006"/>
      <c r="AQ199" s="17006"/>
      <c r="AR199" s="17006"/>
      <c r="AS199" s="17006"/>
      <c r="AT199" s="17006"/>
      <c r="AU199" s="17006"/>
      <c r="AV199" s="17006"/>
      <c r="AW199" s="17006"/>
      <c r="AX199" s="17006"/>
      <c r="AY199" s="17006"/>
      <c r="AZ199" s="17006"/>
      <c r="BA199" s="17006"/>
      <c r="BB199" s="17006"/>
      <c r="BC199" s="17006"/>
      <c r="BD199" s="17006"/>
      <c r="BE199" s="17006"/>
      <c r="BF199" s="17006"/>
      <c r="BG199" s="17006"/>
      <c r="BH199" s="17006"/>
      <c r="BI199" s="17006"/>
      <c r="BJ199" s="17006"/>
      <c r="BK199" s="17006"/>
      <c r="BL199" s="17006"/>
      <c r="BM199" s="17006"/>
      <c r="BN199" s="17006"/>
      <c r="BO199" s="17006"/>
      <c r="BP199" s="17006"/>
      <c r="BQ199" s="17006"/>
      <c r="BR199" s="17006"/>
      <c r="BS199" s="17006"/>
      <c r="BT199" s="17006"/>
      <c r="BU199" s="17006"/>
      <c r="BV199" s="17006"/>
      <c r="BW199" s="17006"/>
      <c r="BX199" s="17006"/>
      <c r="BY199" s="17006"/>
      <c r="BZ199" s="17006"/>
      <c r="CA199" s="17006"/>
      <c r="CB199" s="17006"/>
      <c r="CC199" s="17006"/>
      <c r="CD199" s="17006"/>
      <c r="CE199" s="17006"/>
      <c r="CF199" s="17006"/>
      <c r="CG199" s="17006"/>
      <c r="CH199" s="17006"/>
      <c r="CI199" s="17006"/>
      <c r="CJ199" s="17006"/>
      <c r="CK199" s="17006"/>
      <c r="CL199" s="17006"/>
      <c r="CM199" s="17006"/>
      <c r="CN199" s="17006"/>
      <c r="CO199" s="17006"/>
      <c r="CP199" s="17006"/>
      <c r="CQ199" s="17006"/>
      <c r="CR199" s="17006"/>
      <c r="CS199" s="17006"/>
      <c r="CT199" s="17006"/>
      <c r="CU199" s="17006"/>
      <c r="CV199" s="17006"/>
      <c r="CW199" s="17006"/>
      <c r="CX199" s="17006"/>
      <c r="CY199" s="17006"/>
      <c r="CZ199" s="17006"/>
      <c r="DA199" s="17006"/>
      <c r="DB199" s="17006"/>
      <c r="DC199" s="17006"/>
      <c r="DD199" s="17006"/>
      <c r="DE199" s="17006"/>
      <c r="DF199" s="17006"/>
      <c r="DG199" s="17006"/>
      <c r="DH199" s="17006"/>
      <c r="DI199" s="17006"/>
      <c r="DJ199" s="17006"/>
      <c r="DK199" s="17006"/>
      <c r="DL199" s="17006"/>
      <c r="DM199" s="17006"/>
      <c r="DN199" s="17006"/>
      <c r="DO199" s="17006"/>
      <c r="DP199" s="17006"/>
      <c r="DQ199" s="17006"/>
      <c r="DR199" s="17006"/>
      <c r="DS199" s="17006"/>
      <c r="DT199" s="17006"/>
      <c r="DU199" s="17006"/>
      <c r="DV199" s="17006"/>
      <c r="DW199" s="17006"/>
      <c r="DX199" s="17006"/>
      <c r="DY199" s="17006"/>
      <c r="DZ199" s="17006"/>
      <c r="EA199" s="17006"/>
      <c r="EB199" s="11603"/>
      <c r="EC199" s="11603"/>
      <c r="ED199" s="11471"/>
      <c r="EE199" s="11472"/>
      <c r="EF199" s="11472" t="str">
        <f>IF(V199="","",V199)</f>
        <v>Добавить централизованную систему для дифференциации</v>
      </c>
      <c r="EG199" s="11472"/>
      <c r="EH199" s="11472"/>
      <c r="EI199" s="11471">
        <v>0</v>
      </c>
    </row>
    <row s="37229" customFormat="1" customHeight="1" ht="14.25">
      <c r="A200" s="11590"/>
      <c r="B200" s="11590"/>
      <c r="C200" s="11590"/>
      <c r="D200" s="11590"/>
      <c r="E200" s="11457">
        <v>1</v>
      </c>
      <c r="F200" s="11590"/>
      <c r="G200" s="11590"/>
      <c r="H200" s="11590"/>
      <c r="I200" s="11590"/>
      <c r="J200" s="11590"/>
      <c r="K200" s="11590"/>
      <c r="L200" s="11590"/>
      <c r="M200" s="11591"/>
      <c r="N200" s="11600"/>
      <c r="O200" s="11600"/>
      <c r="P200" s="11593"/>
      <c r="Q200" s="11594"/>
      <c r="R200" s="11595"/>
      <c r="S200" s="11594"/>
      <c r="T200" s="11594"/>
      <c r="U200" s="11601"/>
      <c r="V200" s="12045" t="s">
        <v>230</v>
      </c>
      <c r="W200" s="11603"/>
      <c r="X200" s="11603"/>
      <c r="Y200" s="11603"/>
      <c r="Z200" s="11603"/>
      <c r="AA200" s="11603"/>
      <c r="AB200" s="11603"/>
      <c r="AC200" s="11603"/>
      <c r="AD200" s="11603"/>
      <c r="AE200" s="11603"/>
      <c r="AF200" s="11603"/>
      <c r="AG200" s="11603"/>
      <c r="AH200" s="11603"/>
      <c r="AI200" s="11603"/>
      <c r="AJ200" s="11603"/>
      <c r="AK200" s="11603"/>
      <c r="AL200" s="11603"/>
      <c r="AM200" s="11603"/>
      <c r="AN200" s="11603"/>
      <c r="AO200" s="11603"/>
      <c r="AP200" s="17006"/>
      <c r="AQ200" s="17006"/>
      <c r="AR200" s="17006"/>
      <c r="AS200" s="17006"/>
      <c r="AT200" s="17006"/>
      <c r="AU200" s="17006"/>
      <c r="AV200" s="17006"/>
      <c r="AW200" s="17006"/>
      <c r="AX200" s="17006"/>
      <c r="AY200" s="17006"/>
      <c r="AZ200" s="17006"/>
      <c r="BA200" s="17006"/>
      <c r="BB200" s="17006"/>
      <c r="BC200" s="17006"/>
      <c r="BD200" s="17006"/>
      <c r="BE200" s="17006"/>
      <c r="BF200" s="17006"/>
      <c r="BG200" s="17006"/>
      <c r="BH200" s="17006"/>
      <c r="BI200" s="17006"/>
      <c r="BJ200" s="17006"/>
      <c r="BK200" s="17006"/>
      <c r="BL200" s="17006"/>
      <c r="BM200" s="17006"/>
      <c r="BN200" s="17006"/>
      <c r="BO200" s="17006"/>
      <c r="BP200" s="17006"/>
      <c r="BQ200" s="17006"/>
      <c r="BR200" s="17006"/>
      <c r="BS200" s="17006"/>
      <c r="BT200" s="17006"/>
      <c r="BU200" s="17006"/>
      <c r="BV200" s="17006"/>
      <c r="BW200" s="17006"/>
      <c r="BX200" s="17006"/>
      <c r="BY200" s="17006"/>
      <c r="BZ200" s="17006"/>
      <c r="CA200" s="17006"/>
      <c r="CB200" s="17006"/>
      <c r="CC200" s="17006"/>
      <c r="CD200" s="17006"/>
      <c r="CE200" s="17006"/>
      <c r="CF200" s="17006"/>
      <c r="CG200" s="17006"/>
      <c r="CH200" s="17006"/>
      <c r="CI200" s="17006"/>
      <c r="CJ200" s="17006"/>
      <c r="CK200" s="17006"/>
      <c r="CL200" s="17006"/>
      <c r="CM200" s="17006"/>
      <c r="CN200" s="17006"/>
      <c r="CO200" s="17006"/>
      <c r="CP200" s="17006"/>
      <c r="CQ200" s="17006"/>
      <c r="CR200" s="17006"/>
      <c r="CS200" s="17006"/>
      <c r="CT200" s="17006"/>
      <c r="CU200" s="17006"/>
      <c r="CV200" s="17006"/>
      <c r="CW200" s="17006"/>
      <c r="CX200" s="17006"/>
      <c r="CY200" s="17006"/>
      <c r="CZ200" s="17006"/>
      <c r="DA200" s="17006"/>
      <c r="DB200" s="17006"/>
      <c r="DC200" s="17006"/>
      <c r="DD200" s="17006"/>
      <c r="DE200" s="17006"/>
      <c r="DF200" s="17006"/>
      <c r="DG200" s="17006"/>
      <c r="DH200" s="17006"/>
      <c r="DI200" s="17006"/>
      <c r="DJ200" s="17006"/>
      <c r="DK200" s="17006"/>
      <c r="DL200" s="17006"/>
      <c r="DM200" s="17006"/>
      <c r="DN200" s="17006"/>
      <c r="DO200" s="17006"/>
      <c r="DP200" s="17006"/>
      <c r="DQ200" s="17006"/>
      <c r="DR200" s="17006"/>
      <c r="DS200" s="17006"/>
      <c r="DT200" s="17006"/>
      <c r="DU200" s="17006"/>
      <c r="DV200" s="17006"/>
      <c r="DW200" s="17006"/>
      <c r="DX200" s="17006"/>
      <c r="DY200" s="17006"/>
      <c r="DZ200" s="17006"/>
      <c r="EA200" s="17006"/>
      <c r="EB200" s="11603"/>
      <c r="EC200" s="11603"/>
      <c r="ED200" s="11471"/>
      <c r="EE200" s="11472"/>
      <c r="EF200" s="11472" t="str">
        <f>IF(V200="","",V200)</f>
        <v>Добавить территорию для дифференциации</v>
      </c>
      <c r="EG200" s="11472"/>
      <c r="EH200" s="11472"/>
      <c r="EI200" s="11471">
        <v>0</v>
      </c>
    </row>
    <row s="30621" customFormat="1" customHeight="1" ht="4.2">
      <c r="A201" s="1658"/>
      <c r="B201" s="1658"/>
      <c r="C201" s="1658"/>
      <c r="D201" s="1658"/>
      <c r="E201" s="1659"/>
      <c r="F201" s="1658"/>
      <c r="G201" s="1658"/>
      <c r="H201" s="1658"/>
      <c r="I201" s="1658"/>
      <c r="J201" s="1658"/>
      <c r="K201" s="1658"/>
      <c r="L201" s="1658"/>
      <c r="M201" s="1661"/>
      <c r="N201" s="1663"/>
      <c r="O201" s="1663"/>
      <c r="P201" s="635"/>
      <c r="Q201" s="1600"/>
      <c r="R201" s="1601"/>
      <c r="S201" s="1600"/>
      <c r="T201" s="1600"/>
      <c r="U201" s="1606"/>
      <c r="V201" s="1609" t="s">
        <v>239</v>
      </c>
      <c r="W201" s="1608"/>
      <c r="X201" s="1608"/>
      <c r="Y201" s="1608"/>
      <c r="Z201" s="1608"/>
      <c r="AA201" s="1608"/>
      <c r="AB201" s="1608"/>
      <c r="AC201" s="1608"/>
      <c r="AD201" s="1608"/>
      <c r="AE201" s="1608"/>
      <c r="AF201" s="1608"/>
      <c r="AG201" s="1608"/>
      <c r="AH201" s="1608"/>
      <c r="AI201" s="1608"/>
      <c r="AJ201" s="1608"/>
      <c r="AK201" s="1608"/>
      <c r="AL201" s="1608"/>
      <c r="AM201" s="1608"/>
      <c r="AN201" s="1608"/>
      <c r="AO201" s="1608"/>
      <c r="AP201" s="17006"/>
      <c r="AQ201" s="17006"/>
      <c r="AR201" s="17006"/>
      <c r="AS201" s="17006"/>
      <c r="AT201" s="17006"/>
      <c r="AU201" s="17006"/>
      <c r="AV201" s="17006"/>
      <c r="AW201" s="17006"/>
      <c r="AX201" s="17006"/>
      <c r="AY201" s="17006"/>
      <c r="AZ201" s="17006"/>
      <c r="BA201" s="17006"/>
      <c r="BB201" s="17006"/>
      <c r="BC201" s="17006"/>
      <c r="BD201" s="17006"/>
      <c r="BE201" s="17006"/>
      <c r="BF201" s="17006"/>
      <c r="BG201" s="17006"/>
      <c r="BH201" s="17006"/>
      <c r="BI201" s="17006"/>
      <c r="BJ201" s="17006"/>
      <c r="BK201" s="17006"/>
      <c r="BL201" s="17006"/>
      <c r="BM201" s="17006"/>
      <c r="BN201" s="17006"/>
      <c r="BO201" s="17006"/>
      <c r="BP201" s="17006"/>
      <c r="BQ201" s="17006"/>
      <c r="BR201" s="17006"/>
      <c r="BS201" s="17006"/>
      <c r="BT201" s="17006"/>
      <c r="BU201" s="17006"/>
      <c r="BV201" s="17006"/>
      <c r="BW201" s="17006"/>
      <c r="BX201" s="17006"/>
      <c r="BY201" s="17006"/>
      <c r="BZ201" s="17006"/>
      <c r="CA201" s="17006"/>
      <c r="CB201" s="17006"/>
      <c r="CC201" s="17006"/>
      <c r="CD201" s="17006"/>
      <c r="CE201" s="17006"/>
      <c r="CF201" s="17006"/>
      <c r="CG201" s="17006"/>
      <c r="CH201" s="17006"/>
      <c r="CI201" s="17006"/>
      <c r="CJ201" s="17006"/>
      <c r="CK201" s="17006"/>
      <c r="CL201" s="17006"/>
      <c r="CM201" s="17006"/>
      <c r="CN201" s="17006"/>
      <c r="CO201" s="17006"/>
      <c r="CP201" s="17006"/>
      <c r="CQ201" s="17006"/>
      <c r="CR201" s="17006"/>
      <c r="CS201" s="17006"/>
      <c r="CT201" s="17006"/>
      <c r="CU201" s="17006"/>
      <c r="CV201" s="17006"/>
      <c r="CW201" s="17006"/>
      <c r="CX201" s="17006"/>
      <c r="CY201" s="17006"/>
      <c r="CZ201" s="17006"/>
      <c r="DA201" s="17006"/>
      <c r="DB201" s="17006"/>
      <c r="DC201" s="17006"/>
      <c r="DD201" s="17006"/>
      <c r="DE201" s="17006"/>
      <c r="DF201" s="17006"/>
      <c r="DG201" s="17006"/>
      <c r="DH201" s="17006"/>
      <c r="DI201" s="17006"/>
      <c r="DJ201" s="17006"/>
      <c r="DK201" s="17006"/>
      <c r="DL201" s="17006"/>
      <c r="DM201" s="17006"/>
      <c r="DN201" s="17006"/>
      <c r="DO201" s="17006"/>
      <c r="DP201" s="17006"/>
      <c r="DQ201" s="17006"/>
      <c r="DR201" s="17006"/>
      <c r="DS201" s="17006"/>
      <c r="DT201" s="17006"/>
      <c r="DU201" s="17006"/>
      <c r="DV201" s="17006"/>
      <c r="DW201" s="17006"/>
      <c r="DX201" s="17006"/>
      <c r="DY201" s="17006"/>
      <c r="DZ201" s="17006"/>
      <c r="EA201" s="17006"/>
      <c r="EB201" s="1608"/>
      <c r="EC201" s="1608"/>
      <c r="EE201" s="1073"/>
      <c r="EF201" s="1073" t="str">
        <f>IF(V201="","",V201)</f>
        <v>Добавить наименование тарифа</v>
      </c>
      <c r="EG201" s="1073"/>
      <c r="EH201" s="1073"/>
      <c r="EI201" s="802">
        <v>4</v>
      </c>
    </row>
    <row customHeight="1" ht="11.549999999999999">
      <c r="N202" s="1439"/>
      <c r="O202" s="1439"/>
      <c r="P202" s="793"/>
      <c r="Q202" s="1439"/>
      <c r="R202" s="1439"/>
      <c r="S202" s="1439"/>
      <c r="T202" s="1439"/>
      <c r="U202" s="1439"/>
      <c r="AP202" s="16741"/>
      <c r="AQ202" s="16741"/>
      <c r="AR202" s="16741"/>
      <c r="AS202" s="16741"/>
      <c r="AT202" s="16741"/>
      <c r="AU202" s="16741"/>
      <c r="AV202" s="16741"/>
      <c r="AW202" s="16741"/>
      <c r="AX202" s="16741"/>
      <c r="AY202" s="16741"/>
      <c r="AZ202" s="16741"/>
      <c r="BA202" s="16741"/>
      <c r="BB202" s="16741"/>
      <c r="BC202" s="16741"/>
      <c r="BD202" s="16741"/>
      <c r="BE202" s="16741"/>
      <c r="BF202" s="16741"/>
      <c r="BG202" s="16741"/>
      <c r="BH202" s="16741"/>
      <c r="BI202" s="16741"/>
      <c r="BJ202" s="16741"/>
      <c r="BK202" s="16741"/>
      <c r="BL202" s="16741"/>
      <c r="BM202" s="16741"/>
      <c r="BN202" s="16741"/>
      <c r="BO202" s="16741"/>
      <c r="BP202" s="16741"/>
      <c r="BQ202" s="16741"/>
      <c r="BR202" s="16741"/>
      <c r="BS202" s="16741"/>
      <c r="BT202" s="16741"/>
      <c r="BU202" s="16741"/>
      <c r="BV202" s="16741"/>
      <c r="BW202" s="16741"/>
      <c r="BX202" s="16741"/>
      <c r="BY202" s="16741"/>
      <c r="BZ202" s="16741"/>
      <c r="CA202" s="16741"/>
      <c r="CB202" s="16741"/>
      <c r="CC202" s="16741"/>
      <c r="CD202" s="16741"/>
      <c r="CE202" s="16741"/>
      <c r="CF202" s="16741"/>
      <c r="CG202" s="16741"/>
      <c r="CH202" s="16741"/>
      <c r="CI202" s="16741"/>
      <c r="CJ202" s="16741"/>
      <c r="CK202" s="16741"/>
      <c r="CL202" s="16741"/>
      <c r="CM202" s="16741"/>
      <c r="CN202" s="16741"/>
      <c r="CO202" s="16741"/>
      <c r="CP202" s="16741"/>
      <c r="CQ202" s="16741"/>
      <c r="CR202" s="16741"/>
      <c r="CS202" s="16741"/>
      <c r="CT202" s="16741"/>
      <c r="CU202" s="16741"/>
      <c r="CV202" s="16741"/>
      <c r="CW202" s="16741"/>
      <c r="CX202" s="16741"/>
      <c r="CY202" s="16741"/>
      <c r="CZ202" s="16741"/>
      <c r="DA202" s="16741"/>
      <c r="DB202" s="16741"/>
      <c r="DC202" s="16741"/>
      <c r="DD202" s="16741"/>
      <c r="DE202" s="16741"/>
      <c r="DF202" s="16741"/>
      <c r="DG202" s="16741"/>
      <c r="DH202" s="16741"/>
      <c r="DI202" s="16741"/>
      <c r="DJ202" s="16741"/>
      <c r="DK202" s="16741"/>
      <c r="DL202" s="16741"/>
      <c r="DM202" s="16741"/>
      <c r="DN202" s="16741"/>
      <c r="DO202" s="16741"/>
      <c r="DP202" s="16741"/>
      <c r="DQ202" s="16741"/>
      <c r="DR202" s="16741"/>
      <c r="DS202" s="16741"/>
      <c r="DT202" s="16741"/>
      <c r="DU202" s="16741"/>
      <c r="DV202" s="16741"/>
      <c r="DW202" s="16741"/>
      <c r="DX202" s="16741"/>
      <c r="DY202" s="16741"/>
      <c r="DZ202" s="16741"/>
      <c r="EA202" s="16741"/>
      <c r="ED202" s="1439"/>
      <c r="EE202" s="1439"/>
      <c r="EF202" s="1439"/>
      <c r="EG202" s="1439"/>
      <c r="EH202" s="1439"/>
      <c r="EI202" s="1439">
        <v>11</v>
      </c>
    </row>
    <row customHeight="1" ht="35.699999999999996">
      <c r="P203" s="793"/>
      <c r="U203" s="1537"/>
      <c r="V203" s="2569"/>
      <c r="W203" s="2569"/>
      <c r="X203" s="2569"/>
      <c r="Y203" s="2569"/>
      <c r="Z203" s="2569"/>
      <c r="AA203" s="2569"/>
      <c r="AB203" s="2569"/>
      <c r="AC203" s="2569"/>
      <c r="AD203" s="2569"/>
      <c r="AE203" s="2569"/>
      <c r="AF203" s="2569"/>
      <c r="AG203" s="2569"/>
      <c r="AH203" s="2569"/>
      <c r="AI203" s="2569"/>
      <c r="AJ203" s="2569"/>
      <c r="AK203" s="2569"/>
      <c r="AL203" s="2569"/>
      <c r="AM203" s="2569"/>
      <c r="AN203" s="2569"/>
      <c r="AO203" s="2569"/>
      <c r="AP203" s="20433"/>
      <c r="AQ203" s="20433"/>
      <c r="AR203" s="20433"/>
      <c r="AS203" s="20433"/>
      <c r="AT203" s="20433"/>
      <c r="AU203" s="20433"/>
      <c r="AV203" s="20433"/>
      <c r="AW203" s="20433"/>
      <c r="AX203" s="20433"/>
      <c r="AY203" s="20433"/>
      <c r="AZ203" s="20433"/>
      <c r="BA203" s="20433"/>
      <c r="BB203" s="20433"/>
      <c r="BC203" s="20433"/>
      <c r="BD203" s="20433"/>
      <c r="BE203" s="20433"/>
      <c r="BF203" s="20433"/>
      <c r="BG203" s="20433"/>
      <c r="BH203" s="20433"/>
      <c r="BI203" s="20433"/>
      <c r="BJ203" s="20433"/>
      <c r="BK203" s="20433"/>
      <c r="BL203" s="20433"/>
      <c r="BM203" s="20433"/>
      <c r="BN203" s="20433"/>
      <c r="BO203" s="20433"/>
      <c r="BP203" s="20433"/>
      <c r="BQ203" s="20433"/>
      <c r="BR203" s="20433"/>
      <c r="BS203" s="20433"/>
      <c r="BT203" s="20433"/>
      <c r="BU203" s="20433"/>
      <c r="BV203" s="20433"/>
      <c r="BW203" s="20433"/>
      <c r="BX203" s="20433"/>
      <c r="BY203" s="20433"/>
      <c r="BZ203" s="20433"/>
      <c r="CA203" s="20433"/>
      <c r="CB203" s="20433"/>
      <c r="CC203" s="20433"/>
      <c r="CD203" s="20433"/>
      <c r="CE203" s="20433"/>
      <c r="CF203" s="20433"/>
      <c r="CG203" s="20433"/>
      <c r="CH203" s="20433"/>
      <c r="CI203" s="20433"/>
      <c r="CJ203" s="20433"/>
      <c r="CK203" s="20433"/>
      <c r="CL203" s="20433"/>
      <c r="CM203" s="20433"/>
      <c r="CN203" s="20433"/>
      <c r="CO203" s="20433"/>
      <c r="CP203" s="20433"/>
      <c r="CQ203" s="20433"/>
      <c r="CR203" s="20433"/>
      <c r="CS203" s="20433"/>
      <c r="CT203" s="20433"/>
      <c r="CU203" s="20433"/>
      <c r="CV203" s="20433"/>
      <c r="CW203" s="20433"/>
      <c r="CX203" s="20433"/>
      <c r="CY203" s="20433"/>
      <c r="CZ203" s="20433"/>
      <c r="DA203" s="20433"/>
      <c r="DB203" s="20433"/>
      <c r="DC203" s="20433"/>
      <c r="DD203" s="20433"/>
      <c r="DE203" s="20433"/>
      <c r="DF203" s="20433"/>
      <c r="DG203" s="20433"/>
      <c r="DH203" s="20433"/>
      <c r="DI203" s="20433"/>
      <c r="DJ203" s="20433"/>
      <c r="DK203" s="20433"/>
      <c r="DL203" s="20433"/>
      <c r="DM203" s="20433"/>
      <c r="DN203" s="20433"/>
      <c r="DO203" s="20433"/>
      <c r="DP203" s="20433"/>
      <c r="DQ203" s="20433"/>
      <c r="DR203" s="20433"/>
      <c r="DS203" s="20433"/>
      <c r="DT203" s="20433"/>
      <c r="DU203" s="20433"/>
      <c r="DV203" s="20433"/>
      <c r="DW203" s="20433"/>
      <c r="DX203" s="20433"/>
      <c r="DY203" s="20433"/>
      <c r="DZ203" s="20433"/>
      <c r="EA203" s="20433"/>
      <c r="EB203" s="2569"/>
      <c r="EC203" s="2569"/>
      <c r="EI203" s="1439">
        <v>34</v>
      </c>
    </row>
    <row customHeight="1" ht="21">
      <c r="P204" s="793"/>
      <c r="V204" s="2569"/>
      <c r="W204" s="2569"/>
      <c r="X204" s="2569"/>
      <c r="Y204" s="2569"/>
      <c r="Z204" s="2569"/>
      <c r="AA204" s="2569"/>
      <c r="AB204" s="2569"/>
      <c r="AC204" s="2569"/>
      <c r="AD204" s="2569"/>
      <c r="AE204" s="2569"/>
      <c r="AF204" s="2569"/>
      <c r="AG204" s="2569"/>
      <c r="AH204" s="2569"/>
      <c r="AI204" s="2569"/>
      <c r="AJ204" s="2569"/>
      <c r="AK204" s="2569"/>
      <c r="AL204" s="2569"/>
      <c r="AM204" s="2569"/>
      <c r="AN204" s="2569"/>
      <c r="AO204" s="2569"/>
      <c r="AP204" s="20433"/>
      <c r="AQ204" s="20433"/>
      <c r="AR204" s="20433"/>
      <c r="AS204" s="20433"/>
      <c r="AT204" s="20433"/>
      <c r="AU204" s="20433"/>
      <c r="AV204" s="20433"/>
      <c r="AW204" s="20433"/>
      <c r="AX204" s="20433"/>
      <c r="AY204" s="20433"/>
      <c r="AZ204" s="20433"/>
      <c r="BA204" s="20433"/>
      <c r="BB204" s="20433"/>
      <c r="BC204" s="20433"/>
      <c r="BD204" s="20433"/>
      <c r="BE204" s="20433"/>
      <c r="BF204" s="20433"/>
      <c r="BG204" s="20433"/>
      <c r="BH204" s="20433"/>
      <c r="BI204" s="20433"/>
      <c r="BJ204" s="20433"/>
      <c r="BK204" s="20433"/>
      <c r="BL204" s="20433"/>
      <c r="BM204" s="20433"/>
      <c r="BN204" s="20433"/>
      <c r="BO204" s="20433"/>
      <c r="BP204" s="20433"/>
      <c r="BQ204" s="20433"/>
      <c r="BR204" s="20433"/>
      <c r="BS204" s="20433"/>
      <c r="BT204" s="20433"/>
      <c r="BU204" s="20433"/>
      <c r="BV204" s="20433"/>
      <c r="BW204" s="20433"/>
      <c r="BX204" s="20433"/>
      <c r="BY204" s="20433"/>
      <c r="BZ204" s="20433"/>
      <c r="CA204" s="20433"/>
      <c r="CB204" s="20433"/>
      <c r="CC204" s="20433"/>
      <c r="CD204" s="20433"/>
      <c r="CE204" s="20433"/>
      <c r="CF204" s="20433"/>
      <c r="CG204" s="20433"/>
      <c r="CH204" s="20433"/>
      <c r="CI204" s="20433"/>
      <c r="CJ204" s="20433"/>
      <c r="CK204" s="20433"/>
      <c r="CL204" s="20433"/>
      <c r="CM204" s="20433"/>
      <c r="CN204" s="20433"/>
      <c r="CO204" s="20433"/>
      <c r="CP204" s="20433"/>
      <c r="CQ204" s="20433"/>
      <c r="CR204" s="20433"/>
      <c r="CS204" s="20433"/>
      <c r="CT204" s="20433"/>
      <c r="CU204" s="20433"/>
      <c r="CV204" s="20433"/>
      <c r="CW204" s="20433"/>
      <c r="CX204" s="20433"/>
      <c r="CY204" s="20433"/>
      <c r="CZ204" s="20433"/>
      <c r="DA204" s="20433"/>
      <c r="DB204" s="20433"/>
      <c r="DC204" s="20433"/>
      <c r="DD204" s="20433"/>
      <c r="DE204" s="20433"/>
      <c r="DF204" s="20433"/>
      <c r="DG204" s="20433"/>
      <c r="DH204" s="20433"/>
      <c r="DI204" s="20433"/>
      <c r="DJ204" s="20433"/>
      <c r="DK204" s="20433"/>
      <c r="DL204" s="20433"/>
      <c r="DM204" s="20433"/>
      <c r="DN204" s="20433"/>
      <c r="DO204" s="20433"/>
      <c r="DP204" s="20433"/>
      <c r="DQ204" s="20433"/>
      <c r="DR204" s="20433"/>
      <c r="DS204" s="20433"/>
      <c r="DT204" s="20433"/>
      <c r="DU204" s="20433"/>
      <c r="DV204" s="20433"/>
      <c r="DW204" s="20433"/>
      <c r="DX204" s="20433"/>
      <c r="DY204" s="20433"/>
      <c r="DZ204" s="20433"/>
      <c r="EA204" s="20433"/>
      <c r="EB204" s="2569"/>
      <c r="EC204" s="2569"/>
      <c r="EI204" s="1439">
        <v>20</v>
      </c>
    </row>
    <row customHeight="1" ht="14.699999999999998">
      <c r="P205" s="793"/>
      <c r="AP205" s="16741"/>
      <c r="AQ205" s="16741"/>
      <c r="AR205" s="16741"/>
      <c r="AS205" s="16741"/>
      <c r="AT205" s="16741"/>
      <c r="AU205" s="16741"/>
      <c r="AV205" s="16741"/>
      <c r="AW205" s="16741"/>
      <c r="AX205" s="16741"/>
      <c r="AY205" s="16741"/>
      <c r="AZ205" s="16741"/>
      <c r="BA205" s="16741"/>
      <c r="BB205" s="16741"/>
      <c r="BC205" s="16741"/>
      <c r="BD205" s="16741"/>
      <c r="BE205" s="16741"/>
      <c r="BF205" s="16741"/>
      <c r="BG205" s="16741"/>
      <c r="BH205" s="16741"/>
      <c r="BI205" s="16741"/>
      <c r="BJ205" s="16741"/>
      <c r="BK205" s="16741"/>
      <c r="BL205" s="16741"/>
      <c r="BM205" s="16741"/>
      <c r="BN205" s="16741"/>
      <c r="BO205" s="16741"/>
      <c r="BP205" s="16741"/>
      <c r="BQ205" s="16741"/>
      <c r="BR205" s="16741"/>
      <c r="BS205" s="16741"/>
      <c r="BT205" s="16741"/>
      <c r="BU205" s="16741"/>
      <c r="BV205" s="16741"/>
      <c r="BW205" s="16741"/>
      <c r="BX205" s="16741"/>
      <c r="BY205" s="16741"/>
      <c r="BZ205" s="16741"/>
      <c r="CA205" s="16741"/>
      <c r="CB205" s="16741"/>
      <c r="CC205" s="16741"/>
      <c r="CD205" s="16741"/>
      <c r="CE205" s="16741"/>
      <c r="CF205" s="16741"/>
      <c r="CG205" s="16741"/>
      <c r="CH205" s="16741"/>
      <c r="CI205" s="16741"/>
      <c r="CJ205" s="16741"/>
      <c r="CK205" s="16741"/>
      <c r="CL205" s="16741"/>
      <c r="CM205" s="16741"/>
      <c r="CN205" s="16741"/>
      <c r="CO205" s="16741"/>
      <c r="CP205" s="16741"/>
      <c r="CQ205" s="16741"/>
      <c r="CR205" s="16741"/>
      <c r="CS205" s="16741"/>
      <c r="CT205" s="16741"/>
      <c r="CU205" s="16741"/>
      <c r="CV205" s="16741"/>
      <c r="CW205" s="16741"/>
      <c r="CX205" s="16741"/>
      <c r="CY205" s="16741"/>
      <c r="CZ205" s="16741"/>
      <c r="DA205" s="16741"/>
      <c r="DB205" s="16741"/>
      <c r="DC205" s="16741"/>
      <c r="DD205" s="16741"/>
      <c r="DE205" s="16741"/>
      <c r="DF205" s="16741"/>
      <c r="DG205" s="16741"/>
      <c r="DH205" s="16741"/>
      <c r="DI205" s="16741"/>
      <c r="DJ205" s="16741"/>
      <c r="DK205" s="16741"/>
      <c r="DL205" s="16741"/>
      <c r="DM205" s="16741"/>
      <c r="DN205" s="16741"/>
      <c r="DO205" s="16741"/>
      <c r="DP205" s="16741"/>
      <c r="DQ205" s="16741"/>
      <c r="DR205" s="16741"/>
      <c r="DS205" s="16741"/>
      <c r="DT205" s="16741"/>
      <c r="DU205" s="16741"/>
      <c r="DV205" s="16741"/>
      <c r="DW205" s="16741"/>
      <c r="DX205" s="16741"/>
      <c r="DY205" s="16741"/>
      <c r="DZ205" s="16741"/>
      <c r="EA205" s="16741"/>
      <c r="EI205" s="1439">
        <v>14</v>
      </c>
    </row>
    <row customHeight="1" ht="28.5">
      <c r="P206" s="793"/>
      <c r="V206" s="2569"/>
      <c r="W206" s="2569"/>
      <c r="X206" s="2569"/>
      <c r="Y206" s="2569"/>
      <c r="Z206" s="2569"/>
      <c r="AA206" s="2569"/>
      <c r="AB206" s="2569"/>
      <c r="AC206" s="2569"/>
      <c r="AD206" s="2569"/>
      <c r="AE206" s="2569"/>
      <c r="AF206" s="2569"/>
      <c r="AG206" s="2569"/>
      <c r="AH206" s="2569"/>
      <c r="AI206" s="2569"/>
      <c r="AJ206" s="2569"/>
      <c r="AK206" s="2569"/>
      <c r="AL206" s="2569"/>
      <c r="AM206" s="2569"/>
      <c r="AN206" s="2569"/>
      <c r="AO206" s="2569"/>
      <c r="AP206" s="20433"/>
      <c r="AQ206" s="20433"/>
      <c r="AR206" s="20433"/>
      <c r="AS206" s="20433"/>
      <c r="AT206" s="20433"/>
      <c r="AU206" s="20433"/>
      <c r="AV206" s="20433"/>
      <c r="AW206" s="20433"/>
      <c r="AX206" s="20433"/>
      <c r="AY206" s="20433"/>
      <c r="AZ206" s="20433"/>
      <c r="BA206" s="20433"/>
      <c r="BB206" s="20433"/>
      <c r="BC206" s="20433"/>
      <c r="BD206" s="20433"/>
      <c r="BE206" s="20433"/>
      <c r="BF206" s="20433"/>
      <c r="BG206" s="20433"/>
      <c r="BH206" s="20433"/>
      <c r="BI206" s="20433"/>
      <c r="BJ206" s="20433"/>
      <c r="BK206" s="20433"/>
      <c r="BL206" s="20433"/>
      <c r="BM206" s="20433"/>
      <c r="BN206" s="20433"/>
      <c r="BO206" s="20433"/>
      <c r="BP206" s="20433"/>
      <c r="BQ206" s="20433"/>
      <c r="BR206" s="20433"/>
      <c r="BS206" s="20433"/>
      <c r="BT206" s="20433"/>
      <c r="BU206" s="20433"/>
      <c r="BV206" s="20433"/>
      <c r="BW206" s="20433"/>
      <c r="BX206" s="20433"/>
      <c r="BY206" s="20433"/>
      <c r="BZ206" s="20433"/>
      <c r="CA206" s="20433"/>
      <c r="CB206" s="20433"/>
      <c r="CC206" s="20433"/>
      <c r="CD206" s="20433"/>
      <c r="CE206" s="20433"/>
      <c r="CF206" s="20433"/>
      <c r="CG206" s="20433"/>
      <c r="CH206" s="20433"/>
      <c r="CI206" s="20433"/>
      <c r="CJ206" s="20433"/>
      <c r="CK206" s="20433"/>
      <c r="CL206" s="20433"/>
      <c r="CM206" s="20433"/>
      <c r="CN206" s="20433"/>
      <c r="CO206" s="20433"/>
      <c r="CP206" s="20433"/>
      <c r="CQ206" s="20433"/>
      <c r="CR206" s="20433"/>
      <c r="CS206" s="20433"/>
      <c r="CT206" s="20433"/>
      <c r="CU206" s="20433"/>
      <c r="CV206" s="20433"/>
      <c r="CW206" s="20433"/>
      <c r="CX206" s="20433"/>
      <c r="CY206" s="20433"/>
      <c r="CZ206" s="20433"/>
      <c r="DA206" s="20433"/>
      <c r="DB206" s="20433"/>
      <c r="DC206" s="20433"/>
      <c r="DD206" s="20433"/>
      <c r="DE206" s="20433"/>
      <c r="DF206" s="20433"/>
      <c r="DG206" s="20433"/>
      <c r="DH206" s="20433"/>
      <c r="DI206" s="20433"/>
      <c r="DJ206" s="20433"/>
      <c r="DK206" s="20433"/>
      <c r="DL206" s="20433"/>
      <c r="DM206" s="20433"/>
      <c r="DN206" s="20433"/>
      <c r="DO206" s="20433"/>
      <c r="DP206" s="20433"/>
      <c r="DQ206" s="20433"/>
      <c r="DR206" s="20433"/>
      <c r="DS206" s="20433"/>
      <c r="DT206" s="20433"/>
      <c r="DU206" s="20433"/>
      <c r="DV206" s="20433"/>
      <c r="DW206" s="20433"/>
      <c r="DX206" s="20433"/>
      <c r="DY206" s="20433"/>
      <c r="DZ206" s="20433"/>
      <c r="EA206" s="20433"/>
      <c r="EB206" s="2569"/>
      <c r="EC206" s="2569"/>
      <c r="EI206" s="1439">
        <v>27</v>
      </c>
    </row>
    <row customHeight="1" ht="18.75">
      <c r="P207" s="793"/>
      <c r="V207" s="2569"/>
      <c r="W207" s="2569"/>
      <c r="X207" s="2569"/>
      <c r="Y207" s="2569"/>
      <c r="Z207" s="2569"/>
      <c r="AA207" s="2569"/>
      <c r="AB207" s="2569"/>
      <c r="AC207" s="2569"/>
      <c r="AD207" s="2569"/>
      <c r="AE207" s="2569"/>
      <c r="AF207" s="2569"/>
      <c r="AG207" s="2569"/>
      <c r="AH207" s="2569"/>
      <c r="AI207" s="2569"/>
      <c r="AJ207" s="2569"/>
      <c r="AK207" s="2569"/>
      <c r="AL207" s="2569"/>
      <c r="AM207" s="2569"/>
      <c r="AN207" s="2569"/>
      <c r="AO207" s="2569"/>
      <c r="AP207" s="20433"/>
      <c r="AQ207" s="20433"/>
      <c r="AR207" s="20433"/>
      <c r="AS207" s="20433"/>
      <c r="AT207" s="20433"/>
      <c r="AU207" s="20433"/>
      <c r="AV207" s="20433"/>
      <c r="AW207" s="20433"/>
      <c r="AX207" s="20433"/>
      <c r="AY207" s="20433"/>
      <c r="AZ207" s="20433"/>
      <c r="BA207" s="20433"/>
      <c r="BB207" s="20433"/>
      <c r="BC207" s="20433"/>
      <c r="BD207" s="20433"/>
      <c r="BE207" s="20433"/>
      <c r="BF207" s="20433"/>
      <c r="BG207" s="20433"/>
      <c r="BH207" s="20433"/>
      <c r="BI207" s="20433"/>
      <c r="BJ207" s="20433"/>
      <c r="BK207" s="20433"/>
      <c r="BL207" s="20433"/>
      <c r="BM207" s="20433"/>
      <c r="BN207" s="20433"/>
      <c r="BO207" s="20433"/>
      <c r="BP207" s="20433"/>
      <c r="BQ207" s="20433"/>
      <c r="BR207" s="20433"/>
      <c r="BS207" s="20433"/>
      <c r="BT207" s="20433"/>
      <c r="BU207" s="20433"/>
      <c r="BV207" s="20433"/>
      <c r="BW207" s="20433"/>
      <c r="BX207" s="20433"/>
      <c r="BY207" s="20433"/>
      <c r="BZ207" s="20433"/>
      <c r="CA207" s="20433"/>
      <c r="CB207" s="20433"/>
      <c r="CC207" s="20433"/>
      <c r="CD207" s="20433"/>
      <c r="CE207" s="20433"/>
      <c r="CF207" s="20433"/>
      <c r="CG207" s="20433"/>
      <c r="CH207" s="20433"/>
      <c r="CI207" s="20433"/>
      <c r="CJ207" s="20433"/>
      <c r="CK207" s="20433"/>
      <c r="CL207" s="20433"/>
      <c r="CM207" s="20433"/>
      <c r="CN207" s="20433"/>
      <c r="CO207" s="20433"/>
      <c r="CP207" s="20433"/>
      <c r="CQ207" s="20433"/>
      <c r="CR207" s="20433"/>
      <c r="CS207" s="20433"/>
      <c r="CT207" s="20433"/>
      <c r="CU207" s="20433"/>
      <c r="CV207" s="20433"/>
      <c r="CW207" s="20433"/>
      <c r="CX207" s="20433"/>
      <c r="CY207" s="20433"/>
      <c r="CZ207" s="20433"/>
      <c r="DA207" s="20433"/>
      <c r="DB207" s="20433"/>
      <c r="DC207" s="20433"/>
      <c r="DD207" s="20433"/>
      <c r="DE207" s="20433"/>
      <c r="DF207" s="20433"/>
      <c r="DG207" s="20433"/>
      <c r="DH207" s="20433"/>
      <c r="DI207" s="20433"/>
      <c r="DJ207" s="20433"/>
      <c r="DK207" s="20433"/>
      <c r="DL207" s="20433"/>
      <c r="DM207" s="20433"/>
      <c r="DN207" s="20433"/>
      <c r="DO207" s="20433"/>
      <c r="DP207" s="20433"/>
      <c r="DQ207" s="20433"/>
      <c r="DR207" s="20433"/>
      <c r="DS207" s="20433"/>
      <c r="DT207" s="20433"/>
      <c r="DU207" s="20433"/>
      <c r="DV207" s="20433"/>
      <c r="DW207" s="20433"/>
      <c r="DX207" s="20433"/>
      <c r="DY207" s="20433"/>
      <c r="DZ207" s="20433"/>
      <c r="EA207" s="20433"/>
      <c r="EB207" s="2569"/>
      <c r="EC207" s="2569"/>
      <c r="EI207" s="1439">
        <v>18</v>
      </c>
    </row>
    <row customHeight="1" ht="22.5" hidden="1">
      <c r="A208" s="1439" t="s">
        <v>85</v>
      </c>
      <c r="B208" s="1439">
        <v>0</v>
      </c>
      <c r="C208" s="1439">
        <v>0</v>
      </c>
      <c r="D208" s="1439">
        <v>0</v>
      </c>
      <c r="E208" s="1439">
        <v>0</v>
      </c>
      <c r="F208" s="1439">
        <v>0</v>
      </c>
      <c r="G208" s="1439">
        <v>0</v>
      </c>
      <c r="H208" s="1439">
        <v>0</v>
      </c>
      <c r="I208" s="1439">
        <v>0</v>
      </c>
      <c r="J208" s="1439">
        <v>0</v>
      </c>
      <c r="K208" s="1439">
        <v>0</v>
      </c>
      <c r="L208" s="1439">
        <v>0</v>
      </c>
      <c r="M208" s="1611">
        <v>0</v>
      </c>
      <c r="N208" s="1612">
        <v>0</v>
      </c>
      <c r="O208" s="1612">
        <v>0</v>
      </c>
      <c r="P208" s="1612">
        <v>0</v>
      </c>
      <c r="Q208" s="1612">
        <v>0</v>
      </c>
      <c r="R208" s="628">
        <v>3</v>
      </c>
      <c r="S208" s="628">
        <v>3</v>
      </c>
      <c r="T208" s="628">
        <v>3</v>
      </c>
      <c r="U208" s="865">
        <v>12</v>
      </c>
      <c r="V208" s="1439">
        <v>31</v>
      </c>
      <c r="W208" s="1439">
        <v>0</v>
      </c>
      <c r="X208" s="1439">
        <v>0</v>
      </c>
      <c r="Y208" s="1439">
        <v>0</v>
      </c>
      <c r="Z208" s="1439">
        <v>0</v>
      </c>
      <c r="AA208" s="1439">
        <v>0</v>
      </c>
      <c r="AB208" s="1439">
        <v>0</v>
      </c>
      <c r="AC208" s="1439">
        <v>0</v>
      </c>
      <c r="AD208" s="1439">
        <v>0</v>
      </c>
      <c r="AE208" s="1439">
        <v>0</v>
      </c>
      <c r="AF208" s="1439">
        <v>0</v>
      </c>
      <c r="AG208" s="1439">
        <v>21</v>
      </c>
      <c r="AH208" s="1439">
        <v>21</v>
      </c>
      <c r="AI208" s="1439">
        <v>21</v>
      </c>
      <c r="AJ208" s="1439">
        <v>21</v>
      </c>
      <c r="AK208" s="1439">
        <v>21</v>
      </c>
      <c r="AL208" s="1439">
        <v>11</v>
      </c>
      <c r="AM208" s="1439">
        <v>3</v>
      </c>
      <c r="AN208" s="1439">
        <v>11</v>
      </c>
      <c r="AO208" s="1439">
        <v>8</v>
      </c>
      <c r="AP208" s="16741">
        <v>0</v>
      </c>
      <c r="AQ208" s="16741">
        <v>0</v>
      </c>
      <c r="AR208" s="16741">
        <v>0</v>
      </c>
      <c r="AS208" s="16741">
        <v>0</v>
      </c>
      <c r="AT208" s="16741">
        <v>0</v>
      </c>
      <c r="AU208" s="16741">
        <v>0</v>
      </c>
      <c r="AV208" s="16741">
        <v>0</v>
      </c>
      <c r="AW208" s="16741">
        <v>0</v>
      </c>
      <c r="AX208" s="16741">
        <v>0</v>
      </c>
      <c r="AY208" s="16741">
        <v>0</v>
      </c>
      <c r="AZ208" s="16741">
        <v>0</v>
      </c>
      <c r="BA208" s="16741">
        <v>0</v>
      </c>
      <c r="BB208" s="16741">
        <v>0</v>
      </c>
      <c r="BC208" s="16741">
        <v>0</v>
      </c>
      <c r="BD208" s="16741">
        <v>0</v>
      </c>
      <c r="BE208" s="16741">
        <v>0</v>
      </c>
      <c r="BF208" s="16741">
        <v>0</v>
      </c>
      <c r="BG208" s="16741">
        <v>0</v>
      </c>
      <c r="BH208" s="16741">
        <v>0</v>
      </c>
      <c r="BI208" s="16741">
        <v>0</v>
      </c>
      <c r="BJ208" s="16741">
        <v>0</v>
      </c>
      <c r="BK208" s="16741">
        <v>0</v>
      </c>
      <c r="BL208" s="16741">
        <v>0</v>
      </c>
      <c r="BM208" s="16741">
        <v>0</v>
      </c>
      <c r="BN208" s="16741">
        <v>0</v>
      </c>
      <c r="BO208" s="16741">
        <v>0</v>
      </c>
      <c r="BP208" s="16741">
        <v>0</v>
      </c>
      <c r="BQ208" s="16741">
        <v>0</v>
      </c>
      <c r="BR208" s="16741">
        <v>0</v>
      </c>
      <c r="BS208" s="16741">
        <v>0</v>
      </c>
      <c r="BT208" s="16741">
        <v>0</v>
      </c>
      <c r="BU208" s="16741">
        <v>0</v>
      </c>
      <c r="BV208" s="16741">
        <v>0</v>
      </c>
      <c r="BW208" s="16741">
        <v>0</v>
      </c>
      <c r="BX208" s="16741">
        <v>0</v>
      </c>
      <c r="BY208" s="16741">
        <v>0</v>
      </c>
      <c r="BZ208" s="16741">
        <v>0</v>
      </c>
      <c r="CA208" s="16741">
        <v>0</v>
      </c>
      <c r="CB208" s="16741">
        <v>0</v>
      </c>
      <c r="CC208" s="16741">
        <v>0</v>
      </c>
      <c r="CD208" s="16741">
        <v>0</v>
      </c>
      <c r="CE208" s="16741">
        <v>0</v>
      </c>
      <c r="CF208" s="16741">
        <v>0</v>
      </c>
      <c r="CG208" s="16741">
        <v>0</v>
      </c>
      <c r="CH208" s="16741">
        <v>0</v>
      </c>
      <c r="CI208" s="16741">
        <v>0</v>
      </c>
      <c r="CJ208" s="16741">
        <v>0</v>
      </c>
      <c r="CK208" s="16741">
        <v>0</v>
      </c>
      <c r="CL208" s="16741">
        <v>0</v>
      </c>
      <c r="CM208" s="16741">
        <v>0</v>
      </c>
      <c r="CN208" s="16741">
        <v>0</v>
      </c>
      <c r="CO208" s="16741">
        <v>0</v>
      </c>
      <c r="CP208" s="16741">
        <v>0</v>
      </c>
      <c r="CQ208" s="16741">
        <v>0</v>
      </c>
      <c r="CR208" s="16741">
        <v>0</v>
      </c>
      <c r="CS208" s="16741">
        <v>0</v>
      </c>
      <c r="CT208" s="16741">
        <v>0</v>
      </c>
      <c r="CU208" s="16741">
        <v>0</v>
      </c>
      <c r="CV208" s="16741">
        <v>0</v>
      </c>
      <c r="CW208" s="16741">
        <v>0</v>
      </c>
      <c r="CX208" s="16741">
        <v>0</v>
      </c>
      <c r="CY208" s="16741">
        <v>0</v>
      </c>
      <c r="CZ208" s="16741">
        <v>0</v>
      </c>
      <c r="DA208" s="16741">
        <v>0</v>
      </c>
      <c r="DB208" s="16741">
        <v>0</v>
      </c>
      <c r="DC208" s="16741">
        <v>0</v>
      </c>
      <c r="DD208" s="16741">
        <v>0</v>
      </c>
      <c r="DE208" s="16741">
        <v>0</v>
      </c>
      <c r="DF208" s="16741">
        <v>0</v>
      </c>
      <c r="DG208" s="16741">
        <v>0</v>
      </c>
      <c r="DH208" s="16741">
        <v>0</v>
      </c>
      <c r="DI208" s="16741">
        <v>0</v>
      </c>
      <c r="DJ208" s="16741">
        <v>0</v>
      </c>
      <c r="DK208" s="16741">
        <v>0</v>
      </c>
      <c r="DL208" s="16741">
        <v>0</v>
      </c>
      <c r="DM208" s="16741">
        <v>0</v>
      </c>
      <c r="DN208" s="16741">
        <v>0</v>
      </c>
      <c r="DO208" s="16741">
        <v>0</v>
      </c>
      <c r="DP208" s="16741">
        <v>0</v>
      </c>
      <c r="DQ208" s="16741">
        <v>0</v>
      </c>
      <c r="DR208" s="16741">
        <v>0</v>
      </c>
      <c r="DS208" s="16741">
        <v>0</v>
      </c>
      <c r="DT208" s="16741">
        <v>0</v>
      </c>
      <c r="DU208" s="16741">
        <v>0</v>
      </c>
      <c r="DV208" s="16741">
        <v>0</v>
      </c>
      <c r="DW208" s="16741">
        <v>0</v>
      </c>
      <c r="DX208" s="16741">
        <v>0</v>
      </c>
      <c r="DY208" s="16741">
        <v>0</v>
      </c>
      <c r="DZ208" s="16741">
        <v>0</v>
      </c>
      <c r="EA208" s="16741">
        <v>0</v>
      </c>
      <c r="EB208" s="1439">
        <v>4</v>
      </c>
      <c r="EC208" s="1439">
        <v>115</v>
      </c>
      <c r="ED208" s="795">
        <v>10</v>
      </c>
      <c r="EE208" s="795">
        <v>10</v>
      </c>
      <c r="EF208" s="795">
        <v>10</v>
      </c>
      <c r="EG208" s="795">
        <v>10</v>
      </c>
      <c r="EH208" s="795">
        <v>10</v>
      </c>
      <c r="EI208" s="1439">
        <v>23</v>
      </c>
    </row>
  </sheetData>
  <sheetProtection sheet="1" formatColumns="0" formatRows="0" autoFilter="0" sort="1" insertRows="1" insertColumns="1" deleteRows="1" deleteColumns="1"/>
  <mergeCells count="1214">
    <mergeCell ref="V207:EC207"/>
    <mergeCell ref="U39:V39"/>
    <mergeCell ref="X39:AE39"/>
    <mergeCell ref="AG39:AN39"/>
    <mergeCell ref="U38:V38"/>
    <mergeCell ref="X38:AE38"/>
    <mergeCell ref="AG38:AN38"/>
    <mergeCell ref="AL55:AL58"/>
    <mergeCell ref="AM55:AM58"/>
    <mergeCell ref="AN55:AN58"/>
    <mergeCell ref="AO55:AO58"/>
    <mergeCell ref="V206:EC206"/>
    <mergeCell ref="EC42:EC47"/>
    <mergeCell ref="EC56:EC59"/>
    <mergeCell ref="V203:EC203"/>
    <mergeCell ref="V204:EC204"/>
    <mergeCell ref="Y44:AB44"/>
    <mergeCell ref="Y45:Y47"/>
    <mergeCell ref="Z45:AB45"/>
    <mergeCell ref="AA46:AB46"/>
    <mergeCell ref="Z46:Z47"/>
    <mergeCell ref="AC46:AC47"/>
    <mergeCell ref="AD46:AE47"/>
    <mergeCell ref="AC44:AE45"/>
    <mergeCell ref="AH44:AK44"/>
    <mergeCell ref="AL44:AN45"/>
    <mergeCell ref="AH45:AH47"/>
    <mergeCell ref="X53:AF53"/>
    <mergeCell ref="AG53:EB53"/>
    <mergeCell ref="AI45:AK45"/>
    <mergeCell ref="AI46:AI47"/>
    <mergeCell ref="AJ46:AK46"/>
    <mergeCell ref="AL46:AL47"/>
    <mergeCell ref="AM46:AN47"/>
    <mergeCell ref="EB43:EB47"/>
    <mergeCell ref="X44:X47"/>
    <mergeCell ref="AG44:AG47"/>
    <mergeCell ref="E49:E170"/>
    <mergeCell ref="X49:AF49"/>
    <mergeCell ref="AG49:EB49"/>
    <mergeCell ref="F50:F69"/>
    <mergeCell ref="X50:AF50"/>
    <mergeCell ref="AG50:EB50"/>
    <mergeCell ref="G51:G68"/>
    <mergeCell ref="X51:AF51"/>
    <mergeCell ref="AG51:EB51"/>
    <mergeCell ref="H52:H67"/>
    <mergeCell ref="X52:AF52"/>
    <mergeCell ref="AG52:EB52"/>
    <mergeCell ref="I53:I66"/>
    <mergeCell ref="Q53:Q66"/>
    <mergeCell ref="L56:L57"/>
    <mergeCell ref="U36:V36"/>
    <mergeCell ref="X36:AE36"/>
    <mergeCell ref="AG36:AN36"/>
    <mergeCell ref="X33:AE33"/>
    <mergeCell ref="AG33:AN33"/>
    <mergeCell ref="U34:V34"/>
    <mergeCell ref="X34:AE34"/>
    <mergeCell ref="AG34:AN34"/>
    <mergeCell ref="J54:J59"/>
    <mergeCell ref="R54:R59"/>
    <mergeCell ref="X54:AF54"/>
    <mergeCell ref="AG54:EB54"/>
    <mergeCell ref="K55:K58"/>
    <mergeCell ref="AD48:AE48"/>
    <mergeCell ref="AM48:AN48"/>
    <mergeCell ref="X41:AF41"/>
    <mergeCell ref="AG41:AO41"/>
    <mergeCell ref="U42:EB42"/>
    <mergeCell ref="U43:U47"/>
    <mergeCell ref="V43:V47"/>
    <mergeCell ref="X43:AE43"/>
    <mergeCell ref="AF43:AF47"/>
    <mergeCell ref="AG43:AN43"/>
    <mergeCell ref="AO43:AO47"/>
    <mergeCell ref="EC9:EC12"/>
    <mergeCell ref="J7:J12"/>
    <mergeCell ref="R7:R12"/>
    <mergeCell ref="X7:AF7"/>
    <mergeCell ref="AG7:EB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EB2"/>
    <mergeCell ref="F3:F16"/>
    <mergeCell ref="X3:AF3"/>
    <mergeCell ref="AG3:EB3"/>
    <mergeCell ref="G4:G15"/>
    <mergeCell ref="X4:AF4"/>
    <mergeCell ref="AG4:EB4"/>
    <mergeCell ref="H5:H14"/>
    <mergeCell ref="X5:AF5"/>
    <mergeCell ref="AG5:EB5"/>
    <mergeCell ref="I6:I13"/>
    <mergeCell ref="Q6:Q13"/>
    <mergeCell ref="X6:AF6"/>
    <mergeCell ref="AG6:EB6"/>
    <mergeCell ref="EC178:EC181"/>
    <mergeCell ref="J176:J181"/>
    <mergeCell ref="R176:R181"/>
    <mergeCell ref="X176:AF176"/>
    <mergeCell ref="AG176:EB176"/>
    <mergeCell ref="S177:S180"/>
    <mergeCell ref="K177:K180"/>
    <mergeCell ref="L178:L179"/>
    <mergeCell ref="AL177:AL180"/>
    <mergeCell ref="AM177:AM180"/>
    <mergeCell ref="AN177:AN180"/>
    <mergeCell ref="AO177:AO180"/>
    <mergeCell ref="E171:E200"/>
    <mergeCell ref="X171:AF171"/>
    <mergeCell ref="AG171:EB171"/>
    <mergeCell ref="F172:F185"/>
    <mergeCell ref="X172:AF172"/>
    <mergeCell ref="AG172:EB172"/>
    <mergeCell ref="G173:G184"/>
    <mergeCell ref="X173:AF173"/>
    <mergeCell ref="AG173:EB173"/>
    <mergeCell ref="H174:H183"/>
    <mergeCell ref="X174:AF174"/>
    <mergeCell ref="AG174:EB174"/>
    <mergeCell ref="I175:I182"/>
    <mergeCell ref="Q175:Q182"/>
    <mergeCell ref="X175:AF175"/>
    <mergeCell ref="AG175:EB175"/>
    <mergeCell ref="EC192:EC195"/>
    <mergeCell ref="J190:J195"/>
    <mergeCell ref="R190:R195"/>
    <mergeCell ref="X190:AF190"/>
    <mergeCell ref="AG190:EB190"/>
    <mergeCell ref="S191:S194"/>
    <mergeCell ref="K191:K194"/>
    <mergeCell ref="L192:L193"/>
    <mergeCell ref="AL191:AL194"/>
    <mergeCell ref="AM191:AM194"/>
    <mergeCell ref="AN191:AN194"/>
    <mergeCell ref="AO191:AO194"/>
    <mergeCell ref="F186:F199"/>
    <mergeCell ref="X186:AF186"/>
    <mergeCell ref="AG186:EB186"/>
    <mergeCell ref="G187:G198"/>
    <mergeCell ref="X187:AF187"/>
    <mergeCell ref="AG187:EB187"/>
    <mergeCell ref="H188:H197"/>
    <mergeCell ref="X188:AF188"/>
    <mergeCell ref="AG188:EB188"/>
    <mergeCell ref="I189:I196"/>
    <mergeCell ref="Q189:Q196"/>
    <mergeCell ref="X189:AF189"/>
    <mergeCell ref="AG189:EB189"/>
    <mergeCell ref="EC76:EC79"/>
    <mergeCell ref="J74:J79"/>
    <mergeCell ref="R74:R79"/>
    <mergeCell ref="X74:AF74"/>
    <mergeCell ref="AG74:EB74"/>
    <mergeCell ref="S75:S78"/>
    <mergeCell ref="K75:K78"/>
    <mergeCell ref="L76:L77"/>
    <mergeCell ref="AL75:AL78"/>
    <mergeCell ref="AM75:AM78"/>
    <mergeCell ref="AN75:AN78"/>
    <mergeCell ref="AO75:AO78"/>
    <mergeCell ref="F70:F89"/>
    <mergeCell ref="X70:AF70"/>
    <mergeCell ref="AG70:EB70"/>
    <mergeCell ref="G71:G88"/>
    <mergeCell ref="X71:AF71"/>
    <mergeCell ref="AG71:EB71"/>
    <mergeCell ref="H72:H87"/>
    <mergeCell ref="X72:AF72"/>
    <mergeCell ref="AG72:EB72"/>
    <mergeCell ref="I73:I86"/>
    <mergeCell ref="Q73:Q86"/>
    <mergeCell ref="X73:AF73"/>
    <mergeCell ref="AG73:EB73"/>
    <mergeCell ref="EC96:EC99"/>
    <mergeCell ref="J94:J99"/>
    <mergeCell ref="R94:R99"/>
    <mergeCell ref="X94:AF94"/>
    <mergeCell ref="AG94:EB94"/>
    <mergeCell ref="S95:S98"/>
    <mergeCell ref="K95:K98"/>
    <mergeCell ref="L96:L97"/>
    <mergeCell ref="AL95:AL98"/>
    <mergeCell ref="AM95:AM98"/>
    <mergeCell ref="AN95:AN98"/>
    <mergeCell ref="AO95:AO98"/>
    <mergeCell ref="F90:F109"/>
    <mergeCell ref="X90:AF90"/>
    <mergeCell ref="AG90:EB90"/>
    <mergeCell ref="G91:G108"/>
    <mergeCell ref="X91:AF91"/>
    <mergeCell ref="AG91:EB91"/>
    <mergeCell ref="H92:H107"/>
    <mergeCell ref="X92:AF92"/>
    <mergeCell ref="AG92:EB92"/>
    <mergeCell ref="I93:I106"/>
    <mergeCell ref="Q93:Q106"/>
    <mergeCell ref="X93:AF93"/>
    <mergeCell ref="AG93:EB93"/>
    <mergeCell ref="EC116:EC119"/>
    <mergeCell ref="J114:J119"/>
    <mergeCell ref="R114:R119"/>
    <mergeCell ref="X114:AF114"/>
    <mergeCell ref="AG114:EB114"/>
    <mergeCell ref="S115:S118"/>
    <mergeCell ref="K115:K118"/>
    <mergeCell ref="L116:L117"/>
    <mergeCell ref="AL115:AL118"/>
    <mergeCell ref="AM115:AM118"/>
    <mergeCell ref="AN115:AN118"/>
    <mergeCell ref="AO115:AO118"/>
    <mergeCell ref="F110:F129"/>
    <mergeCell ref="X110:AF110"/>
    <mergeCell ref="AG110:EB110"/>
    <mergeCell ref="G111:G128"/>
    <mergeCell ref="X111:AF111"/>
    <mergeCell ref="AG111:EB111"/>
    <mergeCell ref="H112:H127"/>
    <mergeCell ref="X112:AF112"/>
    <mergeCell ref="AG112:EB112"/>
    <mergeCell ref="I113:I126"/>
    <mergeCell ref="Q113:Q126"/>
    <mergeCell ref="X113:AF113"/>
    <mergeCell ref="AG113:EB113"/>
    <mergeCell ref="EC136:EC139"/>
    <mergeCell ref="J134:J139"/>
    <mergeCell ref="R134:R139"/>
    <mergeCell ref="X134:AF134"/>
    <mergeCell ref="AG134:EB134"/>
    <mergeCell ref="S135:S138"/>
    <mergeCell ref="K135:K138"/>
    <mergeCell ref="L136:L137"/>
    <mergeCell ref="AL135:AL138"/>
    <mergeCell ref="AM135:AM138"/>
    <mergeCell ref="AN135:AN138"/>
    <mergeCell ref="AO135:AO138"/>
    <mergeCell ref="F130:F149"/>
    <mergeCell ref="X130:AF130"/>
    <mergeCell ref="AG130:EB130"/>
    <mergeCell ref="G131:G148"/>
    <mergeCell ref="X131:AF131"/>
    <mergeCell ref="AG131:EB131"/>
    <mergeCell ref="H132:H147"/>
    <mergeCell ref="X132:AF132"/>
    <mergeCell ref="AG132:EB132"/>
    <mergeCell ref="I133:I146"/>
    <mergeCell ref="Q133:Q146"/>
    <mergeCell ref="X133:AF133"/>
    <mergeCell ref="AG133:EB133"/>
    <mergeCell ref="EC156:EC159"/>
    <mergeCell ref="J154:J159"/>
    <mergeCell ref="R154:R159"/>
    <mergeCell ref="X154:AF154"/>
    <mergeCell ref="AG154:EB154"/>
    <mergeCell ref="S155:S158"/>
    <mergeCell ref="K155:K158"/>
    <mergeCell ref="L156:L157"/>
    <mergeCell ref="AL155:AL158"/>
    <mergeCell ref="AM155:AM158"/>
    <mergeCell ref="AN155:AN158"/>
    <mergeCell ref="AO155:AO158"/>
    <mergeCell ref="F150:F169"/>
    <mergeCell ref="X150:AF150"/>
    <mergeCell ref="AG150:EB150"/>
    <mergeCell ref="G151:G168"/>
    <mergeCell ref="X151:AF151"/>
    <mergeCell ref="AG151:EB151"/>
    <mergeCell ref="H152:H167"/>
    <mergeCell ref="X152:AF152"/>
    <mergeCell ref="AG152:EB152"/>
    <mergeCell ref="I153:I166"/>
    <mergeCell ref="Q153:Q166"/>
    <mergeCell ref="X153:AF153"/>
    <mergeCell ref="AG153:EB153"/>
    <mergeCell ref="AP39:AW39"/>
    <mergeCell ref="AP38:AW38"/>
    <mergeCell ref="AQ44:AT44"/>
    <mergeCell ref="AQ45:AQ47"/>
    <mergeCell ref="AR45:AT45"/>
    <mergeCell ref="AS46:AT46"/>
    <mergeCell ref="AR46:AR47"/>
    <mergeCell ref="AU46:AU47"/>
    <mergeCell ref="AV46:AW47"/>
    <mergeCell ref="AU44:AW45"/>
    <mergeCell ref="AU8:AU11"/>
    <mergeCell ref="AV8:AV11"/>
    <mergeCell ref="AW8:AW11"/>
    <mergeCell ref="AX8:AX11"/>
    <mergeCell ref="AP33:AW33"/>
    <mergeCell ref="AP34:AW34"/>
    <mergeCell ref="AP35:AW35"/>
    <mergeCell ref="AP36:AW36"/>
    <mergeCell ref="AP41:AX41"/>
    <mergeCell ref="AP43:AW43"/>
    <mergeCell ref="AX43:AX47"/>
    <mergeCell ref="AP44:AP47"/>
    <mergeCell ref="AV48:AW48"/>
    <mergeCell ref="AU55:AU58"/>
    <mergeCell ref="AV55:AV58"/>
    <mergeCell ref="AW55:AW58"/>
    <mergeCell ref="AX55:AX58"/>
    <mergeCell ref="AU75:AU78"/>
    <mergeCell ref="AV75:AV78"/>
    <mergeCell ref="AW75:AW78"/>
    <mergeCell ref="AX75:AX78"/>
    <mergeCell ref="AU95:AU98"/>
    <mergeCell ref="AV95:AV98"/>
    <mergeCell ref="AW95:AW98"/>
    <mergeCell ref="AX95:AX98"/>
    <mergeCell ref="AU115:AU118"/>
    <mergeCell ref="AV115:AV118"/>
    <mergeCell ref="AW115:AW118"/>
    <mergeCell ref="AX115:AX118"/>
    <mergeCell ref="AU135:AU138"/>
    <mergeCell ref="AV135:AV138"/>
    <mergeCell ref="AW135:AW138"/>
    <mergeCell ref="AX135:AX138"/>
    <mergeCell ref="AU155:AU158"/>
    <mergeCell ref="AV155:AV158"/>
    <mergeCell ref="AW155:AW158"/>
    <mergeCell ref="AX155:AX158"/>
    <mergeCell ref="AU177:AU180"/>
    <mergeCell ref="AV177:AV180"/>
    <mergeCell ref="AW177:AW180"/>
    <mergeCell ref="AX177:AX180"/>
    <mergeCell ref="AU191:AU194"/>
    <mergeCell ref="AV191:AV194"/>
    <mergeCell ref="AW191:AW194"/>
    <mergeCell ref="AX191:AX194"/>
    <mergeCell ref="AY39:BF39"/>
    <mergeCell ref="AY38:BF38"/>
    <mergeCell ref="AZ44:BC44"/>
    <mergeCell ref="AZ45:AZ47"/>
    <mergeCell ref="BA45:BC45"/>
    <mergeCell ref="BB46:BC46"/>
    <mergeCell ref="BA46:BA47"/>
    <mergeCell ref="BD46:BD47"/>
    <mergeCell ref="BE46:BF47"/>
    <mergeCell ref="BD44:BF45"/>
    <mergeCell ref="BD8:BD11"/>
    <mergeCell ref="BE8:BE11"/>
    <mergeCell ref="BF8:BF11"/>
    <mergeCell ref="BG8:BG11"/>
    <mergeCell ref="AY33:BF33"/>
    <mergeCell ref="AY34:BF34"/>
    <mergeCell ref="AY35:BF35"/>
    <mergeCell ref="AY36:BF36"/>
    <mergeCell ref="AY41:BG41"/>
    <mergeCell ref="AY43:BF43"/>
    <mergeCell ref="BG43:BG47"/>
    <mergeCell ref="AY44:AY47"/>
    <mergeCell ref="BE48:BF48"/>
    <mergeCell ref="BD55:BD58"/>
    <mergeCell ref="BE55:BE58"/>
    <mergeCell ref="BF55:BF58"/>
    <mergeCell ref="BG55:BG58"/>
    <mergeCell ref="BD75:BD78"/>
    <mergeCell ref="BE75:BE78"/>
    <mergeCell ref="BF75:BF78"/>
    <mergeCell ref="BG75:BG78"/>
    <mergeCell ref="BD95:BD98"/>
    <mergeCell ref="BE95:BE98"/>
    <mergeCell ref="BF95:BF98"/>
    <mergeCell ref="BG95:BG98"/>
    <mergeCell ref="BD115:BD118"/>
    <mergeCell ref="BE115:BE118"/>
    <mergeCell ref="BF115:BF118"/>
    <mergeCell ref="BG115:BG118"/>
    <mergeCell ref="BD135:BD138"/>
    <mergeCell ref="BE135:BE138"/>
    <mergeCell ref="BF135:BF138"/>
    <mergeCell ref="BG135:BG138"/>
    <mergeCell ref="BD155:BD158"/>
    <mergeCell ref="BE155:BE158"/>
    <mergeCell ref="BF155:BF158"/>
    <mergeCell ref="BG155:BG158"/>
    <mergeCell ref="BD177:BD180"/>
    <mergeCell ref="BE177:BE180"/>
    <mergeCell ref="BF177:BF180"/>
    <mergeCell ref="BG177:BG180"/>
    <mergeCell ref="BD191:BD194"/>
    <mergeCell ref="BE191:BE194"/>
    <mergeCell ref="BF191:BF194"/>
    <mergeCell ref="BG191:BG194"/>
    <mergeCell ref="BH39:BO39"/>
    <mergeCell ref="BH38:BO38"/>
    <mergeCell ref="BI44:BL44"/>
    <mergeCell ref="BI45:BI47"/>
    <mergeCell ref="BJ45:BL45"/>
    <mergeCell ref="BK46:BL46"/>
    <mergeCell ref="BJ46:BJ47"/>
    <mergeCell ref="BM46:BM47"/>
    <mergeCell ref="BN46:BO47"/>
    <mergeCell ref="BM44:BO45"/>
    <mergeCell ref="BM8:BM11"/>
    <mergeCell ref="BN8:BN11"/>
    <mergeCell ref="BO8:BO11"/>
    <mergeCell ref="BP8:BP11"/>
    <mergeCell ref="BH33:BO33"/>
    <mergeCell ref="BH34:BO34"/>
    <mergeCell ref="BH35:BO35"/>
    <mergeCell ref="BH36:BO36"/>
    <mergeCell ref="BH41:BP41"/>
    <mergeCell ref="BH43:BO43"/>
    <mergeCell ref="BP43:BP47"/>
    <mergeCell ref="BH44:BH47"/>
    <mergeCell ref="BN48:BO48"/>
    <mergeCell ref="BM55:BM58"/>
    <mergeCell ref="BN55:BN58"/>
    <mergeCell ref="BO55:BO58"/>
    <mergeCell ref="BP55:BP58"/>
    <mergeCell ref="BM75:BM78"/>
    <mergeCell ref="BN75:BN78"/>
    <mergeCell ref="BO75:BO78"/>
    <mergeCell ref="BP75:BP78"/>
    <mergeCell ref="BM95:BM98"/>
    <mergeCell ref="BN95:BN98"/>
    <mergeCell ref="BO95:BO98"/>
    <mergeCell ref="BP95:BP98"/>
    <mergeCell ref="BM115:BM118"/>
    <mergeCell ref="BN115:BN118"/>
    <mergeCell ref="BO115:BO118"/>
    <mergeCell ref="BP115:BP118"/>
    <mergeCell ref="BM135:BM138"/>
    <mergeCell ref="BN135:BN138"/>
    <mergeCell ref="BO135:BO138"/>
    <mergeCell ref="BP135:BP138"/>
    <mergeCell ref="BM155:BM158"/>
    <mergeCell ref="BN155:BN158"/>
    <mergeCell ref="BO155:BO158"/>
    <mergeCell ref="BP155:BP158"/>
    <mergeCell ref="BM177:BM180"/>
    <mergeCell ref="BN177:BN180"/>
    <mergeCell ref="BO177:BO180"/>
    <mergeCell ref="BP177:BP180"/>
    <mergeCell ref="BM191:BM194"/>
    <mergeCell ref="BN191:BN194"/>
    <mergeCell ref="BO191:BO194"/>
    <mergeCell ref="BP191:BP194"/>
    <mergeCell ref="BQ39:BX39"/>
    <mergeCell ref="BQ38:BX38"/>
    <mergeCell ref="BR44:BU44"/>
    <mergeCell ref="BR45:BR47"/>
    <mergeCell ref="BS45:BU45"/>
    <mergeCell ref="BT46:BU46"/>
    <mergeCell ref="BS46:BS47"/>
    <mergeCell ref="BV46:BV47"/>
    <mergeCell ref="BW46:BX47"/>
    <mergeCell ref="BV44:BX45"/>
    <mergeCell ref="BV8:BV11"/>
    <mergeCell ref="BW8:BW11"/>
    <mergeCell ref="BX8:BX11"/>
    <mergeCell ref="BY8:BY11"/>
    <mergeCell ref="BQ33:BX33"/>
    <mergeCell ref="BQ34:BX34"/>
    <mergeCell ref="BQ35:BX35"/>
    <mergeCell ref="BQ36:BX36"/>
    <mergeCell ref="BQ41:BY41"/>
    <mergeCell ref="BQ43:BX43"/>
    <mergeCell ref="BY43:BY47"/>
    <mergeCell ref="BQ44:BQ47"/>
    <mergeCell ref="BW48:BX48"/>
    <mergeCell ref="BV55:BV58"/>
    <mergeCell ref="BW55:BW58"/>
    <mergeCell ref="BX55:BX58"/>
    <mergeCell ref="BY55:BY58"/>
    <mergeCell ref="BV75:BV78"/>
    <mergeCell ref="BW75:BW78"/>
    <mergeCell ref="BX75:BX78"/>
    <mergeCell ref="BY75:BY78"/>
    <mergeCell ref="BV95:BV98"/>
    <mergeCell ref="BW95:BW98"/>
    <mergeCell ref="BX95:BX98"/>
    <mergeCell ref="BY95:BY98"/>
    <mergeCell ref="BV115:BV118"/>
    <mergeCell ref="BW115:BW118"/>
    <mergeCell ref="BX115:BX118"/>
    <mergeCell ref="BY115:BY118"/>
    <mergeCell ref="BV135:BV138"/>
    <mergeCell ref="BW135:BW138"/>
    <mergeCell ref="BX135:BX138"/>
    <mergeCell ref="BY135:BY138"/>
    <mergeCell ref="BV155:BV158"/>
    <mergeCell ref="BW155:BW158"/>
    <mergeCell ref="BX155:BX158"/>
    <mergeCell ref="BY155:BY158"/>
    <mergeCell ref="BV177:BV180"/>
    <mergeCell ref="BW177:BW180"/>
    <mergeCell ref="BX177:BX180"/>
    <mergeCell ref="BY177:BY180"/>
    <mergeCell ref="BV191:BV194"/>
    <mergeCell ref="BW191:BW194"/>
    <mergeCell ref="BX191:BX194"/>
    <mergeCell ref="BY191:BY194"/>
    <mergeCell ref="BZ39:CG39"/>
    <mergeCell ref="BZ38:CG38"/>
    <mergeCell ref="CA44:CD44"/>
    <mergeCell ref="CA45:CA47"/>
    <mergeCell ref="CB45:CD45"/>
    <mergeCell ref="CC46:CD46"/>
    <mergeCell ref="CB46:CB47"/>
    <mergeCell ref="CE46:CE47"/>
    <mergeCell ref="CF46:CG47"/>
    <mergeCell ref="CE44:CG45"/>
    <mergeCell ref="CE8:CE11"/>
    <mergeCell ref="CF8:CF11"/>
    <mergeCell ref="CG8:CG11"/>
    <mergeCell ref="CH8:CH11"/>
    <mergeCell ref="BZ33:CG33"/>
    <mergeCell ref="BZ34:CG34"/>
    <mergeCell ref="BZ35:CG35"/>
    <mergeCell ref="BZ36:CG36"/>
    <mergeCell ref="BZ41:CH41"/>
    <mergeCell ref="BZ43:CG43"/>
    <mergeCell ref="CH43:CH47"/>
    <mergeCell ref="BZ44:BZ47"/>
    <mergeCell ref="CF48:CG48"/>
    <mergeCell ref="CE75:CE78"/>
    <mergeCell ref="CF75:CF78"/>
    <mergeCell ref="CG75:CG78"/>
    <mergeCell ref="CH75:CH78"/>
    <mergeCell ref="CE95:CE98"/>
    <mergeCell ref="CF95:CF98"/>
    <mergeCell ref="CG95:CG98"/>
    <mergeCell ref="CH95:CH98"/>
    <mergeCell ref="CE115:CE118"/>
    <mergeCell ref="CF115:CF118"/>
    <mergeCell ref="CG115:CG118"/>
    <mergeCell ref="CH115:CH118"/>
    <mergeCell ref="CE135:CE138"/>
    <mergeCell ref="CF135:CF138"/>
    <mergeCell ref="CG135:CG138"/>
    <mergeCell ref="CH135:CH138"/>
    <mergeCell ref="CE155:CE158"/>
    <mergeCell ref="CF155:CF158"/>
    <mergeCell ref="CG155:CG158"/>
    <mergeCell ref="CH155:CH158"/>
    <mergeCell ref="CE177:CE180"/>
    <mergeCell ref="CF177:CF180"/>
    <mergeCell ref="CG177:CG180"/>
    <mergeCell ref="CH177:CH180"/>
    <mergeCell ref="CE191:CE194"/>
    <mergeCell ref="CF191:CF194"/>
    <mergeCell ref="CG191:CG194"/>
    <mergeCell ref="CH191:CH194"/>
    <mergeCell ref="CI39:CP39"/>
    <mergeCell ref="CI38:CP38"/>
    <mergeCell ref="CJ44:CM44"/>
    <mergeCell ref="CJ45:CJ47"/>
    <mergeCell ref="CK45:CM45"/>
    <mergeCell ref="CL46:CM46"/>
    <mergeCell ref="CK46:CK47"/>
    <mergeCell ref="CN46:CN47"/>
    <mergeCell ref="CO46:CP47"/>
    <mergeCell ref="CN44:CP45"/>
    <mergeCell ref="CN8:CN11"/>
    <mergeCell ref="CO8:CO11"/>
    <mergeCell ref="CP8:CP11"/>
    <mergeCell ref="CQ8:CQ11"/>
    <mergeCell ref="CI33:CP33"/>
    <mergeCell ref="CI34:CP34"/>
    <mergeCell ref="CI35:CP35"/>
    <mergeCell ref="CI36:CP36"/>
    <mergeCell ref="CI41:CQ41"/>
    <mergeCell ref="CI43:CP43"/>
    <mergeCell ref="CQ43:CQ47"/>
    <mergeCell ref="CI44:CI47"/>
    <mergeCell ref="CO48:CP48"/>
    <mergeCell ref="CN75:CN78"/>
    <mergeCell ref="CO75:CO78"/>
    <mergeCell ref="CP75:CP78"/>
    <mergeCell ref="CQ75:CQ78"/>
    <mergeCell ref="CN95:CN98"/>
    <mergeCell ref="CO95:CO98"/>
    <mergeCell ref="CP95:CP98"/>
    <mergeCell ref="CQ95:CQ98"/>
    <mergeCell ref="CN115:CN118"/>
    <mergeCell ref="CO115:CO118"/>
    <mergeCell ref="CP115:CP118"/>
    <mergeCell ref="CQ115:CQ118"/>
    <mergeCell ref="CN135:CN138"/>
    <mergeCell ref="CO135:CO138"/>
    <mergeCell ref="CP135:CP138"/>
    <mergeCell ref="CQ135:CQ138"/>
    <mergeCell ref="CN155:CN158"/>
    <mergeCell ref="CO155:CO158"/>
    <mergeCell ref="CP155:CP158"/>
    <mergeCell ref="CQ155:CQ158"/>
    <mergeCell ref="CN177:CN180"/>
    <mergeCell ref="CO177:CO180"/>
    <mergeCell ref="CP177:CP180"/>
    <mergeCell ref="CQ177:CQ180"/>
    <mergeCell ref="CR39:CY39"/>
    <mergeCell ref="CR38:CY38"/>
    <mergeCell ref="CS44:CV44"/>
    <mergeCell ref="CS45:CS47"/>
    <mergeCell ref="CT45:CV45"/>
    <mergeCell ref="CU46:CV46"/>
    <mergeCell ref="CT46:CT47"/>
    <mergeCell ref="CW46:CW47"/>
    <mergeCell ref="CX46:CY47"/>
    <mergeCell ref="CW44:CY45"/>
    <mergeCell ref="CW8:CW11"/>
    <mergeCell ref="CX8:CX11"/>
    <mergeCell ref="CY8:CY11"/>
    <mergeCell ref="CZ8:CZ11"/>
    <mergeCell ref="CR33:CY33"/>
    <mergeCell ref="CR34:CY34"/>
    <mergeCell ref="CR35:CY35"/>
    <mergeCell ref="CR36:CY36"/>
    <mergeCell ref="CR41:CZ41"/>
    <mergeCell ref="CR43:CY43"/>
    <mergeCell ref="CZ43:CZ47"/>
    <mergeCell ref="CR44:CR47"/>
    <mergeCell ref="CX48:CY48"/>
    <mergeCell ref="CW75:CW78"/>
    <mergeCell ref="CX75:CX78"/>
    <mergeCell ref="CY75:CY78"/>
    <mergeCell ref="CZ75:CZ78"/>
    <mergeCell ref="CW95:CW98"/>
    <mergeCell ref="CX95:CX98"/>
    <mergeCell ref="CY95:CY98"/>
    <mergeCell ref="CZ95:CZ98"/>
    <mergeCell ref="CW115:CW118"/>
    <mergeCell ref="CX115:CX118"/>
    <mergeCell ref="CY115:CY118"/>
    <mergeCell ref="CZ115:CZ118"/>
    <mergeCell ref="CW135:CW138"/>
    <mergeCell ref="CX135:CX138"/>
    <mergeCell ref="CY135:CY138"/>
    <mergeCell ref="CZ135:CZ138"/>
    <mergeCell ref="CW155:CW158"/>
    <mergeCell ref="CX155:CX158"/>
    <mergeCell ref="CY155:CY158"/>
    <mergeCell ref="CZ155:CZ158"/>
    <mergeCell ref="CW177:CW180"/>
    <mergeCell ref="CX177:CX180"/>
    <mergeCell ref="CY177:CY180"/>
    <mergeCell ref="CZ177:CZ180"/>
    <mergeCell ref="DA39:DH39"/>
    <mergeCell ref="DA38:DH38"/>
    <mergeCell ref="DB44:DE44"/>
    <mergeCell ref="DB45:DB47"/>
    <mergeCell ref="DC45:DE45"/>
    <mergeCell ref="DD46:DE46"/>
    <mergeCell ref="DC46:DC47"/>
    <mergeCell ref="DF46:DF47"/>
    <mergeCell ref="DG46:DH47"/>
    <mergeCell ref="DF44:DH45"/>
    <mergeCell ref="DF8:DF11"/>
    <mergeCell ref="DG8:DG11"/>
    <mergeCell ref="DH8:DH11"/>
    <mergeCell ref="DI8:DI11"/>
    <mergeCell ref="DA33:DH33"/>
    <mergeCell ref="DA34:DH34"/>
    <mergeCell ref="DA35:DH35"/>
    <mergeCell ref="DA36:DH36"/>
    <mergeCell ref="DA41:DI41"/>
    <mergeCell ref="DA43:DH43"/>
    <mergeCell ref="DI43:DI47"/>
    <mergeCell ref="DA44:DA47"/>
    <mergeCell ref="DG48:DH48"/>
    <mergeCell ref="DF75:DF78"/>
    <mergeCell ref="DG75:DG78"/>
    <mergeCell ref="DH75:DH78"/>
    <mergeCell ref="DI75:DI78"/>
    <mergeCell ref="DF95:DF98"/>
    <mergeCell ref="DG95:DG98"/>
    <mergeCell ref="DH95:DH98"/>
    <mergeCell ref="DI95:DI98"/>
    <mergeCell ref="DF115:DF118"/>
    <mergeCell ref="DG115:DG118"/>
    <mergeCell ref="DH115:DH118"/>
    <mergeCell ref="DI115:DI118"/>
    <mergeCell ref="DF135:DF138"/>
    <mergeCell ref="DG135:DG138"/>
    <mergeCell ref="DH135:DH138"/>
    <mergeCell ref="DI135:DI138"/>
    <mergeCell ref="DF155:DF158"/>
    <mergeCell ref="DG155:DG158"/>
    <mergeCell ref="DH155:DH158"/>
    <mergeCell ref="DI155:DI158"/>
    <mergeCell ref="DF177:DF180"/>
    <mergeCell ref="DG177:DG180"/>
    <mergeCell ref="DH177:DH180"/>
    <mergeCell ref="DI177:DI180"/>
    <mergeCell ref="DJ39:DQ39"/>
    <mergeCell ref="DJ38:DQ38"/>
    <mergeCell ref="DK44:DN44"/>
    <mergeCell ref="DK45:DK47"/>
    <mergeCell ref="DL45:DN45"/>
    <mergeCell ref="DM46:DN46"/>
    <mergeCell ref="DL46:DL47"/>
    <mergeCell ref="DO46:DO47"/>
    <mergeCell ref="DP46:DQ47"/>
    <mergeCell ref="DO44:DQ45"/>
    <mergeCell ref="DO8:DO11"/>
    <mergeCell ref="DP8:DP11"/>
    <mergeCell ref="DQ8:DQ11"/>
    <mergeCell ref="DR8:DR11"/>
    <mergeCell ref="DJ33:DQ33"/>
    <mergeCell ref="DJ34:DQ34"/>
    <mergeCell ref="DJ35:DQ35"/>
    <mergeCell ref="DJ36:DQ36"/>
    <mergeCell ref="DJ41:DR41"/>
    <mergeCell ref="DJ43:DQ43"/>
    <mergeCell ref="DR43:DR47"/>
    <mergeCell ref="DJ44:DJ47"/>
    <mergeCell ref="DP48:DQ48"/>
    <mergeCell ref="DO75:DO78"/>
    <mergeCell ref="DP75:DP78"/>
    <mergeCell ref="DQ75:DQ78"/>
    <mergeCell ref="DR75:DR78"/>
    <mergeCell ref="DO95:DO98"/>
    <mergeCell ref="DP95:DP98"/>
    <mergeCell ref="DQ95:DQ98"/>
    <mergeCell ref="DR95:DR98"/>
    <mergeCell ref="DO115:DO118"/>
    <mergeCell ref="DP115:DP118"/>
    <mergeCell ref="DQ115:DQ118"/>
    <mergeCell ref="DR115:DR118"/>
    <mergeCell ref="DO135:DO138"/>
    <mergeCell ref="DP135:DP138"/>
    <mergeCell ref="DQ135:DQ138"/>
    <mergeCell ref="DR135:DR138"/>
    <mergeCell ref="DO155:DO158"/>
    <mergeCell ref="DP155:DP158"/>
    <mergeCell ref="DQ155:DQ158"/>
    <mergeCell ref="DR155:DR158"/>
    <mergeCell ref="DO177:DO180"/>
    <mergeCell ref="DP177:DP180"/>
    <mergeCell ref="DQ177:DQ180"/>
    <mergeCell ref="DR177:DR180"/>
    <mergeCell ref="DS39:DZ39"/>
    <mergeCell ref="DS38:DZ38"/>
    <mergeCell ref="DT44:DW44"/>
    <mergeCell ref="DT45:DT47"/>
    <mergeCell ref="DU45:DW45"/>
    <mergeCell ref="DV46:DW46"/>
    <mergeCell ref="DU46:DU47"/>
    <mergeCell ref="DX46:DX47"/>
    <mergeCell ref="DY46:DZ47"/>
    <mergeCell ref="DX44:DZ45"/>
    <mergeCell ref="DX8:DX11"/>
    <mergeCell ref="DY8:DY11"/>
    <mergeCell ref="DZ8:DZ11"/>
    <mergeCell ref="EA8:EA11"/>
    <mergeCell ref="DS33:DZ33"/>
    <mergeCell ref="DS34:DZ34"/>
    <mergeCell ref="DS35:DZ35"/>
    <mergeCell ref="DS36:DZ36"/>
    <mergeCell ref="DS41:EA41"/>
    <mergeCell ref="DS43:DZ43"/>
    <mergeCell ref="EA43:EA47"/>
    <mergeCell ref="DS44:DS47"/>
    <mergeCell ref="DY48:DZ48"/>
    <mergeCell ref="EC62:EC65"/>
    <mergeCell ref="J60:J65"/>
    <mergeCell ref="R60:R65"/>
    <mergeCell ref="X60:AF60"/>
    <mergeCell ref="AG60:EB60"/>
    <mergeCell ref="S61:S64"/>
    <mergeCell ref="K61:K64"/>
    <mergeCell ref="L62:L63"/>
    <mergeCell ref="AL61:AL64"/>
    <mergeCell ref="AM61:AM64"/>
    <mergeCell ref="AN61:AN64"/>
    <mergeCell ref="AO61:AO64"/>
    <mergeCell ref="AU61:AU64"/>
    <mergeCell ref="AV61:AV64"/>
    <mergeCell ref="AW61:AW64"/>
    <mergeCell ref="AX61:AX64"/>
    <mergeCell ref="BD61:BD64"/>
    <mergeCell ref="BE61:BE64"/>
    <mergeCell ref="BF61:BF64"/>
    <mergeCell ref="BG61:BG64"/>
    <mergeCell ref="BM61:BM64"/>
    <mergeCell ref="BN61:BN64"/>
    <mergeCell ref="BO61:BO64"/>
    <mergeCell ref="BP61:BP64"/>
    <mergeCell ref="BV61:BV64"/>
    <mergeCell ref="BW61:BW64"/>
    <mergeCell ref="BX61:BX64"/>
    <mergeCell ref="BY61:BY64"/>
    <mergeCell ref="CE61:CE64"/>
    <mergeCell ref="CF61:CF64"/>
    <mergeCell ref="CG61:CG64"/>
    <mergeCell ref="CH61:CH64"/>
    <mergeCell ref="CN61:CN64"/>
    <mergeCell ref="CO61:CO64"/>
    <mergeCell ref="CP61:CP64"/>
    <mergeCell ref="CQ61:CQ64"/>
    <mergeCell ref="CW61:CW64"/>
    <mergeCell ref="CX61:CX64"/>
    <mergeCell ref="CY61:CY64"/>
    <mergeCell ref="CZ61:CZ64"/>
    <mergeCell ref="DF61:DF64"/>
    <mergeCell ref="DG61:DG64"/>
    <mergeCell ref="DH61:DH64"/>
    <mergeCell ref="DI61:DI64"/>
    <mergeCell ref="DO61:DO64"/>
    <mergeCell ref="DP61:DP64"/>
    <mergeCell ref="DQ61:DQ64"/>
    <mergeCell ref="DR61:DR64"/>
    <mergeCell ref="EC82:EC85"/>
    <mergeCell ref="J80:J85"/>
    <mergeCell ref="R80:R85"/>
    <mergeCell ref="X80:AF80"/>
    <mergeCell ref="AG80:EB80"/>
    <mergeCell ref="S81:S84"/>
    <mergeCell ref="K81:K84"/>
    <mergeCell ref="L82:L83"/>
    <mergeCell ref="AL81:AL84"/>
    <mergeCell ref="AM81:AM84"/>
    <mergeCell ref="AN81:AN84"/>
    <mergeCell ref="AO81:AO84"/>
    <mergeCell ref="AU81:AU84"/>
    <mergeCell ref="AV81:AV84"/>
    <mergeCell ref="AW81:AW84"/>
    <mergeCell ref="AX81:AX84"/>
    <mergeCell ref="BD81:BD84"/>
    <mergeCell ref="BE81:BE84"/>
    <mergeCell ref="BF81:BF84"/>
    <mergeCell ref="BG81:BG84"/>
    <mergeCell ref="BM81:BM84"/>
    <mergeCell ref="BN81:BN84"/>
    <mergeCell ref="BO81:BO84"/>
    <mergeCell ref="BP81:BP84"/>
    <mergeCell ref="BV81:BV84"/>
    <mergeCell ref="BW81:BW84"/>
    <mergeCell ref="BX81:BX84"/>
    <mergeCell ref="BY81:BY84"/>
    <mergeCell ref="CE81:CE84"/>
    <mergeCell ref="CF81:CF84"/>
    <mergeCell ref="CG81:CG84"/>
    <mergeCell ref="CH81:CH84"/>
    <mergeCell ref="CN81:CN84"/>
    <mergeCell ref="CO81:CO84"/>
    <mergeCell ref="CP81:CP84"/>
    <mergeCell ref="CQ81:CQ84"/>
    <mergeCell ref="CW81:CW84"/>
    <mergeCell ref="CX81:CX84"/>
    <mergeCell ref="CY81:CY84"/>
    <mergeCell ref="CZ81:CZ84"/>
    <mergeCell ref="DF81:DF84"/>
    <mergeCell ref="DG81:DG84"/>
    <mergeCell ref="DH81:DH84"/>
    <mergeCell ref="DI81:DI84"/>
    <mergeCell ref="DO81:DO84"/>
    <mergeCell ref="DP81:DP84"/>
    <mergeCell ref="DQ81:DQ84"/>
    <mergeCell ref="DR81:DR84"/>
    <mergeCell ref="EC102:EC105"/>
    <mergeCell ref="J100:J105"/>
    <mergeCell ref="R100:R105"/>
    <mergeCell ref="X100:AF100"/>
    <mergeCell ref="AG100:EB100"/>
    <mergeCell ref="S101:S104"/>
    <mergeCell ref="K101:K104"/>
    <mergeCell ref="L102:L103"/>
    <mergeCell ref="AL101:AL104"/>
    <mergeCell ref="AM101:AM104"/>
    <mergeCell ref="AN101:AN104"/>
    <mergeCell ref="AO101:AO104"/>
    <mergeCell ref="AU101:AU104"/>
    <mergeCell ref="AV101:AV104"/>
    <mergeCell ref="AW101:AW104"/>
    <mergeCell ref="AX101:AX104"/>
    <mergeCell ref="BD101:BD104"/>
    <mergeCell ref="BE101:BE104"/>
    <mergeCell ref="BF101:BF104"/>
    <mergeCell ref="BG101:BG104"/>
    <mergeCell ref="BM101:BM104"/>
    <mergeCell ref="BN101:BN104"/>
    <mergeCell ref="BO101:BO104"/>
    <mergeCell ref="BP101:BP104"/>
    <mergeCell ref="BV101:BV104"/>
    <mergeCell ref="BW101:BW104"/>
    <mergeCell ref="BX101:BX104"/>
    <mergeCell ref="BY101:BY104"/>
    <mergeCell ref="CE101:CE104"/>
    <mergeCell ref="CF101:CF104"/>
    <mergeCell ref="CG101:CG104"/>
    <mergeCell ref="CH101:CH104"/>
    <mergeCell ref="CN101:CN104"/>
    <mergeCell ref="CO101:CO104"/>
    <mergeCell ref="CP101:CP104"/>
    <mergeCell ref="CQ101:CQ104"/>
    <mergeCell ref="CW101:CW104"/>
    <mergeCell ref="CX101:CX104"/>
    <mergeCell ref="CY101:CY104"/>
    <mergeCell ref="CZ101:CZ104"/>
    <mergeCell ref="DF101:DF104"/>
    <mergeCell ref="DG101:DG104"/>
    <mergeCell ref="DH101:DH104"/>
    <mergeCell ref="DI101:DI104"/>
    <mergeCell ref="DO101:DO104"/>
    <mergeCell ref="DP101:DP104"/>
    <mergeCell ref="DQ101:DQ104"/>
    <mergeCell ref="DR101:DR104"/>
    <mergeCell ref="EC122:EC125"/>
    <mergeCell ref="J120:J125"/>
    <mergeCell ref="R120:R125"/>
    <mergeCell ref="X120:AF120"/>
    <mergeCell ref="AG120:EB120"/>
    <mergeCell ref="S121:S124"/>
    <mergeCell ref="K121:K124"/>
    <mergeCell ref="L122:L123"/>
    <mergeCell ref="AL121:AL124"/>
    <mergeCell ref="AM121:AM124"/>
    <mergeCell ref="AN121:AN124"/>
    <mergeCell ref="AO121:AO124"/>
    <mergeCell ref="AU121:AU124"/>
    <mergeCell ref="AV121:AV124"/>
    <mergeCell ref="AW121:AW124"/>
    <mergeCell ref="AX121:AX124"/>
    <mergeCell ref="BD121:BD124"/>
    <mergeCell ref="BE121:BE124"/>
    <mergeCell ref="BF121:BF124"/>
    <mergeCell ref="BG121:BG124"/>
    <mergeCell ref="BM121:BM124"/>
    <mergeCell ref="BN121:BN124"/>
    <mergeCell ref="BO121:BO124"/>
    <mergeCell ref="BP121:BP124"/>
    <mergeCell ref="BV121:BV124"/>
    <mergeCell ref="BW121:BW124"/>
    <mergeCell ref="BX121:BX124"/>
    <mergeCell ref="BY121:BY124"/>
    <mergeCell ref="CE121:CE124"/>
    <mergeCell ref="CF121:CF124"/>
    <mergeCell ref="CG121:CG124"/>
    <mergeCell ref="CH121:CH124"/>
    <mergeCell ref="CN121:CN124"/>
    <mergeCell ref="CO121:CO124"/>
    <mergeCell ref="CP121:CP124"/>
    <mergeCell ref="CQ121:CQ124"/>
    <mergeCell ref="CW121:CW124"/>
    <mergeCell ref="CX121:CX124"/>
    <mergeCell ref="CY121:CY124"/>
    <mergeCell ref="CZ121:CZ124"/>
    <mergeCell ref="DF121:DF124"/>
    <mergeCell ref="DG121:DG124"/>
    <mergeCell ref="DH121:DH124"/>
    <mergeCell ref="DI121:DI124"/>
    <mergeCell ref="DO121:DO124"/>
    <mergeCell ref="DP121:DP124"/>
    <mergeCell ref="DQ121:DQ124"/>
    <mergeCell ref="DR121:DR124"/>
    <mergeCell ref="EC142:EC145"/>
    <mergeCell ref="J140:J145"/>
    <mergeCell ref="R140:R145"/>
    <mergeCell ref="X140:AF140"/>
    <mergeCell ref="AG140:EB140"/>
    <mergeCell ref="S141:S144"/>
    <mergeCell ref="K141:K144"/>
    <mergeCell ref="L142:L143"/>
    <mergeCell ref="AL141:AL144"/>
    <mergeCell ref="AM141:AM144"/>
    <mergeCell ref="AN141:AN144"/>
    <mergeCell ref="AO141:AO144"/>
    <mergeCell ref="AU141:AU144"/>
    <mergeCell ref="AV141:AV144"/>
    <mergeCell ref="AW141:AW144"/>
    <mergeCell ref="AX141:AX144"/>
    <mergeCell ref="BD141:BD144"/>
    <mergeCell ref="BE141:BE144"/>
    <mergeCell ref="BF141:BF144"/>
    <mergeCell ref="BG141:BG144"/>
    <mergeCell ref="BM141:BM144"/>
    <mergeCell ref="BN141:BN144"/>
    <mergeCell ref="BO141:BO144"/>
    <mergeCell ref="BP141:BP144"/>
    <mergeCell ref="BV141:BV144"/>
    <mergeCell ref="BW141:BW144"/>
    <mergeCell ref="BX141:BX144"/>
    <mergeCell ref="BY141:BY144"/>
    <mergeCell ref="CE141:CE144"/>
    <mergeCell ref="CF141:CF144"/>
    <mergeCell ref="CG141:CG144"/>
    <mergeCell ref="CH141:CH144"/>
    <mergeCell ref="CN141:CN144"/>
    <mergeCell ref="CO141:CO144"/>
    <mergeCell ref="CP141:CP144"/>
    <mergeCell ref="CQ141:CQ144"/>
    <mergeCell ref="CW141:CW144"/>
    <mergeCell ref="CX141:CX144"/>
    <mergeCell ref="CY141:CY144"/>
    <mergeCell ref="CZ141:CZ144"/>
    <mergeCell ref="DF141:DF144"/>
    <mergeCell ref="DG141:DG144"/>
    <mergeCell ref="DH141:DH144"/>
    <mergeCell ref="DI141:DI144"/>
    <mergeCell ref="DO141:DO144"/>
    <mergeCell ref="DP141:DP144"/>
    <mergeCell ref="DQ141:DQ144"/>
    <mergeCell ref="DR141:DR144"/>
    <mergeCell ref="EC162:EC165"/>
    <mergeCell ref="J160:J165"/>
    <mergeCell ref="R160:R165"/>
    <mergeCell ref="X160:AF160"/>
    <mergeCell ref="AG160:EB160"/>
    <mergeCell ref="S161:S164"/>
    <mergeCell ref="K161:K164"/>
    <mergeCell ref="L162:L163"/>
    <mergeCell ref="AL161:AL164"/>
    <mergeCell ref="AM161:AM164"/>
    <mergeCell ref="AN161:AN164"/>
    <mergeCell ref="AO161:AO164"/>
    <mergeCell ref="AU161:AU164"/>
    <mergeCell ref="AV161:AV164"/>
    <mergeCell ref="AW161:AW164"/>
    <mergeCell ref="AX161:AX164"/>
    <mergeCell ref="BD161:BD164"/>
    <mergeCell ref="BE161:BE164"/>
    <mergeCell ref="BF161:BF164"/>
    <mergeCell ref="BG161:BG164"/>
    <mergeCell ref="BM161:BM164"/>
    <mergeCell ref="BN161:BN164"/>
    <mergeCell ref="BO161:BO164"/>
    <mergeCell ref="BP161:BP164"/>
    <mergeCell ref="BV161:BV164"/>
    <mergeCell ref="BW161:BW164"/>
    <mergeCell ref="BX161:BX164"/>
    <mergeCell ref="BY161:BY164"/>
    <mergeCell ref="CE161:CE164"/>
    <mergeCell ref="CF161:CF164"/>
    <mergeCell ref="CG161:CG164"/>
    <mergeCell ref="CH161:CH164"/>
    <mergeCell ref="CN161:CN164"/>
    <mergeCell ref="CO161:CO164"/>
    <mergeCell ref="CP161:CP164"/>
    <mergeCell ref="CQ161:CQ164"/>
    <mergeCell ref="CW161:CW164"/>
    <mergeCell ref="CX161:CX164"/>
    <mergeCell ref="CY161:CY164"/>
    <mergeCell ref="CZ161:CZ164"/>
    <mergeCell ref="DF161:DF164"/>
    <mergeCell ref="DG161:DG164"/>
    <mergeCell ref="DH161:DH164"/>
    <mergeCell ref="DI161:DI164"/>
    <mergeCell ref="DO161:DO164"/>
    <mergeCell ref="DP161:DP164"/>
    <mergeCell ref="DQ161:DQ164"/>
    <mergeCell ref="DR161:DR164"/>
    <mergeCell ref="CE55:CE58"/>
    <mergeCell ref="CF55:CF58"/>
    <mergeCell ref="CG55:CG58"/>
    <mergeCell ref="CH55:CH58"/>
    <mergeCell ref="CN55:CN58"/>
    <mergeCell ref="CO55:CO58"/>
    <mergeCell ref="CP55:CP58"/>
    <mergeCell ref="CQ55:CQ58"/>
    <mergeCell ref="CW55:CW58"/>
    <mergeCell ref="CX55:CX58"/>
    <mergeCell ref="CY55:CY58"/>
    <mergeCell ref="CZ55:CZ58"/>
    <mergeCell ref="DF55:DF58"/>
    <mergeCell ref="DG55:DG58"/>
    <mergeCell ref="DH55:DH58"/>
    <mergeCell ref="DI55:DI58"/>
    <mergeCell ref="DO55:DO58"/>
    <mergeCell ref="DP55:DP58"/>
    <mergeCell ref="DQ55:DQ58"/>
    <mergeCell ref="DR55:DR58"/>
    <mergeCell ref="CN191:CN194"/>
    <mergeCell ref="CO191:CO194"/>
    <mergeCell ref="CP191:CP194"/>
    <mergeCell ref="CQ191:CQ194"/>
    <mergeCell ref="CW191:CW194"/>
    <mergeCell ref="CX191:CX194"/>
    <mergeCell ref="CY191:CY194"/>
    <mergeCell ref="CZ191:CZ194"/>
    <mergeCell ref="DF191:DF194"/>
    <mergeCell ref="DG191:DG194"/>
    <mergeCell ref="DH191:DH194"/>
    <mergeCell ref="DI191:DI194"/>
    <mergeCell ref="DO191:DO194"/>
    <mergeCell ref="DP191:DP194"/>
    <mergeCell ref="DQ191:DQ194"/>
    <mergeCell ref="DR191:DR194"/>
    <mergeCell ref="DX55:DX58"/>
    <mergeCell ref="DY55:DY58"/>
    <mergeCell ref="DZ55:DZ58"/>
    <mergeCell ref="EA55:EA58"/>
    <mergeCell ref="AC55:AC58"/>
    <mergeCell ref="AD55:AD58"/>
    <mergeCell ref="AE55:AE58"/>
    <mergeCell ref="AF55:AF58"/>
    <mergeCell ref="DX61:DX64"/>
    <mergeCell ref="DY61:DY64"/>
    <mergeCell ref="DZ61:DZ64"/>
    <mergeCell ref="EA61:EA64"/>
    <mergeCell ref="AC61:AC64"/>
    <mergeCell ref="AD61:AD64"/>
    <mergeCell ref="AE61:AE64"/>
    <mergeCell ref="AF61:AF64"/>
    <mergeCell ref="DX75:DX78"/>
    <mergeCell ref="DY75:DY78"/>
    <mergeCell ref="DZ75:DZ78"/>
    <mergeCell ref="EA75:EA78"/>
    <mergeCell ref="AC75:AC78"/>
    <mergeCell ref="AD75:AD78"/>
    <mergeCell ref="AE75:AE78"/>
    <mergeCell ref="AF75:AF78"/>
    <mergeCell ref="DX115:DX118"/>
    <mergeCell ref="DY115:DY118"/>
    <mergeCell ref="DZ115:DZ118"/>
    <mergeCell ref="EA115:EA118"/>
    <mergeCell ref="AC115:AC118"/>
    <mergeCell ref="AD115:AD118"/>
    <mergeCell ref="AE115:AE118"/>
    <mergeCell ref="AF115:AF118"/>
    <mergeCell ref="DX101:DX104"/>
    <mergeCell ref="DY101:DY104"/>
    <mergeCell ref="DZ101:DZ104"/>
    <mergeCell ref="EA101:EA104"/>
    <mergeCell ref="AC101:AC104"/>
    <mergeCell ref="AD101:AD104"/>
    <mergeCell ref="AE101:AE104"/>
    <mergeCell ref="AF101:AF104"/>
    <mergeCell ref="DX95:DX98"/>
    <mergeCell ref="DY95:DY98"/>
    <mergeCell ref="DZ95:DZ98"/>
    <mergeCell ref="EA95:EA98"/>
    <mergeCell ref="AC95:AC98"/>
    <mergeCell ref="AD95:AD98"/>
    <mergeCell ref="AE95:AE98"/>
    <mergeCell ref="AF95:AF98"/>
    <mergeCell ref="DX81:DX84"/>
    <mergeCell ref="DY81:DY84"/>
    <mergeCell ref="DZ81:DZ84"/>
    <mergeCell ref="EA81:EA84"/>
    <mergeCell ref="AC81:AC84"/>
    <mergeCell ref="AD81:AD84"/>
    <mergeCell ref="AE81:AE84"/>
    <mergeCell ref="AF81:AF84"/>
    <mergeCell ref="DX121:DX124"/>
    <mergeCell ref="DY121:DY124"/>
    <mergeCell ref="DZ121:DZ124"/>
    <mergeCell ref="EA121:EA124"/>
    <mergeCell ref="AC121:AC124"/>
    <mergeCell ref="AD121:AD124"/>
    <mergeCell ref="AE121:AE124"/>
    <mergeCell ref="AF121:AF124"/>
    <mergeCell ref="DX135:DX138"/>
    <mergeCell ref="DY135:DY138"/>
    <mergeCell ref="DZ135:DZ138"/>
    <mergeCell ref="EA135:EA138"/>
    <mergeCell ref="AC135:AC138"/>
    <mergeCell ref="AD135:AD138"/>
    <mergeCell ref="AE135:AE138"/>
    <mergeCell ref="AF135:AF138"/>
    <mergeCell ref="DX141:DX144"/>
    <mergeCell ref="DY141:DY144"/>
    <mergeCell ref="DZ141:DZ144"/>
    <mergeCell ref="EA141:EA144"/>
    <mergeCell ref="AC141:AC144"/>
    <mergeCell ref="AD141:AD144"/>
    <mergeCell ref="AE141:AE144"/>
    <mergeCell ref="AF141:AF144"/>
    <mergeCell ref="DX155:DX158"/>
    <mergeCell ref="DY155:DY158"/>
    <mergeCell ref="DZ155:DZ158"/>
    <mergeCell ref="EA155:EA158"/>
    <mergeCell ref="AC155:AC158"/>
    <mergeCell ref="AD155:AD158"/>
    <mergeCell ref="AE155:AE158"/>
    <mergeCell ref="AF155:AF158"/>
    <mergeCell ref="DX161:DX164"/>
    <mergeCell ref="DY161:DY164"/>
    <mergeCell ref="DZ161:DZ164"/>
    <mergeCell ref="EA161:EA164"/>
    <mergeCell ref="AC161:AC164"/>
    <mergeCell ref="AD161:AD164"/>
    <mergeCell ref="AE161:AE164"/>
    <mergeCell ref="AF161:AF164"/>
    <mergeCell ref="DX177:DX180"/>
    <mergeCell ref="DY177:DY180"/>
    <mergeCell ref="DZ177:DZ180"/>
    <mergeCell ref="EA177:EA180"/>
    <mergeCell ref="AC177:AC180"/>
    <mergeCell ref="AD177:AD180"/>
    <mergeCell ref="AE177:AE180"/>
    <mergeCell ref="AF177:AF180"/>
    <mergeCell ref="DX191:DX194"/>
    <mergeCell ref="DY191:DY194"/>
    <mergeCell ref="DZ191:DZ194"/>
    <mergeCell ref="EA191:EA194"/>
    <mergeCell ref="AC191:AC194"/>
    <mergeCell ref="AD191:AD194"/>
    <mergeCell ref="AE191:AE194"/>
    <mergeCell ref="AF191:AF194"/>
  </mergeCells>
  <dataValidations count="8">
    <dataValidation allowBlank="1" showInputMessage="1" showErrorMessage="1" prompt="Для выбора выполните двойной щелчок левой клавиши мыши по соответствующей ячейке." sqref="AD65728 AD131264 AD196800 AD262336 AD327872 AD393408 AD458944 AD524480 AD590016 AD655552 AD721088 AD786624 AD852160 AD917696 AD983232 AF131264 AF458944 AF196800 AF262336 AF327872 AF393408 AF524480 AF590016 AF655552 AF721088 AF786624 AF852160 AF917696 AF983232 AF65728 AM65728 AM131264 AM196800 AM262336 AM327872 AM393408 AM458944 AM524480 AM590016 AM655552 AM721088 AM786624 AM852160 AM917696 AM983232 AO393408:EA393408 AO327872:EA327872 AO524480:EA524480 AO55 AV55 AX55 BE55 BG55 BN55 BP55 BW55 BY55 CF55 CH55 CO55 CQ55 CX55 CZ55 DG55 DI55 DP55 DR55 DY55 EA55 AO590016:EA590016 AO655552:EA655552 AO19:AO21 AO721088:EA721088 AO786624:EA786624 AO852160:EA852160 AO917696:EA917696 AO983232:EA983232 AO65728:EA65728 AO131264:EA131264 AO458944:EA458944 AF55 AO196800:EA196800 AF8 AD8 AM55 AM19:AM21 AO262336:EA262336 AD55 AO8 AV8 AX8 BE8 BG8 BN8 BP8 BW8 BY8 CF8 CH8 CO8 CQ8 CX8 CZ8 DG8 DI8 DP8 DR8 DY8 EA8 AM8 AD177 AF177 AM177 AO177 AV177 AX177 BE177 BG177 BN177 BP177 BW177 BY177 CF177 CH177 CO177 CQ177 CX177 CZ177 DG177 DI177 DP177 DR177 DY177 EA177 AD191 AF191 AM191 AO191 AV191 AX191 BE191 BG191 BN191 BP191 BW191 BY191 CF191 CH191 CO191 CQ191 CX191 CZ191 DG191 DI191 DP191 DR191 DY191 EA191 AD75 AF75 AM75 AO75 AV75 AX75 BE75 BG75 BN75 BP75 BW75 BY75 CF75 CH75 CO75 CQ75 CX75 CZ75 DG75 DI75 DP75 DR75 DY75 EA75 AD95 AF95 AM95 AO95 AV95 AX95 BE95 BG95 BN95 BP95 BW95 BY95 CF95 CH95 CO95 CQ95 CX95 CZ95 DG95 DI95 DP95 DR95 DY95 EA95 AD115 AF115 AM115 AO115 AV115 AX115 BE115 BG115 BN115 BP115 BW115 BY115 CF115 CH115 CO115 CQ115 CX115 CZ115 DG115 DI115 DP115 DR115 DY115 EA115 AD135 AF135 AM135 AO135 AV135 AX135 BE135 BG135 BN135 BP135 BW135 BY135 CF135 CH135 CO135 CQ135 CX135 CZ135 DG135 DI135 DP135 DR135 DY135 EA135 AD155 AF155 AM155 AO155 AV155 AX155 BE155 BG155 BN155 BP155 BW155 BY155 CF155 CH155 CO155 CQ155 CX155 CZ155 DG155 DI155 DP155 DR155 DY155 EA155 AD61 AF61 AM61 AO61 AV61 AX61 BE61 BG61 BN61 BP61 BW61 BY61 CF61 CH61 CO61 CQ61 CX61 CZ61 DG61 DI61 DP61 DR61 DY61 EA61 AD81 AF81 AM81 AO81 AV81 AX81 BE81 BG81 BN81 BP81 BW81 BY81 CF81 CH81 CO81 CQ81 CX81 CZ81 DG81 DI81 DP81 DR81 DY81 EA81 AD101 AF101 AM101 AO101 AV101 AX101 BE101 BG101 BN101 BP101 BW101 BY101 CF101 CH101 CO101 CQ101 CX101 CZ101 DG101 DI101 DP101 DR101 DY101 EA101 AD121 AF121 AM121 AO121 AV121 AX121 BE121 BG121 BN121 BP121 BW121 BY121 CF121 CH121 CO121 CQ121 CX121 CZ121 DG121 DI121 DP121 DR121 DY121 EA121 AD141 AF141 AM141 AO141 AV141 AX141 BE141 BG141 BN141 BP141 BW141 BY141 CF141 CH141 CO141 CQ141 CX141 CZ141 DG141 DI141 DP141 DR141 DY141 EA141 AD161 AF161 AM161 AO161 AV161 AX161 BE161 BG161 BN161 BP161 BW161 BY161 CF161 CH161 CO161 CQ161 CX161 CZ161 DG161 DI161 DP161 DR161 DY161 EA161 DY56 EA56 DY57 EA57 AD56 AF56 AD57 AF57 DY62 EA62 DY63 EA63 AD62 AF62 AD63 AF63 DY76 EA76 DY77 EA77 AD76 AF76 AD77 AF77 DY116 EA116 DY117 EA117 AD116 AF116 AD117 AF117 DY102 EA102 DY103 EA103 AD102 AF102 AD103 AF103 DY96 EA96 DY97 EA97 AD96 AF96 AD97 AF97 DY82 EA82 DY83 EA83 AD82 AF82 AD83 AF83 DY122 EA122 DY123 EA123 AD122 AF122 AD123 AF123 DY136 EA136 DY137 EA137 AD136 AF136 AD137 AF137 DY142 EA142 DY143 EA143 AD142 AF142 AD143 AF143 DY156 EA156 DY157 EA157 AD156 AF156 AD157 AF157 DY162 EA162 DY163 EA163 AD162 AF162 AD163 AF163 DY178 EA178 DY179 EA179 AD178 AF178 AD179 AF179 DY192 EA192 DY193 EA193 AD192 AF192 AD193 AF193"/>
    <dataValidation allowBlank="1" promptTitle="checkPeriodRange" sqref="AB65729 AB131265 AB196801 AB262337 AB327873 AB393409 AB458945 AB524481 AB590017 AB655553 AB721089 AB786625 AB852161 AB917697 AB983233 AB10:AB11 AK65729 AK131265 AK196801 AK262337 AK327873 AK393409 AK458945 AK524481 AK590017 AK655553 AK721089 AK786625 AK852161 AK917697 AK983233 AK10:AK11 AK57 AK22 AK179 AB180 AK180 AK193 AB194 AK194 AK77 AB78 AK78 AK97 AB98 AK98 AK117 AB118 AK118 AK137 AB138 AK138 AK157 AB158 AK158 AT10 AT11 AT57 AT77 AT78 AT97 AT98 AT117 AT118 AT137 AT138 AT157 AT158 AT179 AT180 AT193 AT194 BC10 BC11 BC57 BC77 BC78 BC97 BC98 BC117 BC118 BC137 BC138 BC157 BC158 BC179 BC180 BC193 BC194 BL10 BL11 BL57 BL77 BL78 BL97 BL98 BL117 BL118 BL137 BL138 BL157 BL158 BL179 BL180 BL193 BL194 BU10 BU11 BU57 BU77 BU78 BU97 BU98 BU117 BU118 BU137 BU138 BU157 BU158 BU179 BU180 BU193 BU194 CD10 CD11 CD77 CD78 CD97 CD98 CD117 CD118 CD137 CD138 CD157 CD158 CD179 CD180 CD193 CD194 CM10 CM11 CM77 CM78 CM97 CM98 CM117 CM118 CM137 CM138 CM157 CM158 CM179 CM180 CM194 CV10 CV11 CV77 CV78 CV97 CV98 CV117 CV118 CV137 CV138 CV157 CV158 CV179 CV180 CV194 DE10 DE11 DE77 DE78 DE97 DE98 DE117 DE118 DE137 DE138 DE157 DE158 DE179 DE180 DE194 DN10 DN11 DN77 DN78 DN97 DN98 DN117 DN118 DN137 DN138 DN157 DN158 DN179 DN180 DN194 DW10 DW11 DW78 DW98 DW118 DW138 DW158 DW180 DW194 AK63 AT63 BC63 BL63 BU63 CD63 CM63 CV63 DE63 DN63 AB64 AK64 AT64 BC64 BL64 BU64 CD64 CM64 CV64 DE64 DN64 DW64 AK83 AT83 BC83 BL83 BU83 CD83 CM83 CV83 DE83 DN83 AB84 AK84 AT84 BC84 BL84 BU84 CD84 CM84 CV84 DE84 DN84 DW84 AK103 AT103 BC103 BL103 BU103 CD103 CM103 CV103 DE103 DN103 AB104 AK104 AT104 BC104 BL104 BU104 CD104 CM104 CV104 DE104 DN104 DW104 AK123 AT123 BC123 BL123 BU123 CD123 CM123 CV123 DE123 DN123 AB124 AK124 AT124 BC124 BL124 BU124 CD124 CM124 CV124 DE124 DN124 DW124 AK143 AT143 BC143 BL143 BU143 CD143 CM143 CV143 DE143 DN143 AB144 AK144 AT144 BC144 BL144 BU144 CD144 CM144 CV144 DE144 DN144 DW144 AK163 AT163 BC163 BL163 BU163 CD163 CM163 CV163 DE163 DN163 AB164 AK164 AT164 BC164 BL164 BU164 CD164 CM164 CV164 DE164 DN164 DW164 CD58 CM58 CV58 DE58 DN58 DW58 AB58 CD57 CM57 CV57 DE57 DN57 CM193 CV193 DE193 DN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728 AC131264 AC196800 AC262336 AC327872 AC393408 AC458944 AC524480 AC590016 AC655552 AC721088 AC786624 AC852160 AC917696 AC983232 AE65728 AE131264 AE196800 AE262336 AE327872 AE393408 AE458944 AE524480 AE590016 AE655552 AE721088 AE786624 AE852160 AE917696 AE983232 AN55 AL65728 AL131264 AL196800 AL262336 AL327872 AL393408 AL458944 AL524480 AL590016 AL655552 AL721088 AL786624 AL852160 AL917696 AL983232 AN65728 AN131264 AN196800 AN262336 AN327872 AN393408 AN458944 AN524480 AN590016 AN655552 AN721088 AN786624 AN852160 AN917696 AN983232 AC55 AE55 AL55 AE8 AC8 AL19:AL21 AN19:AN21 AN8 AL8 AC177 AE177 AL177 AN177 AC191 AE191 AL191 AN191 AC75 AE75 AL75 AN75 AC95 AE95 AL95 AN95 AC115 AE115 AL115 AN115 AC135 AE135 AL135 AN135 AC155 AE155 AL155 AN155 AU8 AW8 AU55 AW55 AU75 AW75 AU95 AW95 AU115 AW115 AU135 AW135 AU155 AW155 AU177 AW177 AU191 AW191 BD8 BF8 BD55 BF55 BD75 BF75 BD95 BF95 BD115 BF115 BD135 BF135 BD155 BF155 BD177 BF177 BD191 BF191 BM8 BO8 BM55 BO55 BM75 BO75 BM95 BO95 BM115 BO115 BM135 BO135 BM155 BO155 BM177 BO177 BM191 BO191 BV8 BX8 BV55 BX55 BV75 BX75 BV95 BX95 BV115 BX115 BV135 BX135 BV155 BX155 BV177 BX177 BV191 BX191 CE8 CG8 CE55 CG55 CE75 CG75 CE95 CG95 CE115 CG115 CE135 CG135 CE155 CG155 CE177 CG177 CE191 CG191 CN8 CP8 CN55 CP55 CN75 CP75 CN95 CP95 CN115 CP115 CN135 CP135 CN155 CP155 CN177 CP177 CN191 CP191 CW8 CY8 CW55 CY55 CW75 CY75 CW95 CY95 CW115 CY115 CW135 CY135 CW155 CY155 CW177 CY177 CW191 CY191 DF8 DH8 DF55 DH55 DF75 DH75 DF95 DH95 DF115 DH115 DF135 DH135 DF155 DH155 DF177 DH177 DF191 DH191 DO8 DQ8 DO55 DQ55 DO75 DQ75 DO95 DQ95 DO115 DQ115 DO135 DQ135 DO155 DQ155 DO177 DQ177 DO191 DQ191 DX8 DZ8 DX55 DZ55 DX75 DZ75 DX95 DZ95 DX115 DZ115 DX135 DZ135 DX155 DZ155 DX177 DZ177 DX191 DZ191 AC61 AE61 AL61 AN61 AU61 AW61 BD61 BF61 BM61 BO61 BV61 BX61 CE61 CG61 CN61 CP61 CW61 CY61 DF61 DH61 DO61 DQ61 DX61 DZ61 AC81 AE81 AL81 AN81 AU81 AW81 BD81 BF81 BM81 BO81 BV81 BX81 CE81 CG81 CN81 CP81 CW81 CY81 DF81 DH81 DO81 DQ81 DX81 DZ81 AC101 AE101 AL101 AN101 AU101 AW101 BD101 BF101 BM101 BO101 BV101 BX101 CE101 CG101 CN101 CP101 CW101 CY101 DF101 DH101 DO101 DQ101 DX101 DZ101 AC121 AE121 AL121 AN121 AU121 AW121 BD121 BF121 BM121 BO121 BV121 BX121 CE121 CG121 CN121 CP121 CW121 CY121 DF121 DH121 DO121 DQ121 DX121 DZ121 AC141 AE141 AL141 AN141 AU141 AW141 BD141 BF141 BM141 BO141 BV141 BX141 CE141 CG141 CN141 CP141 CW141 CY141 DF141 DH141 DO141 DQ141 DX141 DZ141 AC161 AE161 AL161 AN161 AU161 AW161 BD161 BF161 BM161 BO161 BV161 BX161 CE161 CG161 CN161 CP161 CW161 CY161 DF161 DH161 DO161 DQ161 DX161 DZ161 DX56 DZ56 DX57 DZ57 AC56 AE56 AC57 AE57 DX62 DZ62 DX63 DZ63 AC62 AE62 AC63 AE63 DX76 DZ76 DX77 DZ77 AC76 AE76 AC77 AE77 DX116 DZ116 DX117 DZ117 AC116 AE116 AC117 AE117 DX102 DZ102 DX103 DZ103 AC102 AE102 AC103 AE103 DX96 DZ96 DX97 DZ97 AC96 AE96 AC97 AE97 DX82 DZ82 DX83 DZ83 AC82 AE82 AC83 AE83 DX122 DZ122 DX123 DZ123 AC122 AE122 AC123 AE123 DX136 DZ136 DX137 DZ137 AC136 AE136 AC137 AE137 DX142 DZ142 DX143 DZ143 AC142 AE142 AC143 AE143 DX156 DZ156 DX157 DZ157 AC156 AE156 AC157 AE157 DX162 DZ162 DX163 DZ163 AC162 AE162 AC163 AE163 DX178 DZ178 DX179 DZ179 AC178 AE178 AC179 AE179 DX192 DZ192 DX193 DZ193 AC192 AE192 AC193 AE193"/>
    <dataValidation type="textLength" operator="lessThanOrEqual" allowBlank="1" showInputMessage="1" showErrorMessage="1" errorTitle="Ошибка" error="Допускается ввод не более 900 символов!" sqref="EC65722:EC65729 EC131258:EC131265 EC196794:EC196801 EC262330:EC262337 EC327866:EC327873 EC393402:EC393409 EC458938:EC458945 EC524474:EC524481 EC590010:EC590017 EC655546:EC655553 EC721082:EC721089 EC786618:EC786625 EC852154:EC852161 EC917690:EC917697 EC983226:EC983233">
      <formula1>900</formula1>
    </dataValidation>
    <dataValidation allowBlank="1" sqref="U131266:EC131272 U196802:EC196808 U262338:EC262344 U327874:EC327880 U393410:EC393416 U458946:EC458952 U524482:EC524488 U590018:EC590024 U655554:EC655560 U721090:EC721096 U786626:EC786632 U852162:EC852168 U917698:EC917704 U983234:EC983240 U65730:EC65736"/>
    <dataValidation type="list" allowBlank="1" showInputMessage="1" errorTitle="Ошибка" error="Выберите значение из списка" prompt="Выберите значение из списка" sqref="X983231:EB983231 X65727:EB65727 X131263:EB131263 X196799:EB196799 X262335:EB262335 X327871:EB327871 X393407:EB393407 X458943:EB458943 X524479:EB524479 X590015:EB590015 X655551:EB655551 X721087:EB721087 X786623:EB786623 X852159:EB852159 X917695:EB917695">
      <formula1>kind_of_cons</formula1>
    </dataValidation>
    <dataValidation type="list" allowBlank="1" showInputMessage="1" showErrorMessage="1" errorTitle="Ошибка" error="Выберите значение из списка" sqref="X983230:Z983230 X65726:Z65726 X131262:Z131262 X196798:Z196798 X262334:Z262334 X327870:Z327870 X393406:Z393406 X458942:Z458942 X524478:Z524478 X590014:Z590014 X655550:Z655550 X721086:Z721086 X786622:Z786622 X852158:Z852158 X917694:Z917694 AG983230:AI983230 AG65726:AI65726 AG131262:AI131262 AG196798:AI196798 AG262334:AI262334 AG327870:AI327870 AG393406:AI393406 AG458942:AI458942 AG524478:AI524478 AG590014:AI590014 AG655550:AI655550 AG721086:AI721086 AG786622:AI786622 AG852158:AI852158 AG917694:AI917694">
      <formula1>kind_of_scheme_in</formula1>
    </dataValidation>
    <dataValidation type="list" allowBlank="1" showInputMessage="1" showErrorMessage="1" errorTitle="Ошибка" error="Выберите значение из списка" sqref="V65728 V131264 V196800 V262336 V327872 V393408 V458944 V524480 V590016 V655552 V721088 V786624 V852160 V917696 V983232">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ACF8A1A2-7C69-CF14-2D65-46D6ADE3418D}" mc:Ignorable="x14ac xr xr2 xr3">
  <sheetPr>
    <tabColor rgb="FFCCCCFF"/>
  </sheetPr>
  <dimension ref="A1:Q79"/>
  <sheetViews>
    <sheetView topLeftCell="C1" showGridLines="0" zoomScale="110" workbookViewId="0" tabSelected="1">
      <selection activeCell="I33" sqref="I33"/>
    </sheetView>
  </sheetViews>
  <sheetFormatPr defaultColWidth="9.140625" customHeight="1" defaultRowHeight="11.25"/>
  <cols>
    <col min="1" max="1" style="30615" width="10.7109375" hidden="1" customWidth="1"/>
    <col min="2" max="2" style="30616" width="10.7109375" hidden="1" customWidth="1"/>
    <col min="3" max="3" style="30617" width="3.00390625" customWidth="1"/>
    <col min="4" max="4" style="30541" width="1.00390625" customWidth="1"/>
    <col min="5" max="6" style="30541" width="55.00390625" customWidth="1"/>
    <col min="7" max="7" style="30618" width="1.00390625" customWidth="1"/>
    <col min="8" max="8" style="30541" width="18.00390625" hidden="1" customWidth="1"/>
    <col min="9" max="9" style="30619" width="59.00390625" customWidth="1"/>
    <col min="10" max="10" style="30620" width="52.140625" hidden="1" customWidth="1"/>
    <col min="11" max="11" style="30541" width="8.00390625" customWidth="1"/>
    <col min="12" max="12" style="30541" width="77.00390625" customWidth="1"/>
    <col min="13" max="16" style="30541" width="8.00390625" customWidth="1"/>
    <col min="17" max="17" style="30541" width="12.00390625" hidden="1" customWidth="1"/>
  </cols>
  <sheetData>
    <row s="30498" customFormat="1" customHeight="1" ht="3">
      <c r="A1" s="1067"/>
      <c r="B1" s="525"/>
      <c r="F1" s="526" t="s">
        <v>13</v>
      </c>
      <c r="G1" s="695"/>
      <c r="H1" s="355"/>
      <c r="I1" s="695"/>
      <c r="J1" s="1155"/>
      <c r="Q1" s="526" t="s">
        <v>14</v>
      </c>
    </row>
    <row s="30505" customFormat="1" customHeight="1" ht="14.25">
      <c r="A2" s="1067"/>
      <c r="B2" s="382"/>
      <c r="E2" s="2024" t="str">
        <f>code</f>
        <v>Код отчёта: PP110.OPEN.INFO.PRICE.HEAT.EIAS</v>
      </c>
      <c r="F2" s="553"/>
      <c r="G2" s="529"/>
      <c r="H2" s="529"/>
      <c r="I2" s="529"/>
      <c r="J2" s="1156"/>
      <c r="K2" s="529"/>
      <c r="Q2" s="355">
        <v>14</v>
      </c>
    </row>
    <row customHeight="1" ht="14.699999999999998">
      <c r="E3" s="530" t="str">
        <f>version</f>
        <v>Версия отчёта: 1.1.1</v>
      </c>
      <c r="F3" s="553"/>
      <c r="G3" s="1054"/>
      <c r="H3" s="1054"/>
      <c r="I3" s="1054"/>
      <c r="J3" s="1157"/>
      <c r="K3" s="372"/>
      <c r="Q3" s="358">
        <v>14</v>
      </c>
    </row>
    <row s="30516" customFormat="1" customHeight="1" ht="6.3">
      <c r="A4" s="1068"/>
      <c r="B4" s="516"/>
      <c r="C4" s="517"/>
      <c r="D4" s="518"/>
      <c r="E4" s="527"/>
      <c r="F4" s="528"/>
      <c r="G4" s="1055"/>
      <c r="H4" s="693"/>
      <c r="I4" s="695"/>
      <c r="J4" s="1158"/>
      <c r="Q4" s="520">
        <v>6</v>
      </c>
    </row>
    <row customHeight="1" ht="39.75">
      <c r="D5" s="359"/>
      <c r="E5" s="2379" t="str">
        <f>NameTemplatesInTitle</f>
        <v>Показатели, подлежащие раскрытию в сфере теплоснабжения (цены и тарифы)</v>
      </c>
      <c r="F5" s="2380"/>
      <c r="G5" s="1056"/>
      <c r="J5" s="1159"/>
      <c r="Q5" s="358">
        <v>38</v>
      </c>
    </row>
    <row s="30516" customFormat="1" customHeight="1" ht="6.3">
      <c r="A6" s="1068"/>
      <c r="B6" s="516"/>
      <c r="C6" s="517"/>
      <c r="D6" s="518"/>
      <c r="E6" s="521"/>
      <c r="F6" s="522"/>
      <c r="G6" s="1056"/>
      <c r="H6" s="693"/>
      <c r="I6" s="695"/>
      <c r="J6" s="1158"/>
      <c r="Q6" s="520">
        <v>6</v>
      </c>
    </row>
    <row customHeight="1" ht="21">
      <c r="D7" s="359"/>
      <c r="E7" s="675" t="s">
        <v>15</v>
      </c>
      <c r="F7" s="499" t="s">
        <v>16</v>
      </c>
      <c r="G7" s="1056"/>
      <c r="Q7" s="358">
        <v>20</v>
      </c>
    </row>
    <row s="30516" customFormat="1" customHeight="1" ht="6.3">
      <c r="A8" s="1069"/>
      <c r="B8" s="516"/>
      <c r="C8" s="517"/>
      <c r="D8" s="523"/>
      <c r="E8" s="521"/>
      <c r="F8" s="524"/>
      <c r="G8" s="361"/>
      <c r="H8" s="693"/>
      <c r="I8" s="695"/>
      <c r="J8" s="1161"/>
      <c r="Q8" s="520">
        <v>6</v>
      </c>
    </row>
    <row s="30541" customFormat="1" customHeight="1" ht="19.5" hidden="1">
      <c r="A9" s="1068"/>
      <c r="B9" s="382"/>
      <c r="C9" s="692"/>
      <c r="D9" s="694"/>
      <c r="E9" s="1449" t="s">
        <v>17</v>
      </c>
      <c r="F9" s="2205"/>
      <c r="G9" s="1056"/>
      <c r="I9" s="2184" t="str">
        <f>IF(TITLE_STRUCTURE_INFO_ROIV="","","раскрывается "&amp;INDEX(ROIV_INFO_COMMENT,MATCH(TITLE_STRUCTURE_INFO_ROIV,ROIV_INFO_LIST,0)))</f>
        <v/>
      </c>
      <c r="J9" s="1160"/>
      <c r="Q9" s="693">
        <v>0</v>
      </c>
    </row>
    <row s="30516" customFormat="1" customHeight="1" ht="24" hidden="1">
      <c r="A10" s="1069"/>
      <c r="B10" s="710"/>
      <c r="C10" s="711"/>
      <c r="D10" s="523"/>
      <c r="E10" s="1449" t="s">
        <v>18</v>
      </c>
      <c r="F10" s="2350" t="s">
        <v>19</v>
      </c>
      <c r="G10" s="361"/>
      <c r="H10" s="693"/>
      <c r="I10" s="695"/>
      <c r="J10" s="1161"/>
      <c r="Q10" s="714">
        <v>24</v>
      </c>
    </row>
    <row customHeight="1" ht="22.5">
      <c r="A11" s="2382" t="s">
        <v>20</v>
      </c>
      <c r="D11" s="359"/>
      <c r="E11" s="1449" t="s">
        <v>21</v>
      </c>
      <c r="F11" s="3014">
        <v>45292</v>
      </c>
      <c r="G11" s="361"/>
      <c r="H11" s="1057" t="s">
        <v>22</v>
      </c>
      <c r="J11" s="1160" t="s">
        <v>23</v>
      </c>
      <c r="Q11" s="358">
        <v>0</v>
      </c>
    </row>
    <row customHeight="1" ht="22.5">
      <c r="A12" s="2382"/>
      <c r="D12" s="359"/>
      <c r="E12" s="1449" t="s">
        <v>24</v>
      </c>
      <c r="F12" s="3014">
        <v>47118</v>
      </c>
      <c r="G12" s="357"/>
      <c r="J12" s="1160" t="s">
        <v>25</v>
      </c>
      <c r="Q12" s="358">
        <v>0</v>
      </c>
    </row>
    <row s="30541" customFormat="1" customHeight="1" ht="22.5" hidden="1">
      <c r="A13" s="1072" t="s">
        <v>26</v>
      </c>
      <c r="B13" s="382"/>
      <c r="C13" s="692"/>
      <c r="D13" s="694"/>
      <c r="E13" s="2059" t="s">
        <v>27</v>
      </c>
      <c r="F13" s="2016" t="s">
        <v>28</v>
      </c>
      <c r="G13" s="361"/>
      <c r="H13" s="1054"/>
      <c r="I13" s="695"/>
      <c r="J13" s="2060" t="s">
        <v>29</v>
      </c>
      <c r="Q13" s="693">
        <v>0</v>
      </c>
    </row>
    <row s="30541" customFormat="1" customHeight="1" ht="27" hidden="1">
      <c r="A14" s="1072" t="s">
        <v>30</v>
      </c>
      <c r="B14" s="382"/>
      <c r="C14" s="692"/>
      <c r="D14" s="694"/>
      <c r="E14" s="1449" t="s">
        <v>31</v>
      </c>
      <c r="F14" s="2051"/>
      <c r="G14" s="361"/>
      <c r="H14" s="1054"/>
      <c r="I14" s="695"/>
      <c r="J14" s="1160" t="s">
        <v>32</v>
      </c>
      <c r="Q14" s="693">
        <v>0</v>
      </c>
    </row>
    <row s="30541" customFormat="1" customHeight="1" ht="19.5" hidden="1">
      <c r="A15" s="1072" t="s">
        <v>33</v>
      </c>
      <c r="B15" s="382"/>
      <c r="C15" s="692"/>
      <c r="D15" s="694"/>
      <c r="E15" s="1449" t="s">
        <v>34</v>
      </c>
      <c r="F15" s="2051"/>
      <c r="G15" s="361"/>
      <c r="H15" s="1054"/>
      <c r="I15" s="695"/>
      <c r="J15" s="1160" t="s">
        <v>35</v>
      </c>
      <c r="Q15" s="693">
        <v>0</v>
      </c>
    </row>
    <row s="30516" customFormat="1" customHeight="1" ht="6.3">
      <c r="A16" s="1069"/>
      <c r="B16" s="516"/>
      <c r="C16" s="517"/>
      <c r="D16" s="523"/>
      <c r="E16" s="521"/>
      <c r="F16" s="524"/>
      <c r="G16" s="361"/>
      <c r="H16" s="693"/>
      <c r="I16" s="695"/>
      <c r="J16" s="1158"/>
      <c r="Q16" s="520">
        <v>6</v>
      </c>
    </row>
    <row customHeight="1" ht="21">
      <c r="D17" s="359"/>
      <c r="E17" s="675" t="s">
        <v>36</v>
      </c>
      <c r="F17" s="3022" t="s">
        <v>37</v>
      </c>
      <c r="G17" s="357"/>
      <c r="H17" s="1057" t="s">
        <v>22</v>
      </c>
      <c r="Q17" s="358">
        <v>20</v>
      </c>
    </row>
    <row customHeight="1" ht="25.5">
      <c r="D18" s="359"/>
      <c r="E18" s="2059" t="s">
        <v>38</v>
      </c>
      <c r="F18" s="22157">
        <v>45653</v>
      </c>
      <c r="G18" s="357"/>
      <c r="I18" s="1058"/>
      <c r="J18" s="2381" t="s">
        <v>39</v>
      </c>
      <c r="Q18" s="358">
        <v>0</v>
      </c>
    </row>
    <row customHeight="1" ht="25.5">
      <c r="D19" s="359"/>
      <c r="E19" s="1449"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2157">
        <v>45839</v>
      </c>
      <c r="G19" s="357"/>
      <c r="I19" s="1058"/>
      <c r="J19" s="2381"/>
      <c r="Q19" s="358">
        <v>0</v>
      </c>
    </row>
    <row customHeight="1" ht="22.5">
      <c r="D20" s="359"/>
      <c r="E20" s="360"/>
      <c r="F20" s="554" t="str">
        <f>"Первичное "&amp;IF(TEMPLATE_GROUP="P","установление тарифов","предложение по тарифам")</f>
        <v>Первичное установление тарифов</v>
      </c>
      <c r="G20" s="357"/>
      <c r="I20" s="678"/>
      <c r="J20" s="1159" t="s">
        <v>40</v>
      </c>
      <c r="Q20" s="358">
        <v>0</v>
      </c>
    </row>
    <row customHeight="1" ht="19.5">
      <c r="D21" s="359"/>
      <c r="E21" s="675" t="str">
        <f>"Дата "&amp;IF(TEMPLATE_GROUP="P","документа","подачи заявления")&amp;" об утверждении тарифов"</f>
        <v>Дата документа об утверждении тарифов</v>
      </c>
      <c r="F21" s="22157">
        <v>45279</v>
      </c>
      <c r="G21" s="357"/>
      <c r="I21" s="1059"/>
      <c r="Q21" s="358">
        <v>0</v>
      </c>
    </row>
    <row customHeight="1" ht="19.5">
      <c r="D22" s="359"/>
      <c r="E22" s="675" t="str">
        <f>"Номер "&amp;IF(TEMPLATE_GROUP="P","документа","подачи заявления")&amp;" об утверждении тарифов"</f>
        <v>Номер документа об утверждении тарифов</v>
      </c>
      <c r="F22" s="500" t="s">
        <v>41</v>
      </c>
      <c r="G22" s="357"/>
      <c r="I22" s="1059"/>
      <c r="Q22" s="358">
        <v>0</v>
      </c>
    </row>
    <row customHeight="1" ht="22.5">
      <c r="D23" s="359"/>
      <c r="E23" s="675" t="s">
        <v>42</v>
      </c>
      <c r="F23" s="500" t="s">
        <v>43</v>
      </c>
      <c r="G23" s="357"/>
      <c r="Q23" s="358">
        <v>0</v>
      </c>
    </row>
    <row customHeight="1" ht="19.5">
      <c r="D24" s="359"/>
      <c r="E24" s="675" t="s">
        <v>44</v>
      </c>
      <c r="F24" s="500" t="s">
        <v>45</v>
      </c>
      <c r="G24" s="357"/>
      <c r="Q24" s="358">
        <v>0</v>
      </c>
    </row>
    <row customHeight="1" ht="22.5">
      <c r="D25" s="359"/>
      <c r="E25" s="360"/>
      <c r="F25" s="554" t="str">
        <f>"Изменение "&amp;IF(TEMPLATE_GROUP="P","тарифов","предложения по тарифам")</f>
        <v>Изменение тарифов</v>
      </c>
      <c r="G25" s="357"/>
      <c r="J25" s="1159" t="s">
        <v>46</v>
      </c>
      <c r="Q25" s="358">
        <v>0</v>
      </c>
    </row>
    <row customHeight="1" ht="19.5">
      <c r="D26" s="359"/>
      <c r="E26" s="675" t="str">
        <f>"Дата "&amp;IF(TEMPLATE_GROUP="P","принятия решения","подачи заявления")&amp;" об изменении тарифов"</f>
        <v>Дата принятия решения об изменении тарифов</v>
      </c>
      <c r="F26" s="3023">
        <v>45645</v>
      </c>
      <c r="G26" s="357"/>
      <c r="Q26" s="358">
        <v>0</v>
      </c>
    </row>
    <row customHeight="1" ht="19.5">
      <c r="D27" s="359"/>
      <c r="E27" s="1449" t="str">
        <f>"Номер "&amp;IF(TEMPLATE_GROUP="P","принятия решения","заявления")&amp;" об изменении тарифов"</f>
        <v>Номер принятия решения об изменении тарифов</v>
      </c>
      <c r="F27" s="3031" t="s">
        <v>47</v>
      </c>
      <c r="G27" s="357"/>
      <c r="Q27" s="358">
        <v>0</v>
      </c>
    </row>
    <row customHeight="1" ht="24.75">
      <c r="D28" s="359"/>
      <c r="E28" s="675" t="s">
        <v>48</v>
      </c>
      <c r="F28" s="3031" t="s">
        <v>43</v>
      </c>
      <c r="G28" s="357"/>
      <c r="Q28" s="358">
        <v>0</v>
      </c>
    </row>
    <row customHeight="1" ht="19.5">
      <c r="D29" s="359"/>
      <c r="E29" s="675" t="s">
        <v>44</v>
      </c>
      <c r="F29" s="3031" t="s">
        <v>45</v>
      </c>
      <c r="G29" s="357"/>
      <c r="Q29" s="358">
        <v>0</v>
      </c>
    </row>
    <row s="30516" customFormat="1" customHeight="1" ht="6.3">
      <c r="A30" s="1069"/>
      <c r="B30" s="516"/>
      <c r="C30" s="517"/>
      <c r="D30" s="523"/>
      <c r="E30" s="521"/>
      <c r="F30" s="524"/>
      <c r="G30" s="361"/>
      <c r="H30" s="693"/>
      <c r="I30" s="695"/>
      <c r="J30" s="1158"/>
      <c r="Q30" s="520">
        <v>6</v>
      </c>
    </row>
    <row customHeight="1" ht="21">
      <c r="C31" s="362"/>
      <c r="D31" s="363"/>
      <c r="E31" s="675" t="str">
        <f>"Наименование "&amp;IF(TEMPLATE_GROUP="ROIV","органа тарифного регулирования","ЮЛ / ИП")</f>
        <v>Наименование ЮЛ / ИП</v>
      </c>
      <c r="F31" s="501" t="s">
        <v>49</v>
      </c>
      <c r="G31" s="1060"/>
      <c r="Q31" s="358">
        <v>20</v>
      </c>
    </row>
    <row customHeight="1" ht="21" hidden="1">
      <c r="C32" s="362"/>
      <c r="D32" s="363"/>
      <c r="E32" s="676" t="s">
        <v>50</v>
      </c>
      <c r="F32" s="501"/>
      <c r="G32" s="1060"/>
      <c r="Q32" s="358">
        <v>20</v>
      </c>
    </row>
    <row customHeight="1" ht="21">
      <c r="C33" s="362"/>
      <c r="D33" s="363"/>
      <c r="E33" s="675" t="s">
        <v>51</v>
      </c>
      <c r="F33" s="501" t="s">
        <v>52</v>
      </c>
      <c r="G33" s="1060"/>
      <c r="Q33" s="358">
        <v>20</v>
      </c>
    </row>
    <row customHeight="1" ht="21">
      <c r="C34" s="362"/>
      <c r="D34" s="363"/>
      <c r="E34" s="675" t="s">
        <v>53</v>
      </c>
      <c r="F34" s="501" t="s">
        <v>54</v>
      </c>
      <c r="G34" s="1060"/>
      <c r="H34" s="364"/>
      <c r="Q34" s="358">
        <v>20</v>
      </c>
    </row>
    <row s="30516" customFormat="1" customHeight="1" ht="11.549999999999999">
      <c r="A35" s="1069"/>
      <c r="B35" s="516"/>
      <c r="C35" s="517"/>
      <c r="D35" s="523"/>
      <c r="E35" s="521"/>
      <c r="F35" s="524"/>
      <c r="G35" s="361"/>
      <c r="H35" s="693"/>
      <c r="I35" s="695"/>
      <c r="J35" s="1158"/>
      <c r="Q35" s="520">
        <v>11</v>
      </c>
    </row>
    <row customHeight="1" ht="19.5">
      <c r="A36" s="1163"/>
      <c r="D36" s="363"/>
      <c r="E36" s="675" t="s">
        <v>55</v>
      </c>
      <c r="F36" s="3039" t="s">
        <v>56</v>
      </c>
      <c r="G36" s="361"/>
      <c r="Q36" s="358">
        <v>0</v>
      </c>
    </row>
    <row customHeight="1" ht="21">
      <c r="A37" s="1163"/>
      <c r="D37" s="363"/>
      <c r="E37" s="675" t="s">
        <v>57</v>
      </c>
      <c r="F37" s="3039" t="s">
        <v>58</v>
      </c>
      <c r="G37" s="361"/>
      <c r="Q37" s="358">
        <v>20</v>
      </c>
    </row>
    <row s="30516" customFormat="1" customHeight="1" ht="6.3">
      <c r="A38" s="1069"/>
      <c r="B38" s="516"/>
      <c r="C38" s="517"/>
      <c r="D38" s="518"/>
      <c r="E38" s="519"/>
      <c r="F38" s="1337"/>
      <c r="G38" s="357"/>
      <c r="H38" s="693"/>
      <c r="I38" s="695"/>
      <c r="J38" s="1160"/>
      <c r="Q38" s="520">
        <v>6</v>
      </c>
    </row>
    <row customHeight="1" ht="36.75">
      <c r="A39" s="1069"/>
      <c r="D39" s="359"/>
      <c r="E39" s="675" t="s">
        <v>59</v>
      </c>
      <c r="F39" s="994" t="s">
        <v>19</v>
      </c>
      <c r="G39" s="357"/>
      <c r="H39" s="1057" t="s">
        <v>22</v>
      </c>
      <c r="Q39" s="358">
        <v>35</v>
      </c>
    </row>
    <row s="30516" customFormat="1" customHeight="1" ht="6" hidden="1">
      <c r="A40" s="1068"/>
      <c r="B40" s="710"/>
      <c r="C40" s="711"/>
      <c r="D40" s="712"/>
      <c r="E40" s="713"/>
      <c r="F40" s="1337"/>
      <c r="G40" s="357"/>
      <c r="H40" s="693"/>
      <c r="I40" s="695"/>
      <c r="J40" s="1160"/>
      <c r="Q40" s="714">
        <v>6</v>
      </c>
    </row>
    <row s="30541" customFormat="1" customHeight="1" ht="26.25" hidden="1">
      <c r="A41" s="1072" t="s">
        <v>26</v>
      </c>
      <c r="B41" s="697"/>
      <c r="C41" s="692"/>
      <c r="D41" s="694"/>
      <c r="E41" s="67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994" t="s">
        <v>19</v>
      </c>
      <c r="G41" s="357"/>
      <c r="I41" s="695"/>
      <c r="J41" s="1160"/>
      <c r="Q41" s="693">
        <v>0</v>
      </c>
    </row>
    <row s="30516" customFormat="1" customHeight="1" ht="6">
      <c r="A42" s="1068"/>
      <c r="B42" s="710"/>
      <c r="C42" s="711"/>
      <c r="D42" s="712"/>
      <c r="E42" s="713"/>
      <c r="F42" s="1337"/>
      <c r="G42" s="357"/>
      <c r="H42" s="693"/>
      <c r="I42" s="695"/>
      <c r="J42" s="1158"/>
      <c r="Q42" s="714">
        <v>0</v>
      </c>
    </row>
    <row s="30541" customFormat="1" customHeight="1" ht="27" hidden="1">
      <c r="A43" s="1068"/>
      <c r="B43" s="697"/>
      <c r="C43" s="692"/>
      <c r="D43" s="694"/>
      <c r="E43" s="675" t="s">
        <v>60</v>
      </c>
      <c r="F43" s="994" t="s">
        <v>19</v>
      </c>
      <c r="G43" s="357"/>
      <c r="I43" s="695"/>
      <c r="J43" s="1160"/>
      <c r="Q43" s="693">
        <v>0</v>
      </c>
    </row>
    <row s="30541" customFormat="1" customHeight="1" ht="27" hidden="1">
      <c r="A44" s="1068"/>
      <c r="B44" s="697"/>
      <c r="C44" s="692"/>
      <c r="D44" s="694"/>
      <c r="E44" s="1449" t="s">
        <v>61</v>
      </c>
      <c r="F44" s="2172"/>
      <c r="G44" s="357"/>
      <c r="I44" s="695"/>
      <c r="J44" s="1160"/>
      <c r="Q44" s="693">
        <v>0</v>
      </c>
    </row>
    <row s="30516" customFormat="1" customHeight="1" ht="6">
      <c r="A45" s="1068"/>
      <c r="B45" s="710"/>
      <c r="C45" s="711"/>
      <c r="D45" s="712"/>
      <c r="E45" s="713"/>
      <c r="F45" s="1337"/>
      <c r="G45" s="357"/>
      <c r="H45" s="693"/>
      <c r="I45" s="695"/>
      <c r="J45" s="1160"/>
      <c r="Q45" s="714">
        <v>0</v>
      </c>
    </row>
    <row s="30516" customFormat="1" customHeight="1" ht="24.75">
      <c r="A46" s="1068"/>
      <c r="B46" s="710"/>
      <c r="C46" s="711"/>
      <c r="D46" s="712"/>
      <c r="E46" s="1449" t="s">
        <v>62</v>
      </c>
      <c r="F46" s="994" t="s">
        <v>19</v>
      </c>
      <c r="G46" s="357"/>
      <c r="H46" s="693"/>
      <c r="I46" s="695"/>
      <c r="J46" s="1160"/>
      <c r="Q46" s="714">
        <v>0</v>
      </c>
    </row>
    <row s="30541" customFormat="1" customHeight="1" ht="24.75">
      <c r="A47" s="1068"/>
      <c r="B47" s="697"/>
      <c r="C47" s="692"/>
      <c r="D47" s="694"/>
      <c r="E47" s="1449" t="s">
        <v>63</v>
      </c>
      <c r="F47" s="994" t="s">
        <v>19</v>
      </c>
      <c r="G47" s="357"/>
      <c r="I47" s="695"/>
      <c r="J47" s="1160"/>
      <c r="Q47" s="693">
        <v>0</v>
      </c>
    </row>
    <row s="30516" customFormat="1" customHeight="1" ht="6">
      <c r="A48" s="1068"/>
      <c r="B48" s="516"/>
      <c r="C48" s="517"/>
      <c r="D48" s="518"/>
      <c r="E48" s="519"/>
      <c r="F48" s="1337"/>
      <c r="G48" s="357"/>
      <c r="H48" s="693"/>
      <c r="I48" s="695"/>
      <c r="J48" s="1160"/>
      <c r="Q48" s="520">
        <v>0</v>
      </c>
    </row>
    <row customHeight="1" ht="29.25">
      <c r="B49" s="432"/>
      <c r="D49" s="359"/>
      <c r="E49" s="67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994" t="s">
        <v>64</v>
      </c>
      <c r="G49" s="357"/>
      <c r="Q49" s="358">
        <v>0</v>
      </c>
    </row>
    <row s="30516" customFormat="1" customHeight="1" ht="6" hidden="1">
      <c r="A50" s="1069"/>
      <c r="B50" s="710"/>
      <c r="C50" s="711"/>
      <c r="D50" s="523"/>
      <c r="E50" s="521"/>
      <c r="F50" s="524"/>
      <c r="G50" s="361"/>
      <c r="H50" s="693"/>
      <c r="I50" s="695"/>
      <c r="J50" s="1160"/>
      <c r="Q50" s="714">
        <v>0</v>
      </c>
    </row>
    <row s="30541" customFormat="1" customHeight="1" ht="28.5" hidden="1">
      <c r="A51" s="1070"/>
      <c r="B51" s="697"/>
      <c r="C51" s="814"/>
      <c r="D51" s="815"/>
      <c r="E51" s="675" t="s">
        <v>65</v>
      </c>
      <c r="F51" s="994" t="s">
        <v>19</v>
      </c>
      <c r="G51" s="816"/>
      <c r="I51" s="818"/>
      <c r="J51" s="1162"/>
      <c r="P51" s="819"/>
      <c r="Q51" s="817">
        <v>0</v>
      </c>
    </row>
    <row s="30516" customFormat="1" customHeight="1" ht="6" hidden="1">
      <c r="A52" s="1069"/>
      <c r="B52" s="710"/>
      <c r="C52" s="711"/>
      <c r="D52" s="523"/>
      <c r="E52" s="521"/>
      <c r="F52" s="524"/>
      <c r="G52" s="361"/>
      <c r="H52" s="693"/>
      <c r="I52" s="695"/>
      <c r="J52" s="1158"/>
      <c r="Q52" s="714">
        <v>0</v>
      </c>
    </row>
    <row s="30541" customFormat="1" customHeight="1" ht="27" hidden="1">
      <c r="A53" s="1070"/>
      <c r="B53" s="697"/>
      <c r="C53" s="814"/>
      <c r="D53" s="815"/>
      <c r="E53" s="675" t="s">
        <v>66</v>
      </c>
      <c r="F53" s="1332" t="s">
        <v>19</v>
      </c>
      <c r="G53" s="816"/>
      <c r="I53" s="818"/>
      <c r="J53" s="1162"/>
      <c r="P53" s="819"/>
      <c r="Q53" s="817">
        <v>0</v>
      </c>
    </row>
    <row s="30541" customFormat="1" customHeight="1" ht="27" hidden="1">
      <c r="A54" s="1070"/>
      <c r="B54" s="697"/>
      <c r="C54" s="814"/>
      <c r="D54" s="815"/>
      <c r="E54" s="675" t="s">
        <v>67</v>
      </c>
      <c r="F54" s="2058"/>
      <c r="G54" s="816"/>
      <c r="I54" s="818"/>
      <c r="J54" s="1162"/>
      <c r="P54" s="819"/>
      <c r="Q54" s="817">
        <v>0</v>
      </c>
    </row>
    <row s="30516" customFormat="1" customHeight="1" ht="6" hidden="1">
      <c r="A55" s="1069"/>
      <c r="B55" s="710"/>
      <c r="C55" s="711"/>
      <c r="D55" s="523"/>
      <c r="E55" s="521"/>
      <c r="F55" s="524"/>
      <c r="G55" s="361"/>
      <c r="H55" s="693"/>
      <c r="I55" s="695"/>
      <c r="J55" s="1158"/>
      <c r="Q55" s="714">
        <v>0</v>
      </c>
    </row>
    <row s="30541" customFormat="1" customHeight="1" ht="25.5" hidden="1">
      <c r="A56" s="1070"/>
      <c r="B56" s="697"/>
      <c r="C56" s="814"/>
      <c r="D56" s="815"/>
      <c r="E56" s="675" t="s">
        <v>68</v>
      </c>
      <c r="F56" s="1332" t="s">
        <v>19</v>
      </c>
      <c r="G56" s="816"/>
      <c r="I56" s="818"/>
      <c r="J56" s="1162"/>
      <c r="P56" s="819"/>
      <c r="Q56" s="817">
        <v>0</v>
      </c>
    </row>
    <row s="30516" customFormat="1" customHeight="1" ht="6" hidden="1">
      <c r="A57" s="1069"/>
      <c r="B57" s="710"/>
      <c r="C57" s="711"/>
      <c r="D57" s="523"/>
      <c r="E57" s="521"/>
      <c r="F57" s="524"/>
      <c r="G57" s="361"/>
      <c r="H57" s="693"/>
      <c r="I57" s="695"/>
      <c r="J57" s="1158"/>
      <c r="Q57" s="714">
        <v>0</v>
      </c>
    </row>
    <row s="30541" customFormat="1" customHeight="1" ht="15" hidden="1">
      <c r="A58" s="1070"/>
      <c r="B58" s="697"/>
      <c r="C58" s="814"/>
      <c r="D58" s="815"/>
      <c r="E58" s="675" t="s">
        <v>69</v>
      </c>
      <c r="F58" s="1332" t="s">
        <v>64</v>
      </c>
      <c r="G58" s="816"/>
      <c r="I58" s="818"/>
      <c r="J58" s="1162"/>
      <c r="P58" s="819"/>
      <c r="Q58" s="817">
        <v>0</v>
      </c>
    </row>
    <row s="30541" customFormat="1" customHeight="1" ht="75" hidden="1">
      <c r="A59" s="1070"/>
      <c r="B59" s="697"/>
      <c r="C59" s="814"/>
      <c r="D59" s="815"/>
      <c r="E59" s="67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473"/>
      <c r="G59" s="816"/>
      <c r="I59" s="818"/>
      <c r="J59" s="1162"/>
      <c r="P59" s="819"/>
      <c r="Q59" s="817">
        <v>0</v>
      </c>
    </row>
    <row s="30541" customFormat="1" customHeight="1" ht="15" hidden="1">
      <c r="A60" s="1070"/>
      <c r="B60" s="697"/>
      <c r="C60" s="814"/>
      <c r="D60" s="815"/>
      <c r="E60" s="1449" t="s">
        <v>70</v>
      </c>
      <c r="F60" s="1435"/>
      <c r="G60" s="816"/>
      <c r="I60" s="818"/>
      <c r="J60" s="1162"/>
      <c r="P60" s="819"/>
      <c r="Q60" s="817">
        <v>0</v>
      </c>
    </row>
    <row s="30516" customFormat="1" customHeight="1" ht="6" hidden="1">
      <c r="A61" s="1069"/>
      <c r="B61" s="710"/>
      <c r="C61" s="711"/>
      <c r="D61" s="712"/>
      <c r="E61" s="713"/>
      <c r="F61" s="1337"/>
      <c r="G61" s="357"/>
      <c r="H61" s="693"/>
      <c r="I61" s="695"/>
      <c r="J61" s="1160"/>
      <c r="Q61" s="714">
        <v>0</v>
      </c>
    </row>
    <row s="30541" customFormat="1" customHeight="1" ht="33.75" hidden="1">
      <c r="A62" s="1069"/>
      <c r="B62" s="382"/>
      <c r="C62" s="692"/>
      <c r="D62" s="694"/>
      <c r="E62" s="1449" t="s">
        <v>71</v>
      </c>
      <c r="F62" s="1955" t="s">
        <v>64</v>
      </c>
      <c r="G62" s="357"/>
      <c r="H62" s="1057" t="s">
        <v>22</v>
      </c>
      <c r="I62" s="695"/>
      <c r="J62" s="1160"/>
      <c r="Q62" s="693">
        <v>0</v>
      </c>
    </row>
    <row s="30516" customFormat="1" customHeight="1" ht="6.3">
      <c r="A63" s="1069"/>
      <c r="B63" s="516"/>
      <c r="C63" s="517"/>
      <c r="D63" s="523"/>
      <c r="E63" s="521"/>
      <c r="F63" s="524"/>
      <c r="G63" s="361"/>
      <c r="H63" s="693"/>
      <c r="I63" s="695"/>
      <c r="J63" s="1158"/>
      <c r="Q63" s="520">
        <v>6</v>
      </c>
    </row>
    <row customHeight="1" ht="21">
      <c r="A64" s="1071"/>
      <c r="B64" s="383"/>
      <c r="D64" s="366"/>
      <c r="E64" s="675" t="s">
        <v>72</v>
      </c>
      <c r="F64" s="500" t="s">
        <v>73</v>
      </c>
      <c r="G64" s="361"/>
      <c r="Q64" s="358">
        <v>20</v>
      </c>
    </row>
    <row customHeight="1" ht="21">
      <c r="A65" s="1071"/>
      <c r="B65" s="383"/>
      <c r="D65" s="366"/>
      <c r="E65" s="675" t="s">
        <v>74</v>
      </c>
      <c r="F65" s="500" t="s">
        <v>75</v>
      </c>
      <c r="G65" s="361"/>
      <c r="Q65" s="358">
        <v>20</v>
      </c>
    </row>
    <row customHeight="1" ht="36.75">
      <c r="D66" s="359"/>
      <c r="E66" s="677" t="s">
        <v>76</v>
      </c>
      <c r="F66" s="1338"/>
      <c r="G66" s="357"/>
      <c r="Q66" s="358">
        <v>35</v>
      </c>
    </row>
    <row customHeight="1" ht="21">
      <c r="A67" s="1071"/>
      <c r="D67" s="694"/>
      <c r="E67" s="675" t="s">
        <v>77</v>
      </c>
      <c r="F67" s="555" t="s">
        <v>78</v>
      </c>
      <c r="G67" s="361"/>
      <c r="Q67" s="358">
        <v>20</v>
      </c>
    </row>
    <row customHeight="1" ht="21">
      <c r="A68" s="1071"/>
      <c r="B68" s="383"/>
      <c r="D68" s="366"/>
      <c r="E68" s="675" t="s">
        <v>79</v>
      </c>
      <c r="F68" s="555" t="s">
        <v>80</v>
      </c>
      <c r="G68" s="361"/>
      <c r="Q68" s="358">
        <v>20</v>
      </c>
    </row>
    <row customHeight="1" ht="21">
      <c r="A69" s="1071"/>
      <c r="B69" s="383"/>
      <c r="D69" s="366"/>
      <c r="E69" s="675" t="s">
        <v>81</v>
      </c>
      <c r="F69" s="555" t="s">
        <v>82</v>
      </c>
      <c r="G69" s="361"/>
      <c r="Q69" s="358">
        <v>20</v>
      </c>
    </row>
    <row customHeight="1" ht="21">
      <c r="D70" s="694"/>
      <c r="E70" s="675" t="s">
        <v>83</v>
      </c>
      <c r="F70" s="3067" t="s">
        <v>84</v>
      </c>
      <c r="G70" s="357"/>
      <c r="Q70" s="358">
        <v>20</v>
      </c>
    </row>
    <row customHeight="1" ht="21">
      <c r="A71" s="1071"/>
      <c r="D71" s="357"/>
      <c r="F71" s="417"/>
      <c r="G71" s="361"/>
      <c r="Q71" s="358">
        <v>20</v>
      </c>
    </row>
    <row customHeight="1" ht="21">
      <c r="A72" s="1071"/>
      <c r="B72" s="383"/>
      <c r="D72" s="366"/>
      <c r="E72" s="365"/>
      <c r="F72" s="1317" t="s">
        <v>13</v>
      </c>
      <c r="G72" s="361"/>
      <c r="Q72" s="358">
        <v>20</v>
      </c>
    </row>
    <row customHeight="1" ht="21">
      <c r="A73" s="1071"/>
      <c r="B73" s="383"/>
      <c r="D73" s="366"/>
      <c r="E73" s="365"/>
      <c r="F73" s="418"/>
      <c r="G73" s="361"/>
      <c r="Q73" s="358">
        <v>20</v>
      </c>
    </row>
    <row customHeight="1" ht="21">
      <c r="A74" s="1071"/>
      <c r="B74" s="383"/>
      <c r="D74" s="366"/>
      <c r="E74" s="370"/>
      <c r="F74" s="418"/>
      <c r="G74" s="361"/>
      <c r="Q74" s="358">
        <v>20</v>
      </c>
    </row>
    <row customHeight="1" ht="21">
      <c r="A75" s="1071"/>
      <c r="B75" s="383"/>
      <c r="D75" s="366"/>
      <c r="E75" s="365"/>
      <c r="F75" s="418"/>
      <c r="G75" s="361"/>
      <c r="Q75" s="358">
        <v>20</v>
      </c>
    </row>
    <row customHeight="1" ht="11.549999999999999">
      <c r="Q76" s="358">
        <v>11</v>
      </c>
    </row>
    <row customHeight="1" ht="11.549999999999999">
      <c r="Q77" s="358">
        <v>11</v>
      </c>
    </row>
    <row customHeight="1" ht="11.549999999999999">
      <c r="E78" s="674"/>
      <c r="F78" s="674"/>
      <c r="G78" s="674"/>
      <c r="H78" s="674"/>
      <c r="I78" s="674"/>
      <c r="Q78" s="358">
        <v>11</v>
      </c>
    </row>
    <row customHeight="1" ht="11.25" hidden="1">
      <c r="A79" s="1068" t="s">
        <v>85</v>
      </c>
      <c r="B79" s="382">
        <v>0</v>
      </c>
      <c r="C79" s="356">
        <v>3</v>
      </c>
      <c r="D79" s="358">
        <v>1</v>
      </c>
      <c r="E79" s="358">
        <v>55</v>
      </c>
      <c r="F79" s="358">
        <v>54</v>
      </c>
      <c r="G79" s="1055">
        <v>1</v>
      </c>
      <c r="H79" s="693">
        <v>0</v>
      </c>
      <c r="I79" s="695">
        <v>59</v>
      </c>
      <c r="J79" s="1160">
        <v>0</v>
      </c>
      <c r="K79" s="358">
        <v>8</v>
      </c>
      <c r="L79" s="358">
        <v>77</v>
      </c>
      <c r="M79" s="358">
        <v>8</v>
      </c>
      <c r="N79" s="358">
        <v>8</v>
      </c>
      <c r="O79" s="358">
        <v>8</v>
      </c>
      <c r="P79" s="358">
        <v>8</v>
      </c>
      <c r="Q79" s="358">
        <v>11</v>
      </c>
    </row>
  </sheetData>
  <sheetProtection sheet="1" formatColumns="0" formatRows="0" sort="1" autoFilter="0" insertRows="1" insertColumns="1" deleteRows="1" deleteColumns="1"/>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691B180D-8429-B6E1-54D2-A0439921D724}"/>
    <hyperlink ref="H17" location="Титульный!H9" display="Как заполнить?" tooltip="Помощь по работе с полями отчётной формы" xr:uid="{EDFE5231-550A-0631-44F8-C7069F6E7BD6}"/>
    <hyperlink ref="H39" location="Титульный!H9" display="Как заполнить?" tooltip="Помощь по работе с полями отчётной формы" xr:uid="{8CEB8C5D-2651-0853-3C23-E5F96EEC7311}"/>
    <hyperlink ref="H62" location="Титульный!H9" display="Как заполнить?" tooltip="Помощь по работе с полями отчётной формы" xr:uid="{27641B24-7B44-0E73-AC0E-BB03AA42C01F}"/>
    <hyperlink ref="F70" r:id="rId4" xr:uid="{601CA6C8-C75F-3C5E-87AA-AB30549EE77A}"/>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3DC2B1-AD66-4F9A-6D4D-29E361043698}"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30620" width="10.57421875" hidden="1"/>
    <col min="2" max="2" style="30620" width="11.00390625" hidden="1" customWidth="1"/>
    <col min="3" max="3" style="30620" width="10.57421875" hidden="1"/>
    <col min="4" max="4" style="30620" width="11.8515625" hidden="1" customWidth="1"/>
    <col min="5" max="5" style="30620" width="10.00390625" hidden="1" customWidth="1"/>
    <col min="6" max="6" style="30620" width="8.7109375" hidden="1" customWidth="1"/>
    <col min="7" max="7" style="30620" width="7.57421875" hidden="1" customWidth="1"/>
    <col min="8" max="8" style="30620" width="11.421875" hidden="1" customWidth="1"/>
    <col min="9" max="9" style="30620" width="12.00390625" hidden="1" customWidth="1"/>
    <col min="10" max="10" style="30620" width="9.8515625" hidden="1" customWidth="1"/>
    <col min="11" max="11" style="30620" width="11.421875" hidden="1" customWidth="1"/>
    <col min="12" max="12" style="31502" width="19.140625" hidden="1" customWidth="1"/>
    <col min="13" max="14" style="31503" width="12.28125" hidden="1" customWidth="1"/>
    <col min="15" max="15" style="31503" width="23.421875" hidden="1" customWidth="1"/>
    <col min="16" max="16" style="31503" width="3.00390625" customWidth="1"/>
    <col min="17" max="17" style="37299" width="3.00390625" customWidth="1"/>
    <col min="18" max="18" style="31505" width="3.00390625" customWidth="1"/>
    <col min="19" max="19" style="31506" width="12.00390625" customWidth="1"/>
    <col min="20" max="20" style="30541" width="31.00390625" customWidth="1"/>
    <col min="21" max="21" style="30541" width="0.140625" customWidth="1"/>
    <col min="22" max="23" style="30541" width="21.7109375" hidden="1" customWidth="1"/>
    <col min="24" max="24" style="30541" width="11.7109375" hidden="1" customWidth="1"/>
    <col min="25" max="25" style="30541" width="3.7109375" hidden="1" customWidth="1"/>
    <col min="26" max="26" style="30541" width="11.7109375" hidden="1" customWidth="1"/>
    <col min="27" max="27" style="30541" width="8.57421875" hidden="1" customWidth="1"/>
    <col min="28" max="28" style="30541" width="5.421875" customWidth="1"/>
    <col min="29" max="30" style="30541" width="3.00390625" customWidth="1"/>
    <col min="31" max="31" style="30541" width="24.00390625" customWidth="1"/>
    <col min="32" max="32" style="30541" width="3.7109375" customWidth="1"/>
    <col min="33" max="34" style="30541" width="3.00390625" customWidth="1"/>
    <col min="35" max="35" style="30541" width="24.00390625" customWidth="1"/>
    <col min="36" max="36" style="30541" width="3.7109375" customWidth="1"/>
    <col min="37" max="38" style="30541" width="3.00390625" customWidth="1"/>
    <col min="39" max="39" style="30541" width="18.00390625" customWidth="1"/>
    <col min="40" max="41" style="30541" width="21.00390625" customWidth="1"/>
    <col min="42" max="42" style="30541" width="11.00390625" customWidth="1"/>
    <col min="43" max="43" style="30541" width="3.7109375" customWidth="1"/>
    <col min="44" max="44" style="30541" width="11.00390625" customWidth="1"/>
    <col min="45" max="45" style="30541" width="8.57421875" hidden="1" customWidth="1"/>
    <col min="46" max="46" style="30541" width="4.00390625" customWidth="1"/>
    <col min="47" max="47" style="30541" width="115.00390625" customWidth="1"/>
    <col min="48" max="52" style="30621" width="10.00390625" customWidth="1"/>
    <col min="53" max="53" style="30541" width="10.57421875" hidden="1"/>
  </cols>
  <sheetData>
    <row customHeight="1" ht="22.5" hidden="1">
      <c r="W1" s="611"/>
      <c r="X1" s="611"/>
      <c r="AO1" s="611"/>
      <c r="AP1" s="611"/>
      <c r="BA1" s="1439" t="s">
        <v>14</v>
      </c>
    </row>
    <row customHeight="1" ht="21" hidden="1">
      <c r="A2" s="1647"/>
      <c r="B2" s="1647"/>
      <c r="C2" s="1647"/>
      <c r="D2" s="1647"/>
      <c r="E2" s="2542">
        <v>1</v>
      </c>
      <c r="F2" s="1647"/>
      <c r="G2" s="1647"/>
      <c r="H2" s="1647"/>
      <c r="I2" s="1647"/>
      <c r="J2" s="1647"/>
      <c r="K2" s="1647"/>
      <c r="L2" s="1648"/>
      <c r="M2" s="1649"/>
      <c r="N2" s="1649"/>
      <c r="O2" s="1649"/>
      <c r="P2" s="1693"/>
      <c r="Q2" s="1157"/>
      <c r="R2" s="639"/>
      <c r="S2" s="1620">
        <f>INDEX(PT_DIFFERENTIATION_NUM_NTAR,MATCH(A2,PT_DIFFERENTIATION_NTAR_ID,0))</f>
      </c>
      <c r="T2" s="582" t="s">
        <v>153</v>
      </c>
      <c r="U2" s="584"/>
      <c r="V2" s="2527"/>
      <c r="W2" s="2527"/>
      <c r="X2" s="2527"/>
      <c r="Y2" s="2527"/>
      <c r="Z2" s="2527"/>
      <c r="AA2" s="2528"/>
      <c r="AB2" s="2526">
        <f>INDEX(PT_DIFFERENTIATION_NTAR,MATCH(A2,PT_DIFFERENTIATION_NTAR_ID,0))</f>
      </c>
      <c r="AC2" s="2527"/>
      <c r="AD2" s="2527"/>
      <c r="AE2" s="2527"/>
      <c r="AF2" s="2527"/>
      <c r="AG2" s="2527"/>
      <c r="AH2" s="2527"/>
      <c r="AI2" s="2527"/>
      <c r="AJ2" s="2527"/>
      <c r="AK2" s="2527"/>
      <c r="AL2" s="2527"/>
      <c r="AM2" s="2527"/>
      <c r="AN2" s="2527"/>
      <c r="AO2" s="2527"/>
      <c r="AP2" s="2527"/>
      <c r="AQ2" s="2527"/>
      <c r="AR2" s="2527"/>
      <c r="AS2" s="2527"/>
      <c r="AT2" s="2528"/>
      <c r="AU2" s="1542" t="s">
        <v>456</v>
      </c>
      <c r="AW2" s="784"/>
      <c r="AX2" s="784" t="str">
        <f>IF(T2="","",T2)</f>
        <v>Наименование тарифа</v>
      </c>
      <c r="AY2" s="784"/>
      <c r="AZ2" s="784"/>
      <c r="BA2" s="1439">
        <v>0</v>
      </c>
    </row>
    <row customHeight="1" ht="21" hidden="1">
      <c r="A3" s="1647"/>
      <c r="B3" s="1647"/>
      <c r="C3" s="1647"/>
      <c r="D3" s="1647"/>
      <c r="E3" s="2543"/>
      <c r="F3" s="2542">
        <v>1</v>
      </c>
      <c r="G3" s="1647"/>
      <c r="H3" s="1647"/>
      <c r="I3" s="1647"/>
      <c r="J3" s="1647"/>
      <c r="K3" s="1647"/>
      <c r="L3" s="1648"/>
      <c r="M3" s="1649"/>
      <c r="N3" s="1649"/>
      <c r="O3" s="1649"/>
      <c r="P3" s="1694"/>
      <c r="Q3" s="1695"/>
      <c r="R3" s="637"/>
      <c r="S3" s="1620">
        <f>INDEX(PT_DIFFERENTIATION_NUM_TER,MATCH(B3,PT_DIFFERENTIATION_TER_ID,0))</f>
      </c>
      <c r="T3" s="592" t="s">
        <v>457</v>
      </c>
      <c r="U3" s="584"/>
      <c r="V3" s="2527"/>
      <c r="W3" s="2527"/>
      <c r="X3" s="2527"/>
      <c r="Y3" s="2527"/>
      <c r="Z3" s="2527"/>
      <c r="AA3" s="2528"/>
      <c r="AB3" s="2526">
        <f>INDEX(PT_DIFFERENTIATION_TER,MATCH(B3,PT_DIFFERENTIATION_TER_ID,0))</f>
      </c>
      <c r="AC3" s="2527"/>
      <c r="AD3" s="2527"/>
      <c r="AE3" s="2527"/>
      <c r="AF3" s="2527"/>
      <c r="AG3" s="2527"/>
      <c r="AH3" s="2527"/>
      <c r="AI3" s="2527"/>
      <c r="AJ3" s="2527"/>
      <c r="AK3" s="2527"/>
      <c r="AL3" s="2527"/>
      <c r="AM3" s="2527"/>
      <c r="AN3" s="2527"/>
      <c r="AO3" s="2527"/>
      <c r="AP3" s="2527"/>
      <c r="AQ3" s="2527"/>
      <c r="AR3" s="2527"/>
      <c r="AS3" s="2527"/>
      <c r="AT3" s="2528"/>
      <c r="AU3" s="1542" t="s">
        <v>458</v>
      </c>
      <c r="AW3" s="784"/>
      <c r="AX3" s="784" t="str">
        <f>IF(T3="","",T3)</f>
        <v>Территория действия тарифа</v>
      </c>
      <c r="AY3" s="784"/>
      <c r="AZ3" s="784"/>
      <c r="BA3" s="1439">
        <v>0</v>
      </c>
    </row>
    <row customHeight="1" ht="22.5" hidden="1">
      <c r="A4" s="1647"/>
      <c r="B4" s="1647"/>
      <c r="C4" s="1647"/>
      <c r="D4" s="1647"/>
      <c r="E4" s="2543"/>
      <c r="F4" s="2543"/>
      <c r="G4" s="2542">
        <v>1</v>
      </c>
      <c r="H4" s="1647"/>
      <c r="I4" s="1647"/>
      <c r="J4" s="1647"/>
      <c r="K4" s="1647"/>
      <c r="L4" s="1648"/>
      <c r="M4" s="1649"/>
      <c r="N4" s="1649"/>
      <c r="O4" s="1649"/>
      <c r="P4" s="1696"/>
      <c r="Q4" s="1695"/>
      <c r="R4" s="637"/>
      <c r="S4" s="1620">
        <f>INDEX(PT_DIFFERENTIATION_NUM_CS,MATCH(C4,PT_DIFFERENTIATION_CS_ID,0))</f>
      </c>
      <c r="T4" s="593" t="s">
        <v>459</v>
      </c>
      <c r="U4" s="584"/>
      <c r="V4" s="2527"/>
      <c r="W4" s="2527"/>
      <c r="X4" s="2527"/>
      <c r="Y4" s="2527"/>
      <c r="Z4" s="2527"/>
      <c r="AA4" s="2528"/>
      <c r="AB4" s="2526">
        <f>INDEX(PT_DIFFERENTIATION_CS,MATCH(C4,PT_DIFFERENTIATION_CS_ID,0))</f>
      </c>
      <c r="AC4" s="2527"/>
      <c r="AD4" s="2527"/>
      <c r="AE4" s="2527"/>
      <c r="AF4" s="2527"/>
      <c r="AG4" s="2527"/>
      <c r="AH4" s="2527"/>
      <c r="AI4" s="2527"/>
      <c r="AJ4" s="2527"/>
      <c r="AK4" s="2527"/>
      <c r="AL4" s="2527"/>
      <c r="AM4" s="2527"/>
      <c r="AN4" s="2527"/>
      <c r="AO4" s="2527"/>
      <c r="AP4" s="2527"/>
      <c r="AQ4" s="2527"/>
      <c r="AR4" s="2527"/>
      <c r="AS4" s="2527"/>
      <c r="AT4" s="2528"/>
      <c r="AU4" s="1542" t="s">
        <v>460</v>
      </c>
      <c r="AW4" s="784"/>
      <c r="AX4" s="784" t="str">
        <f>IF(T4="","",T4)</f>
        <v>Наименование системы теплоснабжения </v>
      </c>
      <c r="AY4" s="784"/>
      <c r="AZ4" s="784"/>
      <c r="BA4" s="1439">
        <v>0</v>
      </c>
    </row>
    <row customHeight="1" ht="21" hidden="1">
      <c r="A5" s="1647"/>
      <c r="B5" s="1647"/>
      <c r="C5" s="1647"/>
      <c r="D5" s="1647"/>
      <c r="E5" s="2543"/>
      <c r="F5" s="2543"/>
      <c r="G5" s="2543"/>
      <c r="H5" s="2542">
        <v>1</v>
      </c>
      <c r="I5" s="1647"/>
      <c r="J5" s="1647"/>
      <c r="K5" s="1647"/>
      <c r="L5" s="1648"/>
      <c r="M5" s="1649"/>
      <c r="N5" s="1649"/>
      <c r="O5" s="1649"/>
      <c r="P5" s="1696"/>
      <c r="Q5" s="1695"/>
      <c r="R5" s="637"/>
      <c r="S5" s="1620">
        <f>INDEX(PT_DIFFERENTIATION_NUM_IST_TE,MATCH(D5,PT_DIFFERENTIATION_IST_TE_ID,0))</f>
      </c>
      <c r="T5" s="594" t="s">
        <v>461</v>
      </c>
      <c r="U5" s="584"/>
      <c r="V5" s="2527"/>
      <c r="W5" s="2527"/>
      <c r="X5" s="2527"/>
      <c r="Y5" s="2527"/>
      <c r="Z5" s="2527"/>
      <c r="AA5" s="2528"/>
      <c r="AB5" s="2526">
        <f>INDEX(PT_DIFFERENTIATION_IST_TE,MATCH(D5,PT_DIFFERENTIATION_IST_TE_ID,0))</f>
      </c>
      <c r="AC5" s="2527"/>
      <c r="AD5" s="2527"/>
      <c r="AE5" s="2527"/>
      <c r="AF5" s="2527"/>
      <c r="AG5" s="2527"/>
      <c r="AH5" s="2527"/>
      <c r="AI5" s="2527"/>
      <c r="AJ5" s="2527"/>
      <c r="AK5" s="2527"/>
      <c r="AL5" s="2527"/>
      <c r="AM5" s="2527"/>
      <c r="AN5" s="2527"/>
      <c r="AO5" s="2527"/>
      <c r="AP5" s="2527"/>
      <c r="AQ5" s="2527"/>
      <c r="AR5" s="2527"/>
      <c r="AS5" s="2527"/>
      <c r="AT5" s="2528"/>
      <c r="AU5" s="1542" t="s">
        <v>462</v>
      </c>
      <c r="AW5" s="784"/>
      <c r="AX5" s="784" t="str">
        <f>IF(T5="","",T5)</f>
        <v>Источник тепловой энергии  </v>
      </c>
      <c r="AY5" s="784"/>
      <c r="AZ5" s="784"/>
      <c r="BA5" s="1439">
        <v>0</v>
      </c>
    </row>
    <row s="30621" customFormat="1" customHeight="1" ht="0.75" hidden="1">
      <c r="A6" s="1627"/>
      <c r="B6" s="1627"/>
      <c r="C6" s="1627"/>
      <c r="D6" s="1627"/>
      <c r="E6" s="2543"/>
      <c r="F6" s="2543"/>
      <c r="G6" s="2543"/>
      <c r="H6" s="2543"/>
      <c r="I6" s="2540">
        <f>S5&amp;".1"</f>
      </c>
      <c r="J6" s="1627"/>
      <c r="K6" s="1627"/>
      <c r="L6" s="1630" t="s">
        <v>463</v>
      </c>
      <c r="M6" s="794"/>
      <c r="N6" s="794"/>
      <c r="O6" s="794"/>
      <c r="P6" s="2541">
        <v>1</v>
      </c>
      <c r="Q6" s="1615"/>
      <c r="R6" s="640"/>
      <c r="S6" s="1326"/>
      <c r="T6" s="1667"/>
      <c r="U6" s="1668"/>
      <c r="V6" s="2581"/>
      <c r="W6" s="2581"/>
      <c r="X6" s="2581"/>
      <c r="Y6" s="2581"/>
      <c r="Z6" s="2581"/>
      <c r="AA6" s="2582"/>
      <c r="AB6" s="2580"/>
      <c r="AC6" s="2581"/>
      <c r="AD6" s="2581"/>
      <c r="AE6" s="2581"/>
      <c r="AF6" s="2581"/>
      <c r="AG6" s="2581"/>
      <c r="AH6" s="2581"/>
      <c r="AI6" s="2581"/>
      <c r="AJ6" s="2581"/>
      <c r="AK6" s="2581"/>
      <c r="AL6" s="2581"/>
      <c r="AM6" s="2581"/>
      <c r="AN6" s="2581"/>
      <c r="AO6" s="2581"/>
      <c r="AP6" s="2581"/>
      <c r="AQ6" s="2581"/>
      <c r="AR6" s="2581"/>
      <c r="AS6" s="2581"/>
      <c r="AT6" s="2582"/>
      <c r="AU6" s="1669"/>
      <c r="AW6" s="784"/>
      <c r="AX6" s="784" t="str">
        <f>IF(T6="","",T6)</f>
        <v/>
      </c>
      <c r="AY6" s="784"/>
      <c r="AZ6" s="784"/>
      <c r="BA6" s="795">
        <v>0</v>
      </c>
    </row>
    <row s="30621" customFormat="1" customHeight="1" ht="0.75" hidden="1">
      <c r="A7" s="1627"/>
      <c r="B7" s="1627"/>
      <c r="C7" s="1627"/>
      <c r="D7" s="1627"/>
      <c r="E7" s="2543"/>
      <c r="F7" s="2543"/>
      <c r="G7" s="2543"/>
      <c r="H7" s="2543"/>
      <c r="I7" s="2570"/>
      <c r="J7" s="2540">
        <f>S5&amp;".1"</f>
      </c>
      <c r="K7" s="1627"/>
      <c r="L7" s="1630"/>
      <c r="M7" s="794"/>
      <c r="N7" s="794"/>
      <c r="O7" s="794"/>
      <c r="P7" s="2541"/>
      <c r="Q7" s="2541">
        <v>1</v>
      </c>
      <c r="R7" s="641"/>
      <c r="S7" s="1326"/>
      <c r="T7" s="1683"/>
      <c r="U7" s="1668"/>
      <c r="V7" s="2581"/>
      <c r="W7" s="2581"/>
      <c r="X7" s="2581"/>
      <c r="Y7" s="2581"/>
      <c r="Z7" s="2581"/>
      <c r="AA7" s="2582"/>
      <c r="AB7" s="2580"/>
      <c r="AC7" s="2581"/>
      <c r="AD7" s="2581"/>
      <c r="AE7" s="2581"/>
      <c r="AF7" s="2581"/>
      <c r="AG7" s="2581"/>
      <c r="AH7" s="2581"/>
      <c r="AI7" s="2581"/>
      <c r="AJ7" s="2581"/>
      <c r="AK7" s="2581"/>
      <c r="AL7" s="2581"/>
      <c r="AM7" s="2581"/>
      <c r="AN7" s="2581"/>
      <c r="AO7" s="2581"/>
      <c r="AP7" s="2581"/>
      <c r="AQ7" s="2581"/>
      <c r="AR7" s="2581"/>
      <c r="AS7" s="2581"/>
      <c r="AT7" s="2582"/>
      <c r="AU7" s="1669"/>
      <c r="AW7" s="784"/>
      <c r="AX7" s="784" t="str">
        <f>IF(T7="","",T7)</f>
        <v/>
      </c>
      <c r="AY7" s="784"/>
      <c r="AZ7" s="784"/>
      <c r="BA7" s="795">
        <v>0</v>
      </c>
    </row>
    <row customHeight="1" ht="21" hidden="1">
      <c r="A8" s="1647"/>
      <c r="B8" s="1647"/>
      <c r="C8" s="1647"/>
      <c r="D8" s="1647"/>
      <c r="E8" s="2543"/>
      <c r="F8" s="2543"/>
      <c r="G8" s="2543"/>
      <c r="H8" s="2543"/>
      <c r="I8" s="2570"/>
      <c r="J8" s="2570"/>
      <c r="K8" s="2540">
        <f>S5&amp;".1"</f>
      </c>
      <c r="L8" s="1648"/>
      <c r="P8" s="2541"/>
      <c r="Q8" s="2541"/>
      <c r="R8" s="2631">
        <v>1</v>
      </c>
      <c r="S8" s="2625">
        <f>$K8</f>
      </c>
      <c r="T8" s="2628"/>
      <c r="U8" s="584"/>
      <c r="V8" s="1035"/>
      <c r="W8" s="1541"/>
      <c r="X8" s="2549"/>
      <c r="Y8" s="2391" t="s">
        <v>64</v>
      </c>
      <c r="Z8" s="2549"/>
      <c r="AA8" s="2391" t="s">
        <v>64</v>
      </c>
      <c r="AB8" s="2391" t="s">
        <v>19</v>
      </c>
      <c r="AC8" s="2610"/>
      <c r="AD8" s="2489">
        <v>1</v>
      </c>
      <c r="AE8" s="2611"/>
      <c r="AF8" s="2391" t="s">
        <v>19</v>
      </c>
      <c r="AG8" s="2610"/>
      <c r="AH8" s="2489">
        <v>1</v>
      </c>
      <c r="AI8" s="2611"/>
      <c r="AJ8" s="2391" t="s">
        <v>19</v>
      </c>
      <c r="AK8" s="595"/>
      <c r="AL8" s="1621">
        <v>1</v>
      </c>
      <c r="AM8" s="1682"/>
      <c r="AN8" s="1035"/>
      <c r="AO8" s="1541"/>
      <c r="AP8" s="2018"/>
      <c r="AQ8" s="1743" t="s">
        <v>64</v>
      </c>
      <c r="AR8" s="2018"/>
      <c r="AS8" s="1743" t="s">
        <v>64</v>
      </c>
      <c r="AT8" s="1632"/>
      <c r="AU8" s="2537" t="s">
        <v>536</v>
      </c>
      <c r="AV8" s="795">
        <f>STRCHECKDATE(V11:AT11)</f>
      </c>
      <c r="AW8" s="784"/>
      <c r="AX8" s="784" t="str">
        <f>IF(T8="","",T8)</f>
        <v/>
      </c>
      <c r="AY8" s="784"/>
      <c r="AZ8" s="784"/>
      <c r="BA8" s="1439">
        <v>0</v>
      </c>
    </row>
    <row customHeight="1" ht="11.25" hidden="1">
      <c r="A9" s="1647"/>
      <c r="B9" s="1647"/>
      <c r="C9" s="1647"/>
      <c r="D9" s="1647"/>
      <c r="E9" s="2543"/>
      <c r="F9" s="2543"/>
      <c r="G9" s="2543"/>
      <c r="H9" s="2543"/>
      <c r="I9" s="2570"/>
      <c r="J9" s="2570"/>
      <c r="K9" s="2540"/>
      <c r="L9" s="1648"/>
      <c r="P9" s="2541"/>
      <c r="Q9" s="2541"/>
      <c r="R9" s="2631"/>
      <c r="S9" s="2626"/>
      <c r="T9" s="2629"/>
      <c r="U9" s="584"/>
      <c r="V9" s="1677"/>
      <c r="W9" s="1681"/>
      <c r="X9" s="2549"/>
      <c r="Y9" s="2391"/>
      <c r="Z9" s="2549"/>
      <c r="AA9" s="2391"/>
      <c r="AB9" s="2391"/>
      <c r="AC9" s="2610"/>
      <c r="AD9" s="2489"/>
      <c r="AE9" s="2611"/>
      <c r="AF9" s="2391"/>
      <c r="AG9" s="2610"/>
      <c r="AH9" s="2489"/>
      <c r="AI9" s="2611"/>
      <c r="AJ9" s="2391"/>
      <c r="AK9" s="600"/>
      <c r="AL9" s="700"/>
      <c r="AM9" s="699" t="s">
        <v>537</v>
      </c>
      <c r="AN9" s="1677"/>
      <c r="AO9" s="1780"/>
      <c r="AP9" s="1677"/>
      <c r="AQ9" s="1677"/>
      <c r="AR9" s="1677"/>
      <c r="AS9" s="1677"/>
      <c r="AT9" s="1674"/>
      <c r="AU9" s="2538"/>
      <c r="AW9" s="784"/>
      <c r="AX9" s="784"/>
      <c r="AY9" s="784"/>
      <c r="AZ9" s="784"/>
      <c r="BA9" s="1439">
        <v>0</v>
      </c>
    </row>
    <row customHeight="1" ht="11.25" hidden="1">
      <c r="A10" s="1647"/>
      <c r="B10" s="1647"/>
      <c r="C10" s="1647"/>
      <c r="D10" s="1647"/>
      <c r="E10" s="2543"/>
      <c r="F10" s="2543"/>
      <c r="G10" s="2543"/>
      <c r="H10" s="2543"/>
      <c r="I10" s="2570"/>
      <c r="J10" s="2570"/>
      <c r="K10" s="2540"/>
      <c r="L10" s="1648"/>
      <c r="P10" s="2541"/>
      <c r="Q10" s="2541"/>
      <c r="R10" s="2631"/>
      <c r="S10" s="2626"/>
      <c r="T10" s="2629"/>
      <c r="U10" s="584"/>
      <c r="V10" s="1677"/>
      <c r="W10" s="1681"/>
      <c r="X10" s="2549"/>
      <c r="Y10" s="2391"/>
      <c r="Z10" s="2549"/>
      <c r="AA10" s="2391"/>
      <c r="AB10" s="2391"/>
      <c r="AC10" s="2610"/>
      <c r="AD10" s="2489"/>
      <c r="AE10" s="2611"/>
      <c r="AF10" s="2391"/>
      <c r="AG10" s="578"/>
      <c r="AH10" s="699"/>
      <c r="AI10" s="699" t="s">
        <v>538</v>
      </c>
      <c r="AJ10" s="1677"/>
      <c r="AK10" s="1677"/>
      <c r="AL10" s="1677"/>
      <c r="AM10" s="1677"/>
      <c r="AN10" s="1677"/>
      <c r="AO10" s="1780"/>
      <c r="AP10" s="1677"/>
      <c r="AQ10" s="1677"/>
      <c r="AR10" s="1677"/>
      <c r="AS10" s="1677"/>
      <c r="AT10" s="1674"/>
      <c r="AU10" s="2538"/>
      <c r="AW10" s="784"/>
      <c r="AX10" s="784"/>
      <c r="AY10" s="784"/>
      <c r="AZ10" s="784"/>
      <c r="BA10" s="1439">
        <v>0</v>
      </c>
    </row>
    <row customHeight="1" ht="11.25" hidden="1">
      <c r="A11" s="1647"/>
      <c r="B11" s="1647"/>
      <c r="C11" s="1647"/>
      <c r="D11" s="1647"/>
      <c r="E11" s="2543"/>
      <c r="F11" s="2543"/>
      <c r="G11" s="2543"/>
      <c r="H11" s="2543"/>
      <c r="I11" s="2570"/>
      <c r="J11" s="2570"/>
      <c r="K11" s="2540"/>
      <c r="L11" s="1648"/>
      <c r="P11" s="2541"/>
      <c r="Q11" s="2541"/>
      <c r="R11" s="2631"/>
      <c r="S11" s="2627"/>
      <c r="T11" s="2630"/>
      <c r="U11" s="584"/>
      <c r="V11" s="1677"/>
      <c r="W11" s="1680" t="str">
        <f>X8&amp;"-"&amp;Z8</f>
        <v>-</v>
      </c>
      <c r="X11" s="2550"/>
      <c r="Y11" s="2391"/>
      <c r="Z11" s="2550"/>
      <c r="AA11" s="2391"/>
      <c r="AB11" s="2391"/>
      <c r="AC11" s="596"/>
      <c r="AD11" s="598"/>
      <c r="AE11" s="699" t="s">
        <v>539</v>
      </c>
      <c r="AF11" s="1677"/>
      <c r="AG11" s="1677"/>
      <c r="AH11" s="1677"/>
      <c r="AI11" s="1677"/>
      <c r="AJ11" s="1677"/>
      <c r="AK11" s="1677"/>
      <c r="AL11" s="1677"/>
      <c r="AM11" s="1677"/>
      <c r="AN11" s="1677"/>
      <c r="AO11" s="1678" t="str">
        <f>AP8&amp;"-"&amp;AR8</f>
        <v>-</v>
      </c>
      <c r="AP11" s="1677"/>
      <c r="AQ11" s="1677"/>
      <c r="AR11" s="1677"/>
      <c r="AS11" s="1677"/>
      <c r="AT11" s="1633"/>
      <c r="AU11" s="2538"/>
      <c r="AW11" s="784"/>
      <c r="AX11" s="784" t="str">
        <f>IF(T11="","",T11)</f>
        <v/>
      </c>
      <c r="AY11" s="784"/>
      <c r="AZ11" s="784"/>
      <c r="BA11" s="1439">
        <v>0</v>
      </c>
    </row>
    <row customHeight="1" ht="11.25" hidden="1">
      <c r="A12" s="1647"/>
      <c r="B12" s="1647"/>
      <c r="C12" s="1647"/>
      <c r="D12" s="1647"/>
      <c r="E12" s="2543"/>
      <c r="F12" s="2543"/>
      <c r="G12" s="2543"/>
      <c r="H12" s="2543"/>
      <c r="I12" s="2570"/>
      <c r="J12" s="2540"/>
      <c r="K12" s="1647"/>
      <c r="L12" s="1648"/>
      <c r="P12" s="2541"/>
      <c r="Q12" s="2541"/>
      <c r="R12" s="640"/>
      <c r="S12" s="1562"/>
      <c r="T12" s="571" t="s">
        <v>540</v>
      </c>
      <c r="U12" s="651"/>
      <c r="V12" s="651"/>
      <c r="W12" s="651"/>
      <c r="X12" s="651"/>
      <c r="Y12" s="651"/>
      <c r="Z12" s="651"/>
      <c r="AA12" s="651"/>
      <c r="AB12" s="651"/>
      <c r="AC12" s="651"/>
      <c r="AD12" s="651"/>
      <c r="AE12" s="651"/>
      <c r="AF12" s="651"/>
      <c r="AG12" s="651"/>
      <c r="AH12" s="651"/>
      <c r="AI12" s="651"/>
      <c r="AJ12" s="651"/>
      <c r="AK12" s="651"/>
      <c r="AL12" s="651"/>
      <c r="AM12" s="651"/>
      <c r="AN12" s="651"/>
      <c r="AO12" s="651"/>
      <c r="AP12" s="651"/>
      <c r="AQ12" s="651"/>
      <c r="AR12" s="651"/>
      <c r="AS12" s="651"/>
      <c r="AT12" s="608"/>
      <c r="AU12" s="2539"/>
      <c r="AW12" s="784"/>
      <c r="AX12" s="784" t="str">
        <f>IF(T12="","",T12)</f>
        <v>Добавить строку</v>
      </c>
      <c r="AY12" s="784"/>
      <c r="AZ12" s="784"/>
      <c r="BA12" s="1439">
        <v>0</v>
      </c>
    </row>
    <row s="30621" customFormat="1" customHeight="1" ht="0.75" hidden="1">
      <c r="A13" s="1627"/>
      <c r="B13" s="1627"/>
      <c r="C13" s="1627"/>
      <c r="D13" s="1627"/>
      <c r="E13" s="2543"/>
      <c r="F13" s="2543"/>
      <c r="G13" s="2543"/>
      <c r="H13" s="2543"/>
      <c r="I13" s="2540"/>
      <c r="J13" s="1627"/>
      <c r="K13" s="1627"/>
      <c r="L13" s="1630"/>
      <c r="M13" s="794"/>
      <c r="N13" s="794"/>
      <c r="O13" s="794"/>
      <c r="P13" s="2541"/>
      <c r="Q13" s="1615"/>
      <c r="R13" s="640"/>
      <c r="S13" s="1670"/>
      <c r="T13" s="1671"/>
      <c r="U13" s="1672"/>
      <c r="V13" s="1672"/>
      <c r="W13" s="1672"/>
      <c r="X13" s="1672"/>
      <c r="Y13" s="1672"/>
      <c r="Z13" s="1672"/>
      <c r="AA13" s="1672"/>
      <c r="AB13" s="1672"/>
      <c r="AC13" s="1672"/>
      <c r="AD13" s="1672"/>
      <c r="AE13" s="1672"/>
      <c r="AF13" s="1672"/>
      <c r="AG13" s="1672"/>
      <c r="AH13" s="1672"/>
      <c r="AI13" s="1672"/>
      <c r="AJ13" s="1672"/>
      <c r="AK13" s="1672"/>
      <c r="AL13" s="1672"/>
      <c r="AM13" s="1672"/>
      <c r="AN13" s="1672"/>
      <c r="AO13" s="1672"/>
      <c r="AP13" s="1672"/>
      <c r="AQ13" s="1672"/>
      <c r="AR13" s="1672"/>
      <c r="AS13" s="1672"/>
      <c r="AT13" s="1672"/>
      <c r="AU13" s="1673"/>
      <c r="AW13" s="784"/>
      <c r="AX13" s="784" t="str">
        <f>IF(T13="","",T13)</f>
        <v/>
      </c>
      <c r="AY13" s="784"/>
      <c r="AZ13" s="784"/>
      <c r="BA13" s="795">
        <v>0</v>
      </c>
    </row>
    <row s="30621" customFormat="1" customHeight="1" ht="0.75" hidden="1">
      <c r="A14" s="1627"/>
      <c r="B14" s="1627"/>
      <c r="C14" s="1627"/>
      <c r="D14" s="1627"/>
      <c r="E14" s="2543"/>
      <c r="F14" s="2543"/>
      <c r="G14" s="2543"/>
      <c r="H14" s="2542"/>
      <c r="I14" s="1627"/>
      <c r="J14" s="1627"/>
      <c r="K14" s="1627"/>
      <c r="L14" s="1630"/>
      <c r="M14" s="1599"/>
      <c r="N14" s="1599"/>
      <c r="O14" s="802"/>
      <c r="P14" s="664"/>
      <c r="Q14" s="1628"/>
      <c r="R14" s="1685"/>
      <c r="S14" s="1670"/>
      <c r="T14" s="1671"/>
      <c r="U14" s="1672"/>
      <c r="V14" s="1672"/>
      <c r="W14" s="1672"/>
      <c r="X14" s="1672"/>
      <c r="Y14" s="1672"/>
      <c r="Z14" s="1672"/>
      <c r="AA14" s="1672"/>
      <c r="AB14" s="1672"/>
      <c r="AC14" s="1672"/>
      <c r="AD14" s="1672"/>
      <c r="AE14" s="1672"/>
      <c r="AF14" s="1672"/>
      <c r="AG14" s="1672"/>
      <c r="AH14" s="1672"/>
      <c r="AI14" s="1672"/>
      <c r="AJ14" s="1672"/>
      <c r="AK14" s="1672"/>
      <c r="AL14" s="1672"/>
      <c r="AM14" s="1672"/>
      <c r="AN14" s="1672"/>
      <c r="AO14" s="1672"/>
      <c r="AP14" s="1672"/>
      <c r="AQ14" s="1672"/>
      <c r="AR14" s="1672"/>
      <c r="AS14" s="1672"/>
      <c r="AT14" s="1672"/>
      <c r="AU14" s="1673"/>
      <c r="AW14" s="784"/>
      <c r="AX14" s="784" t="str">
        <f>IF(T14="","",T14)</f>
        <v/>
      </c>
      <c r="AY14" s="784"/>
      <c r="AZ14" s="784"/>
      <c r="BA14" s="795">
        <v>0</v>
      </c>
    </row>
    <row s="30621" customFormat="1" customHeight="1" ht="0.75" hidden="1">
      <c r="A15" s="1627"/>
      <c r="B15" s="1627"/>
      <c r="C15" s="1627"/>
      <c r="D15" s="1598"/>
      <c r="E15" s="2543"/>
      <c r="F15" s="2543"/>
      <c r="G15" s="2542"/>
      <c r="H15" s="1598"/>
      <c r="I15" s="1598"/>
      <c r="J15" s="1598"/>
      <c r="K15" s="1598"/>
      <c r="L15" s="1623"/>
      <c r="M15" s="1599"/>
      <c r="N15" s="1599"/>
      <c r="P15" s="1600"/>
      <c r="Q15" s="1601"/>
      <c r="R15" s="1600"/>
      <c r="S15" s="1606"/>
      <c r="T15" s="1609" t="s">
        <v>213</v>
      </c>
      <c r="U15" s="1608"/>
      <c r="V15" s="1608"/>
      <c r="W15" s="1608"/>
      <c r="X15" s="1608"/>
      <c r="Y15" s="1608"/>
      <c r="Z15" s="1608"/>
      <c r="AA15" s="1608"/>
      <c r="AB15" s="1608"/>
      <c r="AC15" s="1608"/>
      <c r="AD15" s="1608"/>
      <c r="AE15" s="1608"/>
      <c r="AF15" s="1608"/>
      <c r="AG15" s="1608"/>
      <c r="AH15" s="1608"/>
      <c r="AI15" s="1608"/>
      <c r="AJ15" s="1608"/>
      <c r="AK15" s="1608"/>
      <c r="AL15" s="1608"/>
      <c r="AM15" s="1608"/>
      <c r="AN15" s="1608"/>
      <c r="AO15" s="1608"/>
      <c r="AP15" s="1608"/>
      <c r="AQ15" s="1608"/>
      <c r="AR15" s="1608"/>
      <c r="AS15" s="1608"/>
      <c r="AT15" s="1608"/>
      <c r="AU15" s="1608"/>
      <c r="AW15" s="1073"/>
      <c r="AX15" s="1073" t="str">
        <f>IF(T15="","",T15)</f>
        <v>Добавить источник для дифференциации</v>
      </c>
      <c r="AY15" s="1073"/>
      <c r="AZ15" s="1073"/>
      <c r="BA15" s="802">
        <v>0</v>
      </c>
    </row>
    <row s="30621" customFormat="1" customHeight="1" ht="0.75" hidden="1">
      <c r="A16" s="1627"/>
      <c r="B16" s="1627"/>
      <c r="C16" s="1598"/>
      <c r="D16" s="1598"/>
      <c r="E16" s="2543"/>
      <c r="F16" s="2542"/>
      <c r="G16" s="1598"/>
      <c r="H16" s="1598"/>
      <c r="I16" s="1598"/>
      <c r="J16" s="1598"/>
      <c r="K16" s="1598"/>
      <c r="L16" s="1623"/>
      <c r="M16" s="1605"/>
      <c r="N16" s="1605"/>
      <c r="P16" s="1600"/>
      <c r="Q16" s="1601"/>
      <c r="R16" s="1600"/>
      <c r="S16" s="1606"/>
      <c r="T16" s="1609" t="s">
        <v>214</v>
      </c>
      <c r="U16" s="1608"/>
      <c r="V16" s="1608"/>
      <c r="W16" s="1608"/>
      <c r="X16" s="1608"/>
      <c r="Y16" s="1608"/>
      <c r="Z16" s="1608"/>
      <c r="AA16" s="1608"/>
      <c r="AB16" s="1608"/>
      <c r="AC16" s="1608"/>
      <c r="AD16" s="1608"/>
      <c r="AE16" s="1608"/>
      <c r="AF16" s="1608"/>
      <c r="AG16" s="1608"/>
      <c r="AH16" s="1608"/>
      <c r="AI16" s="1608"/>
      <c r="AJ16" s="1608"/>
      <c r="AK16" s="1608"/>
      <c r="AL16" s="1608"/>
      <c r="AM16" s="1608"/>
      <c r="AN16" s="1608"/>
      <c r="AO16" s="1608"/>
      <c r="AP16" s="1608"/>
      <c r="AQ16" s="1608"/>
      <c r="AR16" s="1608"/>
      <c r="AS16" s="1608"/>
      <c r="AT16" s="1608"/>
      <c r="AU16" s="1608"/>
      <c r="AW16" s="1073"/>
      <c r="AX16" s="1073" t="str">
        <f>IF(T16="","",T16)</f>
        <v>Добавить централизованную систему для дифференциации</v>
      </c>
      <c r="AY16" s="1073"/>
      <c r="AZ16" s="1073"/>
      <c r="BA16" s="802">
        <v>0</v>
      </c>
    </row>
    <row s="30621" customFormat="1" customHeight="1" ht="0.75" hidden="1">
      <c r="A17" s="1627"/>
      <c r="B17" s="1627"/>
      <c r="C17" s="1627"/>
      <c r="D17" s="1627"/>
      <c r="E17" s="2542"/>
      <c r="F17" s="1627"/>
      <c r="G17" s="1627"/>
      <c r="H17" s="1627"/>
      <c r="I17" s="1627"/>
      <c r="J17" s="1627"/>
      <c r="K17" s="1627"/>
      <c r="L17" s="1630"/>
      <c r="M17" s="1605"/>
      <c r="N17" s="1605"/>
      <c r="O17" s="802"/>
      <c r="P17" s="664"/>
      <c r="Q17" s="1628"/>
      <c r="R17" s="664"/>
      <c r="S17" s="1606"/>
      <c r="T17" s="1609" t="s">
        <v>230</v>
      </c>
      <c r="U17" s="1608"/>
      <c r="V17" s="1608"/>
      <c r="W17" s="1608"/>
      <c r="X17" s="1608"/>
      <c r="Y17" s="1608"/>
      <c r="Z17" s="1608"/>
      <c r="AA17" s="1608"/>
      <c r="AB17" s="1608"/>
      <c r="AC17" s="1608"/>
      <c r="AD17" s="1608"/>
      <c r="AE17" s="1608"/>
      <c r="AF17" s="1608"/>
      <c r="AG17" s="1608"/>
      <c r="AH17" s="1608"/>
      <c r="AI17" s="1608"/>
      <c r="AJ17" s="1608"/>
      <c r="AK17" s="1608"/>
      <c r="AL17" s="1608"/>
      <c r="AM17" s="1608"/>
      <c r="AN17" s="1608"/>
      <c r="AO17" s="1608"/>
      <c r="AP17" s="1608"/>
      <c r="AQ17" s="1608"/>
      <c r="AR17" s="1608"/>
      <c r="AS17" s="1608"/>
      <c r="AT17" s="1608"/>
      <c r="AU17" s="1608"/>
      <c r="AW17" s="784"/>
      <c r="AX17" s="784" t="str">
        <f>IF(T17="","",T17)</f>
        <v>Добавить территорию для дифференциации</v>
      </c>
      <c r="AY17" s="784"/>
      <c r="AZ17" s="784"/>
      <c r="BA17" s="795">
        <v>0</v>
      </c>
    </row>
    <row customHeight="1" ht="14.25" hidden="1">
      <c r="AA18" s="611"/>
      <c r="AS18" s="611"/>
      <c r="BA18" s="1439">
        <v>0</v>
      </c>
    </row>
    <row customHeight="1" ht="14.25" hidden="1">
      <c r="AB19" s="1608" t="s">
        <v>19</v>
      </c>
      <c r="AC19" s="1785"/>
      <c r="AD19" s="832">
        <v>1</v>
      </c>
      <c r="AE19" s="1786"/>
      <c r="AF19" s="1608" t="s">
        <v>19</v>
      </c>
      <c r="AG19" s="1785"/>
      <c r="AH19" s="832">
        <v>1</v>
      </c>
      <c r="AI19" s="1786"/>
      <c r="AJ19" s="1608" t="s">
        <v>19</v>
      </c>
      <c r="AK19" s="1787"/>
      <c r="AL19" s="832">
        <v>1</v>
      </c>
      <c r="AM19" s="1790"/>
      <c r="AN19" s="1687"/>
      <c r="AO19" s="1688"/>
      <c r="AP19" s="2020"/>
      <c r="AQ19" s="1744" t="s">
        <v>64</v>
      </c>
      <c r="AR19" s="2020"/>
      <c r="AS19" s="1744" t="s">
        <v>64</v>
      </c>
      <c r="BA19" s="1439">
        <v>0</v>
      </c>
    </row>
    <row customHeight="1" ht="14.25" hidden="1">
      <c r="AV20" s="780"/>
      <c r="AW20" s="780"/>
      <c r="AX20" s="780"/>
      <c r="AY20" s="780"/>
      <c r="AZ20" s="780"/>
      <c r="BA20" s="1439">
        <v>0</v>
      </c>
    </row>
    <row customHeight="1" ht="14.25" hidden="1">
      <c r="O21" s="1651" t="s">
        <v>474</v>
      </c>
      <c r="X21" s="1629"/>
      <c r="Z21" s="1629"/>
      <c r="AA21" s="611"/>
      <c r="AP21" s="1629"/>
      <c r="AR21" s="1629"/>
      <c r="AS21" s="611"/>
      <c r="AV21" s="780"/>
      <c r="AW21" s="780"/>
      <c r="AX21" s="780"/>
      <c r="AY21" s="780"/>
      <c r="AZ21" s="780"/>
      <c r="BA21" s="1439">
        <v>0</v>
      </c>
    </row>
    <row customHeight="1" ht="14.25" hidden="1">
      <c r="AA22" s="611"/>
      <c r="AS22" s="611"/>
      <c r="AV22" s="780"/>
      <c r="AW22" s="780"/>
      <c r="AX22" s="780"/>
      <c r="AY22" s="780"/>
      <c r="AZ22" s="780"/>
      <c r="BA22" s="1439">
        <v>0</v>
      </c>
    </row>
    <row s="37270" customFormat="1" customHeight="1" ht="14.25" hidden="1">
      <c r="M23" s="1792"/>
      <c r="N23" s="1792"/>
      <c r="O23" s="1793" t="s">
        <v>475</v>
      </c>
      <c r="P23" s="1792"/>
      <c r="Q23" s="1794"/>
      <c r="R23" s="1794"/>
      <c r="Y23" s="1791" t="s">
        <v>477</v>
      </c>
      <c r="AA23" s="1791" t="s">
        <v>478</v>
      </c>
      <c r="AB23" s="1791" t="s">
        <v>541</v>
      </c>
      <c r="AE23" s="1791" t="s">
        <v>542</v>
      </c>
      <c r="AF23" s="1791" t="s">
        <v>541</v>
      </c>
      <c r="AI23" s="1791" t="s">
        <v>543</v>
      </c>
      <c r="AJ23" s="1791" t="s">
        <v>541</v>
      </c>
      <c r="AM23" s="1791" t="s">
        <v>544</v>
      </c>
      <c r="AQ23" s="1791" t="s">
        <v>477</v>
      </c>
      <c r="AS23" s="1791" t="s">
        <v>478</v>
      </c>
      <c r="AV23" s="1795"/>
      <c r="AW23" s="1795"/>
      <c r="AX23" s="1795"/>
      <c r="AY23" s="1795"/>
      <c r="AZ23" s="1795"/>
      <c r="BA23" s="1791">
        <v>0</v>
      </c>
    </row>
    <row customHeight="1" ht="14.25" hidden="1">
      <c r="O24" s="1648"/>
      <c r="AV24" s="780"/>
      <c r="AW24" s="780"/>
      <c r="AX24" s="780"/>
      <c r="AY24" s="780"/>
      <c r="AZ24" s="780"/>
      <c r="BA24" s="1439">
        <v>0</v>
      </c>
    </row>
    <row customHeight="1" ht="14.25" hidden="1">
      <c r="O25" s="1648"/>
      <c r="AV25" s="780"/>
      <c r="AW25" s="780"/>
      <c r="AX25" s="780"/>
      <c r="AY25" s="780"/>
      <c r="AZ25" s="780"/>
      <c r="BA25" s="1439">
        <v>0</v>
      </c>
    </row>
    <row customHeight="1" ht="14.699999999999998">
      <c r="Q26" s="575"/>
      <c r="R26" s="660"/>
      <c r="S26" s="1559"/>
      <c r="T26" s="647"/>
      <c r="U26" s="647"/>
      <c r="V26" s="793"/>
      <c r="W26" s="793"/>
      <c r="X26" s="793"/>
      <c r="Y26" s="793"/>
      <c r="Z26" s="793"/>
      <c r="AA26" s="793"/>
      <c r="AB26" s="793"/>
      <c r="AC26" s="793"/>
      <c r="AD26" s="793"/>
      <c r="AE26" s="793"/>
      <c r="AF26" s="793"/>
      <c r="AG26" s="793"/>
      <c r="AH26" s="793"/>
      <c r="AI26" s="793"/>
      <c r="AJ26" s="793"/>
      <c r="AK26" s="793"/>
      <c r="AL26" s="793"/>
      <c r="AM26" s="793"/>
      <c r="AN26" s="793"/>
      <c r="AO26" s="793"/>
      <c r="AP26" s="793"/>
      <c r="AQ26" s="793"/>
      <c r="AR26" s="793"/>
      <c r="AS26" s="793"/>
      <c r="BA26" s="1439">
        <v>14</v>
      </c>
    </row>
    <row customHeight="1" ht="27.299999999999997">
      <c r="Q27" s="575"/>
      <c r="R27" s="660"/>
      <c r="S27" s="253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32"/>
      <c r="U27" s="2532"/>
      <c r="V27" s="2532"/>
      <c r="W27" s="2532"/>
      <c r="X27" s="2532"/>
      <c r="Y27" s="2532"/>
      <c r="Z27" s="2532"/>
      <c r="AA27" s="2532"/>
      <c r="AB27" s="2532"/>
      <c r="AC27" s="2532"/>
      <c r="AD27" s="2532"/>
      <c r="AE27" s="2532"/>
      <c r="AF27" s="2532"/>
      <c r="AG27" s="2532"/>
      <c r="AH27" s="2532"/>
      <c r="AI27" s="2532"/>
      <c r="AJ27" s="2532"/>
      <c r="AK27" s="2532"/>
      <c r="AL27" s="2532"/>
      <c r="AM27" s="2532"/>
      <c r="AN27" s="2532"/>
      <c r="AO27" s="2532"/>
      <c r="AP27" s="2532"/>
      <c r="AQ27" s="2532"/>
      <c r="AR27" s="2532"/>
      <c r="AS27" s="1527"/>
      <c r="BA27" s="1439">
        <v>26</v>
      </c>
    </row>
    <row customHeight="1" ht="14.699999999999998">
      <c r="Q28" s="575"/>
      <c r="R28" s="660"/>
      <c r="S28" s="2533" t="str">
        <f>IF(org=0,"Не определено",org)</f>
        <v>АО "ДГК"</v>
      </c>
      <c r="T28" s="2533"/>
      <c r="U28" s="2533"/>
      <c r="V28" s="2533"/>
      <c r="W28" s="2533"/>
      <c r="X28" s="2533"/>
      <c r="Y28" s="2533"/>
      <c r="Z28" s="2533"/>
      <c r="AA28" s="2533"/>
      <c r="AB28" s="2533"/>
      <c r="AC28" s="2533"/>
      <c r="AD28" s="2533"/>
      <c r="AE28" s="2533"/>
      <c r="AF28" s="2533"/>
      <c r="AG28" s="2533"/>
      <c r="AH28" s="2533"/>
      <c r="AI28" s="2533"/>
      <c r="AJ28" s="2533"/>
      <c r="AK28" s="2533"/>
      <c r="AL28" s="2533"/>
      <c r="AM28" s="2533"/>
      <c r="AN28" s="2533"/>
      <c r="AO28" s="2533"/>
      <c r="AP28" s="2533"/>
      <c r="AQ28" s="2533"/>
      <c r="AR28" s="2533"/>
      <c r="AS28" s="1527"/>
      <c r="BA28" s="1439">
        <v>14</v>
      </c>
    </row>
    <row customHeight="1" ht="14.25">
      <c r="Q29" s="575"/>
      <c r="R29" s="660"/>
      <c r="S29" s="1559"/>
      <c r="T29" s="647"/>
      <c r="U29" s="647"/>
      <c r="V29" s="606"/>
      <c r="W29" s="606"/>
      <c r="X29" s="606"/>
      <c r="Y29" s="606"/>
      <c r="Z29" s="606"/>
      <c r="AA29" s="606"/>
      <c r="AB29" s="606"/>
      <c r="AC29" s="606"/>
      <c r="AD29" s="606"/>
      <c r="AE29" s="606"/>
      <c r="AF29" s="606"/>
      <c r="AG29" s="606"/>
      <c r="AH29" s="606"/>
      <c r="AI29" s="606"/>
      <c r="AJ29" s="606"/>
      <c r="AK29" s="606"/>
      <c r="AL29" s="606"/>
      <c r="AM29" s="606"/>
      <c r="AN29" s="606"/>
      <c r="AO29" s="606"/>
      <c r="AP29" s="606"/>
      <c r="AQ29" s="606"/>
      <c r="AR29" s="606"/>
      <c r="AS29" s="606"/>
      <c r="AT29" s="793"/>
      <c r="BA29" s="1439">
        <v>0</v>
      </c>
    </row>
    <row s="30764" customFormat="1" customHeight="1" ht="25.5">
      <c r="A30" s="1652"/>
      <c r="B30" s="1652"/>
      <c r="C30" s="1652"/>
      <c r="D30" s="1652"/>
      <c r="E30" s="1652"/>
      <c r="F30" s="1652"/>
      <c r="G30" s="1652"/>
      <c r="H30" s="1652"/>
      <c r="I30" s="1652"/>
      <c r="J30" s="1652"/>
      <c r="K30" s="1652"/>
      <c r="L30" s="1653"/>
      <c r="M30" s="1652"/>
      <c r="N30" s="1652"/>
      <c r="O30" s="1652"/>
      <c r="P30" s="1652"/>
      <c r="Q30" s="1652"/>
      <c r="S30" s="2534" t="s">
        <v>42</v>
      </c>
      <c r="T30" s="2534"/>
      <c r="U30" s="1656"/>
      <c r="V30" s="2535" t="str">
        <f>IF(TITLE_NAME_OR_PR_CHANGE="",IF(TITLE_NAME_OR_PR="","",TITLE_NAME_OR_PR),TITLE_NAME_OR_PR_CHANGE)</f>
        <v>Комитет по ценам и тарифам Правительства Хабаровского края</v>
      </c>
      <c r="W30" s="2535"/>
      <c r="X30" s="2535"/>
      <c r="Y30" s="2535"/>
      <c r="Z30" s="2535"/>
      <c r="AA30" s="610"/>
      <c r="AB30" s="2535" t="str">
        <f>IF(TITLE_NAME_OR_PR_CHANGE="",IF(TITLE_NAME_OR_PR="","",TITLE_NAME_OR_PR),TITLE_NAME_OR_PR_CHANGE)</f>
        <v>Комитет по ценам и тарифам Правительства Хабаровского края</v>
      </c>
      <c r="AC30" s="2535"/>
      <c r="AD30" s="2535"/>
      <c r="AE30" s="2535"/>
      <c r="AF30" s="2535"/>
      <c r="AG30" s="2535"/>
      <c r="AH30" s="2535"/>
      <c r="AI30" s="2535"/>
      <c r="AJ30" s="2535"/>
      <c r="AK30" s="2535"/>
      <c r="AL30" s="2535"/>
      <c r="AM30" s="2535"/>
      <c r="AN30" s="2535"/>
      <c r="AO30" s="2535"/>
      <c r="AP30" s="2535"/>
      <c r="AQ30" s="2535"/>
      <c r="AR30" s="2535"/>
      <c r="AS30" s="610"/>
      <c r="AT30" s="610"/>
      <c r="AU30" s="564"/>
      <c r="AV30" s="652"/>
      <c r="AW30" s="652"/>
      <c r="AX30" s="652"/>
      <c r="AY30" s="652"/>
      <c r="AZ30" s="652"/>
      <c r="BA30" s="702">
        <v>0</v>
      </c>
    </row>
    <row s="30764" customFormat="1" customHeight="1" ht="18.75">
      <c r="A31" s="1652"/>
      <c r="B31" s="1652"/>
      <c r="C31" s="1652"/>
      <c r="D31" s="1652"/>
      <c r="E31" s="1652"/>
      <c r="F31" s="1652"/>
      <c r="G31" s="1652"/>
      <c r="H31" s="1652"/>
      <c r="I31" s="1652"/>
      <c r="J31" s="1652"/>
      <c r="K31" s="1652"/>
      <c r="L31" s="1653"/>
      <c r="M31" s="1652"/>
      <c r="N31" s="1652"/>
      <c r="O31" s="1652"/>
      <c r="P31" s="1652"/>
      <c r="Q31" s="1652"/>
      <c r="S31" s="2534" t="s">
        <v>480</v>
      </c>
      <c r="T31" s="2534"/>
      <c r="U31" s="1656"/>
      <c r="V31" s="2548" t="str">
        <f>IF(TITLE_DATE_PR_CHANGE="",IF(TITLE_DATE_PR="","",TITLE_DATE_PR),TITLE_DATE_PR_CHANGE)</f>
        <v>45645</v>
      </c>
      <c r="W31" s="2548"/>
      <c r="X31" s="2548"/>
      <c r="Y31" s="2548"/>
      <c r="Z31" s="2548"/>
      <c r="AA31" s="610"/>
      <c r="AB31" s="2548" t="str">
        <f>IF(TITLE_DATE_PR_CHANGE="",IF(TITLE_DATE_PR="","",TITLE_DATE_PR),TITLE_DATE_PR_CHANGE)</f>
        <v>45645</v>
      </c>
      <c r="AC31" s="2548"/>
      <c r="AD31" s="2548"/>
      <c r="AE31" s="2548"/>
      <c r="AF31" s="2548"/>
      <c r="AG31" s="2548"/>
      <c r="AH31" s="2548"/>
      <c r="AI31" s="2548"/>
      <c r="AJ31" s="2548"/>
      <c r="AK31" s="2548"/>
      <c r="AL31" s="2548"/>
      <c r="AM31" s="2548"/>
      <c r="AN31" s="2548"/>
      <c r="AO31" s="2548"/>
      <c r="AP31" s="2548"/>
      <c r="AQ31" s="2548"/>
      <c r="AR31" s="2548"/>
      <c r="AS31" s="610"/>
      <c r="AT31" s="610"/>
      <c r="AU31" s="564"/>
      <c r="AV31" s="652"/>
      <c r="AW31" s="652"/>
      <c r="AX31" s="652"/>
      <c r="AY31" s="652"/>
      <c r="AZ31" s="652"/>
      <c r="BA31" s="702">
        <v>0</v>
      </c>
    </row>
    <row s="30764" customFormat="1" customHeight="1" ht="18.75">
      <c r="A32" s="1652"/>
      <c r="B32" s="1652"/>
      <c r="C32" s="1652"/>
      <c r="D32" s="1652"/>
      <c r="E32" s="1652"/>
      <c r="F32" s="1652"/>
      <c r="G32" s="1652"/>
      <c r="H32" s="1652"/>
      <c r="I32" s="1652"/>
      <c r="J32" s="1652"/>
      <c r="K32" s="1652"/>
      <c r="L32" s="1653"/>
      <c r="M32" s="1652"/>
      <c r="N32" s="1652"/>
      <c r="O32" s="1652"/>
      <c r="P32" s="1652"/>
      <c r="Q32" s="1652"/>
      <c r="S32" s="2534" t="s">
        <v>481</v>
      </c>
      <c r="T32" s="2534"/>
      <c r="U32" s="1656"/>
      <c r="V32" s="2535" t="str">
        <f>IF(TITLE_NUMBER_PR_CHANGE="",IF(TITLE_NUMBER_PR="","",TITLE_NUMBER_PR),TITLE_NUMBER_PR_CHANGE)</f>
        <v>№ 40/8</v>
      </c>
      <c r="W32" s="2535"/>
      <c r="X32" s="2535"/>
      <c r="Y32" s="2535"/>
      <c r="Z32" s="2535"/>
      <c r="AA32" s="610"/>
      <c r="AB32" s="2535" t="str">
        <f>IF(TITLE_NUMBER_PR_CHANGE="",IF(TITLE_NUMBER_PR="","",TITLE_NUMBER_PR),TITLE_NUMBER_PR_CHANGE)</f>
        <v>№ 40/8</v>
      </c>
      <c r="AC32" s="2535"/>
      <c r="AD32" s="2535"/>
      <c r="AE32" s="2535"/>
      <c r="AF32" s="2535"/>
      <c r="AG32" s="2535"/>
      <c r="AH32" s="2535"/>
      <c r="AI32" s="2535"/>
      <c r="AJ32" s="2535"/>
      <c r="AK32" s="2535"/>
      <c r="AL32" s="2535"/>
      <c r="AM32" s="2535"/>
      <c r="AN32" s="2535"/>
      <c r="AO32" s="2535"/>
      <c r="AP32" s="2535"/>
      <c r="AQ32" s="2535"/>
      <c r="AR32" s="2535"/>
      <c r="AS32" s="610"/>
      <c r="AT32" s="610"/>
      <c r="AU32" s="564"/>
      <c r="AV32" s="652"/>
      <c r="AW32" s="652"/>
      <c r="AX32" s="652"/>
      <c r="AY32" s="652"/>
      <c r="AZ32" s="652"/>
      <c r="BA32" s="702">
        <v>0</v>
      </c>
    </row>
    <row s="30764" customFormat="1" customHeight="1" ht="18.75">
      <c r="A33" s="1652"/>
      <c r="B33" s="1652"/>
      <c r="C33" s="1652"/>
      <c r="D33" s="1652"/>
      <c r="E33" s="1652"/>
      <c r="F33" s="1652"/>
      <c r="G33" s="1652"/>
      <c r="H33" s="1652"/>
      <c r="I33" s="1652"/>
      <c r="J33" s="1652"/>
      <c r="K33" s="1652"/>
      <c r="L33" s="1653"/>
      <c r="M33" s="1652"/>
      <c r="N33" s="1652"/>
      <c r="O33" s="1652"/>
      <c r="P33" s="1652"/>
      <c r="Q33" s="1652"/>
      <c r="S33" s="2534" t="s">
        <v>44</v>
      </c>
      <c r="T33" s="2534"/>
      <c r="U33" s="1656"/>
      <c r="V33" s="2535" t="str">
        <f>IF(TITLE_IST_PUB_CHANGE="",IF(TITLE_IST_PUB="","",TITLE_IST_PUB),TITLE_IST_PUB_CHANGE)</f>
        <v>Официальный интернет - портал нормативных правовых актов Хабаровского края https://laws.khv.gov.ru/</v>
      </c>
      <c r="W33" s="2535"/>
      <c r="X33" s="2535"/>
      <c r="Y33" s="2535"/>
      <c r="Z33" s="2535"/>
      <c r="AA33" s="610"/>
      <c r="AB33" s="2535" t="str">
        <f>IF(TITLE_IST_PUB_CHANGE="",IF(TITLE_IST_PUB="","",TITLE_IST_PUB),TITLE_IST_PUB_CHANGE)</f>
        <v>Официальный интернет - портал нормативных правовых актов Хабаровского края https://laws.khv.gov.ru/</v>
      </c>
      <c r="AC33" s="2535"/>
      <c r="AD33" s="2535"/>
      <c r="AE33" s="2535"/>
      <c r="AF33" s="2535"/>
      <c r="AG33" s="2535"/>
      <c r="AH33" s="2535"/>
      <c r="AI33" s="2535"/>
      <c r="AJ33" s="2535"/>
      <c r="AK33" s="2535"/>
      <c r="AL33" s="2535"/>
      <c r="AM33" s="2535"/>
      <c r="AN33" s="2535"/>
      <c r="AO33" s="2535"/>
      <c r="AP33" s="2535"/>
      <c r="AQ33" s="2535"/>
      <c r="AR33" s="2535"/>
      <c r="AS33" s="610"/>
      <c r="AT33" s="610"/>
      <c r="AU33" s="564"/>
      <c r="AV33" s="652"/>
      <c r="AW33" s="652"/>
      <c r="AX33" s="652"/>
      <c r="AY33" s="652"/>
      <c r="AZ33" s="652"/>
      <c r="BA33" s="702">
        <v>0</v>
      </c>
    </row>
    <row customHeight="1" ht="14.25" hidden="1">
      <c r="Q34" s="575"/>
      <c r="R34" s="660"/>
      <c r="S34" s="1559"/>
      <c r="T34" s="647"/>
      <c r="U34" s="647"/>
      <c r="V34" s="606"/>
      <c r="W34" s="606"/>
      <c r="X34" s="606"/>
      <c r="Y34" s="606"/>
      <c r="Z34" s="606"/>
      <c r="AA34" s="606"/>
      <c r="AB34" s="606"/>
      <c r="AC34" s="606"/>
      <c r="AD34" s="606"/>
      <c r="AE34" s="606"/>
      <c r="AF34" s="606"/>
      <c r="AG34" s="606"/>
      <c r="AH34" s="606"/>
      <c r="AI34" s="606"/>
      <c r="AJ34" s="606"/>
      <c r="AK34" s="606"/>
      <c r="AL34" s="606"/>
      <c r="AM34" s="606"/>
      <c r="AN34" s="606"/>
      <c r="AO34" s="606"/>
      <c r="AP34" s="606"/>
      <c r="AQ34" s="606"/>
      <c r="AR34" s="606"/>
      <c r="AS34" s="606"/>
      <c r="AT34" s="793"/>
      <c r="BA34" s="1439">
        <v>0</v>
      </c>
    </row>
    <row s="30764" customFormat="1" customHeight="1" ht="18.75" hidden="1">
      <c r="A35" s="1652"/>
      <c r="B35" s="1652"/>
      <c r="C35" s="1652"/>
      <c r="D35" s="1652"/>
      <c r="E35" s="1652"/>
      <c r="F35" s="1652"/>
      <c r="G35" s="1652"/>
      <c r="H35" s="1652"/>
      <c r="I35" s="1652"/>
      <c r="J35" s="1652"/>
      <c r="K35" s="1652"/>
      <c r="L35" s="1653"/>
      <c r="M35" s="1652"/>
      <c r="N35" s="1652"/>
      <c r="O35" s="1652"/>
      <c r="P35" s="1652"/>
      <c r="Q35" s="1652"/>
      <c r="S35" s="2534" t="s">
        <v>480</v>
      </c>
      <c r="T35" s="2534"/>
      <c r="U35" s="1656"/>
      <c r="V35" s="2548" t="str">
        <f>IF(TITLE_DATE_PR_CHANGE="",IF(TITLE_DATE_PR="","",TITLE_DATE_PR),TITLE_DATE_PR_CHANGE)</f>
        <v>45645</v>
      </c>
      <c r="W35" s="2548"/>
      <c r="X35" s="2548"/>
      <c r="Y35" s="2548"/>
      <c r="Z35" s="2548"/>
      <c r="AA35" s="610"/>
      <c r="AB35" s="2548" t="str">
        <f>IF(TITLE_DATE_PR_CHANGE="",IF(TITLE_DATE_PR="","",TITLE_DATE_PR),TITLE_DATE_PR_CHANGE)</f>
        <v>45645</v>
      </c>
      <c r="AC35" s="2548"/>
      <c r="AD35" s="2548"/>
      <c r="AE35" s="2548"/>
      <c r="AF35" s="2548"/>
      <c r="AG35" s="2548"/>
      <c r="AH35" s="2548"/>
      <c r="AI35" s="2548"/>
      <c r="AJ35" s="2548"/>
      <c r="AK35" s="2548"/>
      <c r="AL35" s="2548"/>
      <c r="AM35" s="2548"/>
      <c r="AN35" s="2548"/>
      <c r="AO35" s="2548"/>
      <c r="AP35" s="2548"/>
      <c r="AQ35" s="2548"/>
      <c r="AR35" s="2548"/>
      <c r="AS35" s="610"/>
      <c r="AT35" s="610"/>
      <c r="AU35" s="564"/>
      <c r="AV35" s="652"/>
      <c r="AW35" s="652"/>
      <c r="AX35" s="652"/>
      <c r="AY35" s="652"/>
      <c r="AZ35" s="652"/>
      <c r="BA35" s="702">
        <v>0</v>
      </c>
    </row>
    <row s="30764" customFormat="1" customHeight="1" ht="18" hidden="1">
      <c r="A36" s="1652"/>
      <c r="B36" s="1652"/>
      <c r="C36" s="1652"/>
      <c r="D36" s="1652"/>
      <c r="E36" s="1652"/>
      <c r="F36" s="1652"/>
      <c r="G36" s="1652"/>
      <c r="H36" s="1652"/>
      <c r="I36" s="1652"/>
      <c r="J36" s="1652"/>
      <c r="K36" s="1652"/>
      <c r="L36" s="1653"/>
      <c r="M36" s="1652"/>
      <c r="N36" s="1652"/>
      <c r="O36" s="1652"/>
      <c r="P36" s="1652"/>
      <c r="Q36" s="1652"/>
      <c r="S36" s="2534" t="s">
        <v>481</v>
      </c>
      <c r="T36" s="2534"/>
      <c r="U36" s="1656"/>
      <c r="V36" s="2535" t="str">
        <f>IF(TITLE_NUMBER_PR_CHANGE="",IF(TITLE_NUMBER_PR="","",TITLE_NUMBER_PR),TITLE_NUMBER_PR_CHANGE)</f>
        <v>№ 40/8</v>
      </c>
      <c r="W36" s="2535"/>
      <c r="X36" s="2535"/>
      <c r="Y36" s="2535"/>
      <c r="Z36" s="2535"/>
      <c r="AA36" s="610"/>
      <c r="AB36" s="2535" t="str">
        <f>IF(TITLE_NUMBER_PR_CHANGE="",IF(TITLE_NUMBER_PR="","",TITLE_NUMBER_PR),TITLE_NUMBER_PR_CHANGE)</f>
        <v>№ 40/8</v>
      </c>
      <c r="AC36" s="2535"/>
      <c r="AD36" s="2535"/>
      <c r="AE36" s="2535"/>
      <c r="AF36" s="2535"/>
      <c r="AG36" s="2535"/>
      <c r="AH36" s="2535"/>
      <c r="AI36" s="2535"/>
      <c r="AJ36" s="2535"/>
      <c r="AK36" s="2535"/>
      <c r="AL36" s="2535"/>
      <c r="AM36" s="2535"/>
      <c r="AN36" s="2535"/>
      <c r="AO36" s="2535"/>
      <c r="AP36" s="2535"/>
      <c r="AQ36" s="2535"/>
      <c r="AR36" s="2535"/>
      <c r="AS36" s="610"/>
      <c r="AT36" s="610"/>
      <c r="AU36" s="564"/>
      <c r="AV36" s="652"/>
      <c r="AW36" s="652"/>
      <c r="AX36" s="652"/>
      <c r="AY36" s="652"/>
      <c r="AZ36" s="652"/>
      <c r="BA36" s="702">
        <v>0</v>
      </c>
    </row>
    <row s="30764" customFormat="1" customHeight="1" ht="1.05">
      <c r="A37" s="1652"/>
      <c r="B37" s="1652"/>
      <c r="C37" s="1652"/>
      <c r="D37" s="1652"/>
      <c r="E37" s="1652"/>
      <c r="F37" s="1652"/>
      <c r="G37" s="1652"/>
      <c r="H37" s="1652"/>
      <c r="I37" s="1652"/>
      <c r="J37" s="1652"/>
      <c r="K37" s="1652"/>
      <c r="L37" s="1653"/>
      <c r="M37" s="1652"/>
      <c r="N37" s="1652"/>
      <c r="O37" s="1652"/>
      <c r="P37" s="1652"/>
      <c r="Q37" s="1652"/>
      <c r="S37" s="607"/>
      <c r="T37" s="607"/>
      <c r="U37" s="1624"/>
      <c r="V37" s="610"/>
      <c r="W37" s="610"/>
      <c r="X37" s="610"/>
      <c r="Y37" s="610"/>
      <c r="Z37" s="610"/>
      <c r="AA37" s="562" t="s">
        <v>484</v>
      </c>
      <c r="AB37" s="610"/>
      <c r="AC37" s="610"/>
      <c r="AD37" s="610"/>
      <c r="AE37" s="610"/>
      <c r="AF37" s="610"/>
      <c r="AG37" s="610"/>
      <c r="AH37" s="610"/>
      <c r="AI37" s="610"/>
      <c r="AJ37" s="610"/>
      <c r="AK37" s="610"/>
      <c r="AL37" s="610"/>
      <c r="AM37" s="610"/>
      <c r="AN37" s="610"/>
      <c r="AO37" s="610"/>
      <c r="AP37" s="610"/>
      <c r="AQ37" s="610"/>
      <c r="AR37" s="610"/>
      <c r="AS37" s="562" t="s">
        <v>484</v>
      </c>
      <c r="AV37" s="652"/>
      <c r="AW37" s="652"/>
      <c r="AX37" s="652"/>
      <c r="AY37" s="652"/>
      <c r="AZ37" s="652"/>
      <c r="BA37" s="702">
        <v>1</v>
      </c>
    </row>
    <row customHeight="1" ht="14.699999999999998">
      <c r="Q38" s="575"/>
      <c r="R38" s="660"/>
      <c r="S38" s="1559"/>
      <c r="T38" s="647"/>
      <c r="U38" s="1528"/>
      <c r="V38" s="2536"/>
      <c r="W38" s="2536"/>
      <c r="X38" s="2536"/>
      <c r="Y38" s="2536"/>
      <c r="Z38" s="2536"/>
      <c r="AA38" s="2536"/>
      <c r="AB38" s="2536"/>
      <c r="AC38" s="2536"/>
      <c r="AD38" s="2536"/>
      <c r="AE38" s="2536"/>
      <c r="AF38" s="2536"/>
      <c r="AG38" s="2536"/>
      <c r="AH38" s="2536"/>
      <c r="AI38" s="2536"/>
      <c r="AJ38" s="2536"/>
      <c r="AK38" s="2536"/>
      <c r="AL38" s="2536"/>
      <c r="AM38" s="2536"/>
      <c r="AN38" s="2536"/>
      <c r="AO38" s="2536"/>
      <c r="AP38" s="2536"/>
      <c r="AQ38" s="2536"/>
      <c r="AR38" s="2536"/>
      <c r="AS38" s="2536"/>
      <c r="BA38" s="1439">
        <v>14</v>
      </c>
    </row>
    <row customHeight="1" ht="14.699999999999998">
      <c r="Q39" s="575"/>
      <c r="R39" s="660"/>
      <c r="S39" s="2411" t="s">
        <v>360</v>
      </c>
      <c r="T39" s="2411"/>
      <c r="U39" s="2411"/>
      <c r="V39" s="2411"/>
      <c r="W39" s="2411"/>
      <c r="X39" s="2411"/>
      <c r="Y39" s="2411"/>
      <c r="Z39" s="2411"/>
      <c r="AA39" s="2411"/>
      <c r="AB39" s="2459"/>
      <c r="AC39" s="2459"/>
      <c r="AD39" s="2459"/>
      <c r="AE39" s="2459"/>
      <c r="AF39" s="2411"/>
      <c r="AG39" s="2411"/>
      <c r="AH39" s="2411"/>
      <c r="AI39" s="2411"/>
      <c r="AJ39" s="2411"/>
      <c r="AK39" s="2411"/>
      <c r="AL39" s="2411"/>
      <c r="AM39" s="2411"/>
      <c r="AN39" s="2411"/>
      <c r="AO39" s="2411"/>
      <c r="AP39" s="2411"/>
      <c r="AQ39" s="2411"/>
      <c r="AR39" s="2411"/>
      <c r="AS39" s="2411"/>
      <c r="AT39" s="2411"/>
      <c r="AU39" s="2411" t="s">
        <v>361</v>
      </c>
      <c r="BA39" s="1439">
        <v>14</v>
      </c>
    </row>
    <row customHeight="1" ht="14.699999999999998">
      <c r="Q40" s="575"/>
      <c r="R40" s="660"/>
      <c r="S40" s="2557" t="s">
        <v>91</v>
      </c>
      <c r="T40" s="2493" t="s">
        <v>545</v>
      </c>
      <c r="U40" s="585"/>
      <c r="V40" s="2559"/>
      <c r="W40" s="2559"/>
      <c r="X40" s="2559"/>
      <c r="Y40" s="2559"/>
      <c r="Z40" s="2560"/>
      <c r="AA40" s="2620" t="s">
        <v>487</v>
      </c>
      <c r="AB40" s="2612" t="s">
        <v>546</v>
      </c>
      <c r="AC40" s="2575"/>
      <c r="AD40" s="2575"/>
      <c r="AE40" s="2613"/>
      <c r="AF40" s="2575" t="s">
        <v>547</v>
      </c>
      <c r="AG40" s="2575"/>
      <c r="AH40" s="2575"/>
      <c r="AI40" s="2613"/>
      <c r="AJ40" s="2612" t="s">
        <v>548</v>
      </c>
      <c r="AK40" s="2575"/>
      <c r="AL40" s="2575"/>
      <c r="AM40" s="2613"/>
      <c r="AN40" s="2612" t="s">
        <v>486</v>
      </c>
      <c r="AO40" s="2575"/>
      <c r="AP40" s="2559"/>
      <c r="AQ40" s="2559"/>
      <c r="AR40" s="2560"/>
      <c r="AS40" s="2561" t="s">
        <v>487</v>
      </c>
      <c r="AT40" s="2564" t="s">
        <v>489</v>
      </c>
      <c r="AU40" s="2411"/>
      <c r="BA40" s="1439">
        <v>14</v>
      </c>
    </row>
    <row customHeight="1" ht="35.699999999999996">
      <c r="Q41" s="575"/>
      <c r="R41" s="660"/>
      <c r="S41" s="2557"/>
      <c r="T41" s="2493"/>
      <c r="U41" s="1315"/>
      <c r="V41" s="2411" t="s">
        <v>549</v>
      </c>
      <c r="W41" s="2411"/>
      <c r="X41" s="2578" t="s">
        <v>493</v>
      </c>
      <c r="Y41" s="2597"/>
      <c r="Z41" s="2598"/>
      <c r="AA41" s="2621"/>
      <c r="AB41" s="2614"/>
      <c r="AC41" s="2615"/>
      <c r="AD41" s="2615"/>
      <c r="AE41" s="2616"/>
      <c r="AF41" s="2615"/>
      <c r="AG41" s="2615"/>
      <c r="AH41" s="2615"/>
      <c r="AI41" s="2616"/>
      <c r="AJ41" s="2614"/>
      <c r="AK41" s="2615"/>
      <c r="AL41" s="2615"/>
      <c r="AM41" s="2615"/>
      <c r="AN41" s="2411" t="s">
        <v>549</v>
      </c>
      <c r="AO41" s="2411"/>
      <c r="AP41" s="2597" t="s">
        <v>493</v>
      </c>
      <c r="AQ41" s="2597"/>
      <c r="AR41" s="2598"/>
      <c r="AS41" s="2562"/>
      <c r="AT41" s="2565"/>
      <c r="AU41" s="2411"/>
      <c r="BA41" s="1439">
        <v>34</v>
      </c>
    </row>
    <row customHeight="1" ht="14.699999999999998">
      <c r="Q42" s="575"/>
      <c r="R42" s="660"/>
      <c r="S42" s="2557"/>
      <c r="T42" s="2493"/>
      <c r="U42" s="1315"/>
      <c r="V42" s="2624" t="str">
        <f>IF($AN$42&lt;&gt;"",$AN$42,"")</f>
        <v/>
      </c>
      <c r="W42" s="2624"/>
      <c r="X42" s="2579"/>
      <c r="Y42" s="2599"/>
      <c r="Z42" s="2600"/>
      <c r="AA42" s="2621"/>
      <c r="AB42" s="2614"/>
      <c r="AC42" s="2615"/>
      <c r="AD42" s="2615"/>
      <c r="AE42" s="2616"/>
      <c r="AF42" s="2615"/>
      <c r="AG42" s="2615"/>
      <c r="AH42" s="2615"/>
      <c r="AI42" s="2616"/>
      <c r="AJ42" s="2614"/>
      <c r="AK42" s="2615"/>
      <c r="AL42" s="2615"/>
      <c r="AM42" s="2615"/>
      <c r="AN42" s="2623"/>
      <c r="AO42" s="2623"/>
      <c r="AP42" s="2599"/>
      <c r="AQ42" s="2599"/>
      <c r="AR42" s="2600"/>
      <c r="AS42" s="2562"/>
      <c r="AT42" s="2565"/>
      <c r="AU42" s="2411"/>
      <c r="BA42" s="1439">
        <v>14</v>
      </c>
    </row>
    <row customHeight="1" ht="14.699999999999998">
      <c r="A43" s="1654"/>
      <c r="B43" s="1654" t="s">
        <v>165</v>
      </c>
      <c r="C43" s="1654" t="s">
        <v>166</v>
      </c>
      <c r="D43" s="1654" t="s">
        <v>167</v>
      </c>
      <c r="E43" s="1648" t="s">
        <v>494</v>
      </c>
      <c r="F43" s="1648" t="s">
        <v>495</v>
      </c>
      <c r="G43" s="1648" t="s">
        <v>496</v>
      </c>
      <c r="H43" s="1648" t="s">
        <v>497</v>
      </c>
      <c r="I43" s="1648" t="s">
        <v>498</v>
      </c>
      <c r="J43" s="1648" t="s">
        <v>499</v>
      </c>
      <c r="K43" s="1648" t="s">
        <v>500</v>
      </c>
      <c r="L43" s="1648" t="s">
        <v>475</v>
      </c>
      <c r="Q43" s="575"/>
      <c r="R43" s="660"/>
      <c r="S43" s="2557"/>
      <c r="T43" s="2493"/>
      <c r="U43" s="586"/>
      <c r="V43" s="1614" t="s">
        <v>550</v>
      </c>
      <c r="W43" s="1614" t="s">
        <v>551</v>
      </c>
      <c r="X43" s="1622" t="s">
        <v>503</v>
      </c>
      <c r="Y43" s="2554" t="s">
        <v>504</v>
      </c>
      <c r="Z43" s="2555"/>
      <c r="AA43" s="2622"/>
      <c r="AB43" s="2617"/>
      <c r="AC43" s="2618"/>
      <c r="AD43" s="2618"/>
      <c r="AE43" s="2619"/>
      <c r="AF43" s="2618"/>
      <c r="AG43" s="2618"/>
      <c r="AH43" s="2618"/>
      <c r="AI43" s="2619"/>
      <c r="AJ43" s="2617"/>
      <c r="AK43" s="2618"/>
      <c r="AL43" s="2618"/>
      <c r="AM43" s="2619"/>
      <c r="AN43" s="2144" t="s">
        <v>550</v>
      </c>
      <c r="AO43" s="2144" t="s">
        <v>551</v>
      </c>
      <c r="AP43" s="1622" t="s">
        <v>503</v>
      </c>
      <c r="AQ43" s="2554" t="s">
        <v>504</v>
      </c>
      <c r="AR43" s="2555"/>
      <c r="AS43" s="2563"/>
      <c r="AT43" s="2566"/>
      <c r="AU43" s="2411"/>
      <c r="BA43" s="1439">
        <v>14</v>
      </c>
    </row>
    <row s="31261" customFormat="1" customHeight="1" ht="11.25" hidden="1">
      <c r="A44" s="1654"/>
      <c r="B44" s="1654"/>
      <c r="C44" s="1654"/>
      <c r="D44" s="1654"/>
      <c r="E44" s="1654"/>
      <c r="F44" s="1654"/>
      <c r="G44" s="1654"/>
      <c r="H44" s="1654"/>
      <c r="I44" s="1654"/>
      <c r="J44" s="1654"/>
      <c r="K44" s="1654"/>
      <c r="L44" s="1648"/>
      <c r="M44" s="1646"/>
      <c r="N44" s="1646"/>
      <c r="O44" s="1646"/>
      <c r="P44" s="794"/>
      <c r="Q44" s="1538"/>
      <c r="R44" s="1538">
        <v>1</v>
      </c>
      <c r="S44" s="1561" t="s">
        <v>141</v>
      </c>
      <c r="T44" s="1539" t="s">
        <v>105</v>
      </c>
      <c r="U44" s="1529" t="str">
        <f>OFFSET(U44,0,-1)</f>
        <v>2</v>
      </c>
      <c r="V44" s="1619">
        <f>OFFSET(V44,0,-1)+1</f>
        <v>3</v>
      </c>
      <c r="W44" s="1619">
        <f>OFFSET(W44,0,-1)+1</f>
        <v>4</v>
      </c>
      <c r="X44" s="1619">
        <f>OFFSET(X44,0,-1)+1</f>
        <v>5</v>
      </c>
      <c r="Y44" s="2556">
        <f>OFFSET(Y44,0,-1)+1</f>
        <v>6</v>
      </c>
      <c r="Z44" s="2556"/>
      <c r="AA44" s="1619">
        <f>OFFSET(AA44,0,-2)+1</f>
        <v>7</v>
      </c>
      <c r="AB44" s="1625">
        <f>OFFSET(AB44,0,-1)+1</f>
        <v>8</v>
      </c>
      <c r="AC44" s="1625"/>
      <c r="AD44" s="1625"/>
      <c r="AE44" s="1625"/>
      <c r="AF44" s="1619"/>
      <c r="AG44" s="1619"/>
      <c r="AH44" s="1619"/>
      <c r="AI44" s="1619"/>
      <c r="AJ44" s="1619"/>
      <c r="AK44" s="1619"/>
      <c r="AL44" s="1619"/>
      <c r="AM44" s="1619"/>
      <c r="AN44" s="1619">
        <f>OFFSET(AN44,0,-1)+1</f>
        <v>1</v>
      </c>
      <c r="AO44" s="1619">
        <f>OFFSET(AO44,0,-1)+1</f>
        <v>2</v>
      </c>
      <c r="AP44" s="1619">
        <f>OFFSET(AP44,0,-1)+1</f>
        <v>3</v>
      </c>
      <c r="AQ44" s="2556">
        <f>OFFSET(AQ44,0,-1)+1</f>
        <v>4</v>
      </c>
      <c r="AR44" s="2556"/>
      <c r="AS44" s="1619">
        <f>OFFSET(AS44,0,-2)+1</f>
        <v>5</v>
      </c>
      <c r="AT44" s="1529">
        <f>OFFSET(AT44,0,-1)</f>
        <v>5</v>
      </c>
      <c r="AU44" s="1619">
        <f>OFFSET(AU44,0,-1)+1</f>
        <v>6</v>
      </c>
      <c r="AV44" s="795"/>
      <c r="AW44" s="795"/>
      <c r="AX44" s="795"/>
      <c r="AY44" s="795"/>
      <c r="AZ44" s="795"/>
      <c r="BA44" s="780">
        <v>0</v>
      </c>
    </row>
    <row customHeight="1" ht="107.25">
      <c r="A45" s="1647" t="s">
        <v>260</v>
      </c>
      <c r="B45" s="1647"/>
      <c r="C45" s="1647"/>
      <c r="D45" s="1647"/>
      <c r="E45" s="2542">
        <v>1</v>
      </c>
      <c r="F45" s="1647"/>
      <c r="G45" s="1647"/>
      <c r="H45" s="1647"/>
      <c r="I45" s="1647"/>
      <c r="J45" s="1647"/>
      <c r="K45" s="1647"/>
      <c r="L45" s="1648"/>
      <c r="M45" s="1649"/>
      <c r="N45" s="1649"/>
      <c r="O45" s="1649"/>
      <c r="P45" s="1693"/>
      <c r="Q45" s="1157"/>
      <c r="R45" s="639"/>
      <c r="S45" s="1620">
        <f>INDEX(PT_DIFFERENTIATION_NUM_NTAR,MATCH(A45,PT_DIFFERENTIATION_NTAR_ID,0))</f>
        <v>0</v>
      </c>
      <c r="T45" s="582" t="s">
        <v>153</v>
      </c>
      <c r="U45" s="584"/>
      <c r="V45" s="2527"/>
      <c r="W45" s="2527"/>
      <c r="X45" s="2527"/>
      <c r="Y45" s="2527"/>
      <c r="Z45" s="2527"/>
      <c r="AA45" s="2528"/>
      <c r="AB45" s="2526" t="str">
        <f>INDEX(PT_DIFFERENTIATION_NTAR,MATCH(A45,PT_DIFFERENTIATION_NTAR_ID,0))</f>
        <v/>
      </c>
      <c r="AC45" s="2527"/>
      <c r="AD45" s="2527"/>
      <c r="AE45" s="2527"/>
      <c r="AF45" s="2527"/>
      <c r="AG45" s="2527"/>
      <c r="AH45" s="2527"/>
      <c r="AI45" s="2527"/>
      <c r="AJ45" s="2527"/>
      <c r="AK45" s="2527"/>
      <c r="AL45" s="2527"/>
      <c r="AM45" s="2527"/>
      <c r="AN45" s="2527"/>
      <c r="AO45" s="2527"/>
      <c r="AP45" s="2527"/>
      <c r="AQ45" s="2527"/>
      <c r="AR45" s="2527"/>
      <c r="AS45" s="2527"/>
      <c r="AT45" s="2528"/>
      <c r="AU45" s="154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784"/>
      <c r="AX45" s="784" t="str">
        <f>IF(T45="","",T45)</f>
        <v>Наименование тарифа</v>
      </c>
      <c r="AY45" s="784"/>
      <c r="AZ45" s="784"/>
      <c r="BA45" s="1439">
        <v>102</v>
      </c>
    </row>
    <row customHeight="1" ht="22.049999999999997">
      <c r="A46" s="1647" t="s">
        <v>260</v>
      </c>
      <c r="B46" s="1647" t="s">
        <v>261</v>
      </c>
      <c r="C46" s="1647"/>
      <c r="D46" s="1647"/>
      <c r="E46" s="2543"/>
      <c r="F46" s="2542">
        <v>1</v>
      </c>
      <c r="G46" s="1647"/>
      <c r="H46" s="1647"/>
      <c r="I46" s="1647"/>
      <c r="J46" s="1647"/>
      <c r="K46" s="1647"/>
      <c r="L46" s="1648"/>
      <c r="M46" s="1649"/>
      <c r="N46" s="1649"/>
      <c r="O46" s="1649"/>
      <c r="P46" s="1694"/>
      <c r="Q46" s="1695"/>
      <c r="R46" s="637"/>
      <c r="S46" s="1620" t="str">
        <f>INDEX(PT_DIFFERENTIATION_NUM_TER,MATCH(B46,PT_DIFFERENTIATION_TER_ID,0))</f>
        <v>.</v>
      </c>
      <c r="T46" s="592" t="s">
        <v>457</v>
      </c>
      <c r="U46" s="584"/>
      <c r="V46" s="2527"/>
      <c r="W46" s="2527"/>
      <c r="X46" s="2527"/>
      <c r="Y46" s="2527"/>
      <c r="Z46" s="2527"/>
      <c r="AA46" s="2528"/>
      <c r="AB46" s="2526" t="str">
        <f>INDEX(PT_DIFFERENTIATION_TER,MATCH(B46,PT_DIFFERENTIATION_TER_ID,0))</f>
        <v/>
      </c>
      <c r="AC46" s="2527"/>
      <c r="AD46" s="2527"/>
      <c r="AE46" s="2527"/>
      <c r="AF46" s="2527"/>
      <c r="AG46" s="2527"/>
      <c r="AH46" s="2527"/>
      <c r="AI46" s="2527"/>
      <c r="AJ46" s="2527"/>
      <c r="AK46" s="2527"/>
      <c r="AL46" s="2527"/>
      <c r="AM46" s="2527"/>
      <c r="AN46" s="2527"/>
      <c r="AO46" s="2527"/>
      <c r="AP46" s="2527"/>
      <c r="AQ46" s="2527"/>
      <c r="AR46" s="2527"/>
      <c r="AS46" s="2527"/>
      <c r="AT46" s="2528"/>
      <c r="AU46" s="1542" t="s">
        <v>458</v>
      </c>
      <c r="AW46" s="784"/>
      <c r="AX46" s="784" t="str">
        <f>IF(T46="","",T46)</f>
        <v>Территория действия тарифа</v>
      </c>
      <c r="AY46" s="784"/>
      <c r="AZ46" s="784"/>
      <c r="BA46" s="1439">
        <v>21</v>
      </c>
    </row>
    <row customHeight="1" ht="24">
      <c r="A47" s="1647" t="s">
        <v>260</v>
      </c>
      <c r="B47" s="1647" t="s">
        <v>261</v>
      </c>
      <c r="C47" s="1647" t="s">
        <v>262</v>
      </c>
      <c r="D47" s="1647"/>
      <c r="E47" s="2543"/>
      <c r="F47" s="2543"/>
      <c r="G47" s="2542">
        <v>1</v>
      </c>
      <c r="H47" s="1647"/>
      <c r="I47" s="1647"/>
      <c r="J47" s="1647"/>
      <c r="K47" s="1647"/>
      <c r="L47" s="1648"/>
      <c r="M47" s="1649"/>
      <c r="N47" s="1649"/>
      <c r="O47" s="1649"/>
      <c r="P47" s="1696"/>
      <c r="Q47" s="1695"/>
      <c r="R47" s="637"/>
      <c r="S47" s="1620" t="str">
        <f>INDEX(PT_DIFFERENTIATION_NUM_CS,MATCH(C47,PT_DIFFERENTIATION_CS_ID,0))</f>
        <v>..</v>
      </c>
      <c r="T47" s="593" t="s">
        <v>459</v>
      </c>
      <c r="U47" s="584"/>
      <c r="V47" s="2527"/>
      <c r="W47" s="2527"/>
      <c r="X47" s="2527"/>
      <c r="Y47" s="2527"/>
      <c r="Z47" s="2527"/>
      <c r="AA47" s="2528"/>
      <c r="AB47" s="2526" t="str">
        <f>INDEX(PT_DIFFERENTIATION_CS,MATCH(C47,PT_DIFFERENTIATION_CS_ID,0))</f>
        <v/>
      </c>
      <c r="AC47" s="2527"/>
      <c r="AD47" s="2527"/>
      <c r="AE47" s="2527"/>
      <c r="AF47" s="2527"/>
      <c r="AG47" s="2527"/>
      <c r="AH47" s="2527"/>
      <c r="AI47" s="2527"/>
      <c r="AJ47" s="2527"/>
      <c r="AK47" s="2527"/>
      <c r="AL47" s="2527"/>
      <c r="AM47" s="2527"/>
      <c r="AN47" s="2527"/>
      <c r="AO47" s="2527"/>
      <c r="AP47" s="2527"/>
      <c r="AQ47" s="2527"/>
      <c r="AR47" s="2527"/>
      <c r="AS47" s="2527"/>
      <c r="AT47" s="2528"/>
      <c r="AU47" s="1542" t="s">
        <v>460</v>
      </c>
      <c r="AW47" s="784"/>
      <c r="AX47" s="784" t="str">
        <f>IF(T47="","",T47)</f>
        <v>Наименование системы теплоснабжения </v>
      </c>
      <c r="AY47" s="784"/>
      <c r="AZ47" s="784"/>
      <c r="BA47" s="1439">
        <v>23</v>
      </c>
    </row>
    <row customHeight="1" ht="21">
      <c r="A48" s="1647" t="s">
        <v>260</v>
      </c>
      <c r="B48" s="1647" t="s">
        <v>261</v>
      </c>
      <c r="C48" s="1647" t="s">
        <v>262</v>
      </c>
      <c r="D48" s="1647" t="s">
        <v>263</v>
      </c>
      <c r="E48" s="2543"/>
      <c r="F48" s="2543"/>
      <c r="G48" s="2543"/>
      <c r="H48" s="2542">
        <v>1</v>
      </c>
      <c r="I48" s="1647"/>
      <c r="J48" s="1647"/>
      <c r="K48" s="1647"/>
      <c r="L48" s="1648"/>
      <c r="M48" s="1649"/>
      <c r="N48" s="1649"/>
      <c r="O48" s="1649"/>
      <c r="P48" s="1696"/>
      <c r="Q48" s="1695"/>
      <c r="R48" s="637"/>
      <c r="S48" s="1620" t="str">
        <f>INDEX(PT_DIFFERENTIATION_NUM_IST_TE,MATCH(D48,PT_DIFFERENTIATION_IST_TE_ID,0))</f>
        <v>...</v>
      </c>
      <c r="T48" s="594" t="s">
        <v>461</v>
      </c>
      <c r="U48" s="584"/>
      <c r="V48" s="2527"/>
      <c r="W48" s="2527"/>
      <c r="X48" s="2527"/>
      <c r="Y48" s="2527"/>
      <c r="Z48" s="2527"/>
      <c r="AA48" s="2528"/>
      <c r="AB48" s="2526" t="str">
        <f>INDEX(PT_DIFFERENTIATION_IST_TE,MATCH(D48,PT_DIFFERENTIATION_IST_TE_ID,0))</f>
        <v/>
      </c>
      <c r="AC48" s="2527"/>
      <c r="AD48" s="2527"/>
      <c r="AE48" s="2527"/>
      <c r="AF48" s="2527"/>
      <c r="AG48" s="2527"/>
      <c r="AH48" s="2527"/>
      <c r="AI48" s="2527"/>
      <c r="AJ48" s="2527"/>
      <c r="AK48" s="2527"/>
      <c r="AL48" s="2527"/>
      <c r="AM48" s="2527"/>
      <c r="AN48" s="2527"/>
      <c r="AO48" s="2527"/>
      <c r="AP48" s="2527"/>
      <c r="AQ48" s="2527"/>
      <c r="AR48" s="2527"/>
      <c r="AS48" s="2527"/>
      <c r="AT48" s="2528"/>
      <c r="AU48" s="1542" t="s">
        <v>462</v>
      </c>
      <c r="AW48" s="784"/>
      <c r="AX48" s="784" t="str">
        <f>IF(T48="","",T48)</f>
        <v>Источник тепловой энергии  </v>
      </c>
      <c r="AY48" s="784"/>
      <c r="AZ48" s="784"/>
      <c r="BA48" s="1439">
        <v>20</v>
      </c>
    </row>
    <row s="30621" customFormat="1" customHeight="1" ht="1.05">
      <c r="A49" s="1627" t="s">
        <v>260</v>
      </c>
      <c r="B49" s="1627" t="s">
        <v>261</v>
      </c>
      <c r="C49" s="1627" t="s">
        <v>262</v>
      </c>
      <c r="D49" s="1627" t="s">
        <v>263</v>
      </c>
      <c r="E49" s="2543"/>
      <c r="F49" s="2543"/>
      <c r="G49" s="2543"/>
      <c r="H49" s="2543"/>
      <c r="I49" s="2540" t="str">
        <f>S48&amp;".1"</f>
        <v>....1</v>
      </c>
      <c r="J49" s="1627"/>
      <c r="K49" s="1627"/>
      <c r="L49" s="1630" t="s">
        <v>463</v>
      </c>
      <c r="M49" s="794"/>
      <c r="N49" s="794"/>
      <c r="O49" s="794"/>
      <c r="P49" s="2541">
        <v>1</v>
      </c>
      <c r="Q49" s="1615"/>
      <c r="R49" s="640"/>
      <c r="S49" s="1326"/>
      <c r="T49" s="1667"/>
      <c r="U49" s="1668"/>
      <c r="V49" s="2581"/>
      <c r="W49" s="2581"/>
      <c r="X49" s="2581"/>
      <c r="Y49" s="2581"/>
      <c r="Z49" s="2581"/>
      <c r="AA49" s="2582"/>
      <c r="AB49" s="2580"/>
      <c r="AC49" s="2581"/>
      <c r="AD49" s="2581"/>
      <c r="AE49" s="2581"/>
      <c r="AF49" s="2581"/>
      <c r="AG49" s="2581"/>
      <c r="AH49" s="2581"/>
      <c r="AI49" s="2581"/>
      <c r="AJ49" s="2581"/>
      <c r="AK49" s="2581"/>
      <c r="AL49" s="2581"/>
      <c r="AM49" s="2581"/>
      <c r="AN49" s="2581"/>
      <c r="AO49" s="2581"/>
      <c r="AP49" s="2581"/>
      <c r="AQ49" s="2581"/>
      <c r="AR49" s="2581"/>
      <c r="AS49" s="2581"/>
      <c r="AT49" s="2582"/>
      <c r="AU49" s="1669"/>
      <c r="AW49" s="784"/>
      <c r="AX49" s="784" t="str">
        <f>IF(T49="","",T49)</f>
        <v/>
      </c>
      <c r="AY49" s="784"/>
      <c r="AZ49" s="784"/>
      <c r="BA49" s="795">
        <v>1</v>
      </c>
    </row>
    <row s="30621" customFormat="1" customHeight="1" ht="1.05">
      <c r="A50" s="1627" t="s">
        <v>260</v>
      </c>
      <c r="B50" s="1627" t="s">
        <v>261</v>
      </c>
      <c r="C50" s="1627" t="s">
        <v>262</v>
      </c>
      <c r="D50" s="1627" t="s">
        <v>263</v>
      </c>
      <c r="E50" s="2543"/>
      <c r="F50" s="2543"/>
      <c r="G50" s="2543"/>
      <c r="H50" s="2543"/>
      <c r="I50" s="2570"/>
      <c r="J50" s="2540" t="str">
        <f>S48&amp;".1"</f>
        <v>....1</v>
      </c>
      <c r="K50" s="1627"/>
      <c r="L50" s="1630"/>
      <c r="M50" s="794"/>
      <c r="N50" s="794"/>
      <c r="O50" s="794"/>
      <c r="P50" s="2541"/>
      <c r="Q50" s="2541">
        <v>1</v>
      </c>
      <c r="R50" s="641"/>
      <c r="S50" s="1326"/>
      <c r="T50" s="1683"/>
      <c r="U50" s="1668"/>
      <c r="V50" s="2581"/>
      <c r="W50" s="2581"/>
      <c r="X50" s="2581"/>
      <c r="Y50" s="2581"/>
      <c r="Z50" s="2581"/>
      <c r="AA50" s="2582"/>
      <c r="AB50" s="2580"/>
      <c r="AC50" s="2581"/>
      <c r="AD50" s="2581"/>
      <c r="AE50" s="2581"/>
      <c r="AF50" s="2581"/>
      <c r="AG50" s="2581"/>
      <c r="AH50" s="2581"/>
      <c r="AI50" s="2581"/>
      <c r="AJ50" s="2581"/>
      <c r="AK50" s="2581"/>
      <c r="AL50" s="2581"/>
      <c r="AM50" s="2581"/>
      <c r="AN50" s="2581"/>
      <c r="AO50" s="2581"/>
      <c r="AP50" s="2581"/>
      <c r="AQ50" s="2581"/>
      <c r="AR50" s="2581"/>
      <c r="AS50" s="2581"/>
      <c r="AT50" s="2582"/>
      <c r="AU50" s="1669"/>
      <c r="AW50" s="784"/>
      <c r="AX50" s="784" t="str">
        <f>IF(T50="","",T50)</f>
        <v/>
      </c>
      <c r="AY50" s="784"/>
      <c r="AZ50" s="784"/>
      <c r="BA50" s="795">
        <v>1</v>
      </c>
    </row>
    <row customHeight="1" ht="22.049999999999997">
      <c r="A51" s="1647" t="s">
        <v>260</v>
      </c>
      <c r="B51" s="1647" t="s">
        <v>261</v>
      </c>
      <c r="C51" s="1647" t="s">
        <v>262</v>
      </c>
      <c r="D51" s="1647" t="s">
        <v>263</v>
      </c>
      <c r="E51" s="2543"/>
      <c r="F51" s="2543"/>
      <c r="G51" s="2543"/>
      <c r="H51" s="2543"/>
      <c r="I51" s="2570"/>
      <c r="J51" s="2570"/>
      <c r="K51" s="2540" t="str">
        <f>S48&amp;".1"</f>
        <v>....1</v>
      </c>
      <c r="L51" s="1648"/>
      <c r="P51" s="2541"/>
      <c r="Q51" s="2541"/>
      <c r="R51" s="641">
        <v>1</v>
      </c>
      <c r="S51" s="2625" t="str">
        <f>$K51</f>
        <v>....1</v>
      </c>
      <c r="T51" s="2628"/>
      <c r="U51" s="584"/>
      <c r="V51" s="1035"/>
      <c r="W51" s="1541"/>
      <c r="X51" s="2018"/>
      <c r="Y51" s="1743" t="s">
        <v>64</v>
      </c>
      <c r="Z51" s="2018"/>
      <c r="AA51" s="1743" t="s">
        <v>64</v>
      </c>
      <c r="AB51" s="2391" t="s">
        <v>19</v>
      </c>
      <c r="AC51" s="2610"/>
      <c r="AD51" s="2489">
        <v>1</v>
      </c>
      <c r="AE51" s="2632" t="s">
        <v>28</v>
      </c>
      <c r="AF51" s="2391" t="s">
        <v>19</v>
      </c>
      <c r="AG51" s="2610"/>
      <c r="AH51" s="2489">
        <v>1</v>
      </c>
      <c r="AI51" s="2632" t="s">
        <v>28</v>
      </c>
      <c r="AJ51" s="2391" t="s">
        <v>19</v>
      </c>
      <c r="AK51" s="595"/>
      <c r="AL51" s="1621">
        <v>1</v>
      </c>
      <c r="AM51" s="1686"/>
      <c r="AN51" s="1035"/>
      <c r="AO51" s="1541"/>
      <c r="AP51" s="2018"/>
      <c r="AQ51" s="1743" t="s">
        <v>64</v>
      </c>
      <c r="AR51" s="2018"/>
      <c r="AS51" s="1743" t="s">
        <v>64</v>
      </c>
      <c r="AT51" s="1632"/>
      <c r="AU51" s="2537" t="s">
        <v>552</v>
      </c>
      <c r="AV51" s="795">
        <f>STRCHECKDATE(V54:AT54)</f>
      </c>
      <c r="AW51" s="784"/>
      <c r="AX51" s="784" t="str">
        <f>IF(T51="","",T51)</f>
        <v/>
      </c>
      <c r="AY51" s="784"/>
      <c r="AZ51" s="784"/>
      <c r="BA51" s="1439">
        <v>21</v>
      </c>
    </row>
    <row customHeight="1" ht="11.549999999999999">
      <c r="A52" s="1647" t="s">
        <v>260</v>
      </c>
      <c r="B52" s="1647"/>
      <c r="C52" s="1647"/>
      <c r="D52" s="1647"/>
      <c r="E52" s="2543"/>
      <c r="F52" s="2543"/>
      <c r="G52" s="2543"/>
      <c r="H52" s="2543"/>
      <c r="I52" s="2570"/>
      <c r="J52" s="2570"/>
      <c r="K52" s="2540"/>
      <c r="L52" s="1648"/>
      <c r="P52" s="2541"/>
      <c r="Q52" s="2541"/>
      <c r="R52" s="641"/>
      <c r="S52" s="2626"/>
      <c r="T52" s="2629"/>
      <c r="U52" s="584"/>
      <c r="V52" s="1677"/>
      <c r="W52" s="1780"/>
      <c r="X52" s="1677"/>
      <c r="Y52" s="1677"/>
      <c r="Z52" s="1677"/>
      <c r="AA52" s="1677"/>
      <c r="AB52" s="2391"/>
      <c r="AC52" s="2610"/>
      <c r="AD52" s="2489"/>
      <c r="AE52" s="2632"/>
      <c r="AF52" s="2391"/>
      <c r="AG52" s="2610"/>
      <c r="AH52" s="2489"/>
      <c r="AI52" s="2632"/>
      <c r="AJ52" s="2391"/>
      <c r="AK52" s="600"/>
      <c r="AL52" s="700"/>
      <c r="AM52" s="699" t="s">
        <v>537</v>
      </c>
      <c r="AN52" s="1677"/>
      <c r="AO52" s="1780"/>
      <c r="AP52" s="1677"/>
      <c r="AQ52" s="1677"/>
      <c r="AR52" s="1677"/>
      <c r="AS52" s="1677"/>
      <c r="AT52" s="1674"/>
      <c r="AU52" s="2538"/>
      <c r="AW52" s="784"/>
      <c r="AX52" s="784"/>
      <c r="AY52" s="784"/>
      <c r="AZ52" s="784"/>
      <c r="BA52" s="1439">
        <v>11</v>
      </c>
    </row>
    <row customHeight="1" ht="11.549999999999999">
      <c r="A53" s="1647" t="s">
        <v>260</v>
      </c>
      <c r="B53" s="1647"/>
      <c r="C53" s="1647"/>
      <c r="D53" s="1647"/>
      <c r="E53" s="2543"/>
      <c r="F53" s="2543"/>
      <c r="G53" s="2543"/>
      <c r="H53" s="2543"/>
      <c r="I53" s="2570"/>
      <c r="J53" s="2570"/>
      <c r="K53" s="2540"/>
      <c r="L53" s="1648"/>
      <c r="P53" s="2541"/>
      <c r="Q53" s="2541"/>
      <c r="R53" s="641"/>
      <c r="S53" s="2626"/>
      <c r="T53" s="2629"/>
      <c r="U53" s="584"/>
      <c r="V53" s="1677"/>
      <c r="W53" s="1780"/>
      <c r="X53" s="1677"/>
      <c r="Y53" s="1677"/>
      <c r="Z53" s="1677"/>
      <c r="AA53" s="1677"/>
      <c r="AB53" s="2391"/>
      <c r="AC53" s="2610"/>
      <c r="AD53" s="2489"/>
      <c r="AE53" s="2632"/>
      <c r="AF53" s="2391"/>
      <c r="AG53" s="578"/>
      <c r="AH53" s="699"/>
      <c r="AI53" s="699" t="s">
        <v>538</v>
      </c>
      <c r="AJ53" s="1677"/>
      <c r="AK53" s="1677"/>
      <c r="AL53" s="1677"/>
      <c r="AM53" s="1677"/>
      <c r="AN53" s="1677"/>
      <c r="AO53" s="1780"/>
      <c r="AP53" s="1677"/>
      <c r="AQ53" s="1677"/>
      <c r="AR53" s="1677"/>
      <c r="AS53" s="1677"/>
      <c r="AT53" s="1674"/>
      <c r="AU53" s="2538"/>
      <c r="AW53" s="784"/>
      <c r="AX53" s="784"/>
      <c r="AY53" s="784"/>
      <c r="AZ53" s="784"/>
      <c r="BA53" s="1439">
        <v>11</v>
      </c>
    </row>
    <row customHeight="1" ht="11.549999999999999">
      <c r="A54" s="1647" t="s">
        <v>260</v>
      </c>
      <c r="B54" s="1647" t="s">
        <v>261</v>
      </c>
      <c r="C54" s="1647" t="s">
        <v>262</v>
      </c>
      <c r="D54" s="1647" t="s">
        <v>263</v>
      </c>
      <c r="E54" s="2543"/>
      <c r="F54" s="2543"/>
      <c r="G54" s="2543"/>
      <c r="H54" s="2543"/>
      <c r="I54" s="2570"/>
      <c r="J54" s="2570"/>
      <c r="K54" s="2540"/>
      <c r="L54" s="1648"/>
      <c r="P54" s="2541"/>
      <c r="Q54" s="2541"/>
      <c r="R54" s="641"/>
      <c r="S54" s="2627"/>
      <c r="T54" s="2630"/>
      <c r="U54" s="584"/>
      <c r="V54" s="1677"/>
      <c r="W54" s="1678" t="str">
        <f>X51&amp;"-"&amp;Z51</f>
        <v>-</v>
      </c>
      <c r="X54" s="1677"/>
      <c r="Y54" s="1677"/>
      <c r="Z54" s="1677"/>
      <c r="AA54" s="1677"/>
      <c r="AB54" s="2391"/>
      <c r="AC54" s="596"/>
      <c r="AD54" s="598"/>
      <c r="AE54" s="699" t="s">
        <v>539</v>
      </c>
      <c r="AF54" s="1677"/>
      <c r="AG54" s="1677"/>
      <c r="AH54" s="1677"/>
      <c r="AI54" s="1677"/>
      <c r="AJ54" s="1677"/>
      <c r="AK54" s="1677"/>
      <c r="AL54" s="1677"/>
      <c r="AM54" s="1677"/>
      <c r="AN54" s="1677"/>
      <c r="AO54" s="1678" t="str">
        <f>AP51&amp;"-"&amp;AR51</f>
        <v>-</v>
      </c>
      <c r="AP54" s="1677"/>
      <c r="AQ54" s="1677"/>
      <c r="AR54" s="1677"/>
      <c r="AS54" s="1677"/>
      <c r="AT54" s="1633"/>
      <c r="AU54" s="2538"/>
      <c r="AW54" s="784"/>
      <c r="AX54" s="784" t="str">
        <f>IF(T54="","",T54)</f>
        <v/>
      </c>
      <c r="AY54" s="784"/>
      <c r="AZ54" s="784"/>
      <c r="BA54" s="1439">
        <v>11</v>
      </c>
    </row>
    <row customHeight="1" ht="11.549999999999999">
      <c r="A55" s="1647" t="s">
        <v>260</v>
      </c>
      <c r="B55" s="1647" t="s">
        <v>261</v>
      </c>
      <c r="C55" s="1647" t="s">
        <v>262</v>
      </c>
      <c r="D55" s="1647" t="s">
        <v>263</v>
      </c>
      <c r="E55" s="2543"/>
      <c r="F55" s="2543"/>
      <c r="G55" s="2543"/>
      <c r="H55" s="2543"/>
      <c r="I55" s="2570"/>
      <c r="J55" s="2540"/>
      <c r="K55" s="1647"/>
      <c r="L55" s="1648"/>
      <c r="P55" s="2541"/>
      <c r="Q55" s="2541"/>
      <c r="R55" s="640"/>
      <c r="S55" s="1562"/>
      <c r="T55" s="571" t="s">
        <v>540</v>
      </c>
      <c r="U55" s="651"/>
      <c r="V55" s="651"/>
      <c r="W55" s="651"/>
      <c r="X55" s="651"/>
      <c r="Y55" s="651"/>
      <c r="Z55" s="651"/>
      <c r="AA55" s="608"/>
      <c r="AB55" s="1789"/>
      <c r="AC55" s="651"/>
      <c r="AD55" s="651"/>
      <c r="AE55" s="651"/>
      <c r="AF55" s="651"/>
      <c r="AG55" s="651"/>
      <c r="AH55" s="651"/>
      <c r="AI55" s="651"/>
      <c r="AJ55" s="651"/>
      <c r="AK55" s="651"/>
      <c r="AL55" s="651"/>
      <c r="AM55" s="651"/>
      <c r="AN55" s="651"/>
      <c r="AO55" s="651"/>
      <c r="AP55" s="651"/>
      <c r="AQ55" s="651"/>
      <c r="AR55" s="651"/>
      <c r="AS55" s="651"/>
      <c r="AT55" s="608"/>
      <c r="AU55" s="2539"/>
      <c r="AW55" s="784"/>
      <c r="AX55" s="784" t="str">
        <f>IF(T55="","",T55)</f>
        <v>Добавить строку</v>
      </c>
      <c r="AY55" s="784"/>
      <c r="AZ55" s="784"/>
      <c r="BA55" s="1439">
        <v>11</v>
      </c>
    </row>
    <row s="30621" customFormat="1" customHeight="1" ht="1.05">
      <c r="A56" s="1627" t="s">
        <v>260</v>
      </c>
      <c r="B56" s="1627" t="s">
        <v>261</v>
      </c>
      <c r="C56" s="1627" t="s">
        <v>262</v>
      </c>
      <c r="D56" s="1627" t="s">
        <v>263</v>
      </c>
      <c r="E56" s="2543"/>
      <c r="F56" s="2543"/>
      <c r="G56" s="2543"/>
      <c r="H56" s="2543"/>
      <c r="I56" s="2540"/>
      <c r="J56" s="1627"/>
      <c r="K56" s="1627"/>
      <c r="L56" s="1630"/>
      <c r="M56" s="794"/>
      <c r="N56" s="794"/>
      <c r="O56" s="794"/>
      <c r="P56" s="2541"/>
      <c r="Q56" s="1615"/>
      <c r="R56" s="640"/>
      <c r="S56" s="1670"/>
      <c r="T56" s="1671" t="s">
        <v>472</v>
      </c>
      <c r="U56" s="1672"/>
      <c r="V56" s="1672"/>
      <c r="W56" s="1672"/>
      <c r="X56" s="1672"/>
      <c r="Y56" s="1672"/>
      <c r="Z56" s="1672"/>
      <c r="AA56" s="1672"/>
      <c r="AB56" s="1672"/>
      <c r="AC56" s="1672"/>
      <c r="AD56" s="1672"/>
      <c r="AE56" s="1672"/>
      <c r="AF56" s="1672"/>
      <c r="AG56" s="1672"/>
      <c r="AH56" s="1672"/>
      <c r="AI56" s="1672"/>
      <c r="AJ56" s="1672"/>
      <c r="AK56" s="1672"/>
      <c r="AL56" s="1672"/>
      <c r="AM56" s="1672"/>
      <c r="AN56" s="1672"/>
      <c r="AO56" s="1672"/>
      <c r="AP56" s="1672"/>
      <c r="AQ56" s="1672"/>
      <c r="AR56" s="1672"/>
      <c r="AS56" s="1672"/>
      <c r="AT56" s="1672"/>
      <c r="AU56" s="1673"/>
      <c r="AW56" s="784"/>
      <c r="AX56" s="784" t="str">
        <f>IF(T56="","",T56)</f>
        <v>Добавить группу потребителей</v>
      </c>
      <c r="AY56" s="784"/>
      <c r="AZ56" s="784"/>
      <c r="BA56" s="795">
        <v>1</v>
      </c>
    </row>
    <row s="31261" customFormat="1" customHeight="1" ht="1.05">
      <c r="A57" s="1627" t="s">
        <v>260</v>
      </c>
      <c r="B57" s="1627" t="s">
        <v>261</v>
      </c>
      <c r="C57" s="1627" t="s">
        <v>262</v>
      </c>
      <c r="D57" s="1627" t="s">
        <v>263</v>
      </c>
      <c r="E57" s="2543"/>
      <c r="F57" s="2543"/>
      <c r="G57" s="2543"/>
      <c r="H57" s="2542"/>
      <c r="I57" s="1627"/>
      <c r="J57" s="1627"/>
      <c r="K57" s="1627"/>
      <c r="L57" s="1630"/>
      <c r="M57" s="1599"/>
      <c r="N57" s="1599"/>
      <c r="O57" s="802"/>
      <c r="P57" s="664"/>
      <c r="Q57" s="1628"/>
      <c r="R57" s="1684"/>
      <c r="S57" s="1670"/>
      <c r="T57" s="1671"/>
      <c r="U57" s="1672"/>
      <c r="V57" s="1672"/>
      <c r="W57" s="1672"/>
      <c r="X57" s="1672"/>
      <c r="Y57" s="1672"/>
      <c r="Z57" s="1672"/>
      <c r="AA57" s="1672"/>
      <c r="AB57" s="1672"/>
      <c r="AC57" s="1672"/>
      <c r="AD57" s="1672"/>
      <c r="AE57" s="1672"/>
      <c r="AF57" s="1672"/>
      <c r="AG57" s="1672"/>
      <c r="AH57" s="1672"/>
      <c r="AI57" s="1672"/>
      <c r="AJ57" s="1672"/>
      <c r="AK57" s="1672"/>
      <c r="AL57" s="1672"/>
      <c r="AM57" s="1672"/>
      <c r="AN57" s="1672"/>
      <c r="AO57" s="1672"/>
      <c r="AP57" s="1672"/>
      <c r="AQ57" s="1672"/>
      <c r="AR57" s="1672"/>
      <c r="AS57" s="1672"/>
      <c r="AT57" s="1672"/>
      <c r="AU57" s="1673"/>
      <c r="AV57" s="795"/>
      <c r="AW57" s="784"/>
      <c r="AX57" s="784" t="str">
        <f>IF(T57="","",T57)</f>
        <v/>
      </c>
      <c r="AY57" s="784"/>
      <c r="AZ57" s="784"/>
      <c r="BA57" s="780">
        <v>1</v>
      </c>
    </row>
    <row s="30621" customFormat="1" customHeight="1" ht="1.05">
      <c r="A58" s="1627" t="s">
        <v>260</v>
      </c>
      <c r="B58" s="1627" t="s">
        <v>261</v>
      </c>
      <c r="C58" s="1627" t="s">
        <v>262</v>
      </c>
      <c r="D58" s="1598"/>
      <c r="E58" s="2543"/>
      <c r="F58" s="2543"/>
      <c r="G58" s="2542"/>
      <c r="H58" s="1598"/>
      <c r="I58" s="1598"/>
      <c r="J58" s="1598"/>
      <c r="K58" s="1598"/>
      <c r="L58" s="1623"/>
      <c r="M58" s="1599"/>
      <c r="N58" s="1599"/>
      <c r="P58" s="1600"/>
      <c r="Q58" s="1601"/>
      <c r="R58" s="1600"/>
      <c r="S58" s="1606"/>
      <c r="T58" s="1609" t="s">
        <v>213</v>
      </c>
      <c r="U58" s="1608"/>
      <c r="V58" s="1608"/>
      <c r="W58" s="1608"/>
      <c r="X58" s="1608"/>
      <c r="Y58" s="1608"/>
      <c r="Z58" s="1608"/>
      <c r="AA58" s="1608"/>
      <c r="AB58" s="1608"/>
      <c r="AC58" s="1608"/>
      <c r="AD58" s="1608"/>
      <c r="AE58" s="1608"/>
      <c r="AF58" s="1608"/>
      <c r="AG58" s="1608"/>
      <c r="AH58" s="1608"/>
      <c r="AI58" s="1608"/>
      <c r="AJ58" s="1608"/>
      <c r="AK58" s="1608"/>
      <c r="AL58" s="1608"/>
      <c r="AM58" s="1608"/>
      <c r="AN58" s="1608"/>
      <c r="AO58" s="1608"/>
      <c r="AP58" s="1608"/>
      <c r="AQ58" s="1608"/>
      <c r="AR58" s="1608"/>
      <c r="AS58" s="1608"/>
      <c r="AT58" s="1608"/>
      <c r="AU58" s="1608"/>
      <c r="AW58" s="1073"/>
      <c r="AX58" s="1073" t="str">
        <f>IF(T58="","",T58)</f>
        <v>Добавить источник для дифференциации</v>
      </c>
      <c r="AY58" s="1073"/>
      <c r="AZ58" s="1073"/>
      <c r="BA58" s="802">
        <v>1</v>
      </c>
    </row>
    <row s="30621" customFormat="1" customHeight="1" ht="1.05">
      <c r="A59" s="1627" t="s">
        <v>260</v>
      </c>
      <c r="B59" s="1627" t="s">
        <v>261</v>
      </c>
      <c r="C59" s="1598"/>
      <c r="D59" s="1598"/>
      <c r="E59" s="2543"/>
      <c r="F59" s="2542"/>
      <c r="G59" s="1598"/>
      <c r="H59" s="1598"/>
      <c r="I59" s="1598"/>
      <c r="J59" s="1598"/>
      <c r="K59" s="1598"/>
      <c r="L59" s="1623"/>
      <c r="M59" s="1605"/>
      <c r="N59" s="1605"/>
      <c r="P59" s="1600"/>
      <c r="Q59" s="1601"/>
      <c r="R59" s="1600"/>
      <c r="S59" s="1606"/>
      <c r="T59" s="1609" t="s">
        <v>214</v>
      </c>
      <c r="U59" s="1608"/>
      <c r="V59" s="1608"/>
      <c r="W59" s="1608"/>
      <c r="X59" s="1608"/>
      <c r="Y59" s="1608"/>
      <c r="Z59" s="1608"/>
      <c r="AA59" s="1608"/>
      <c r="AB59" s="1608"/>
      <c r="AC59" s="1608"/>
      <c r="AD59" s="1608"/>
      <c r="AE59" s="1608"/>
      <c r="AF59" s="1608"/>
      <c r="AG59" s="1608"/>
      <c r="AH59" s="1608"/>
      <c r="AI59" s="1608"/>
      <c r="AJ59" s="1608"/>
      <c r="AK59" s="1608"/>
      <c r="AL59" s="1608"/>
      <c r="AM59" s="1608"/>
      <c r="AN59" s="1608"/>
      <c r="AO59" s="1608"/>
      <c r="AP59" s="1608"/>
      <c r="AQ59" s="1608"/>
      <c r="AR59" s="1608"/>
      <c r="AS59" s="1608"/>
      <c r="AT59" s="1608"/>
      <c r="AU59" s="1608"/>
      <c r="AW59" s="1073"/>
      <c r="AX59" s="1073" t="str">
        <f>IF(T59="","",T59)</f>
        <v>Добавить централизованную систему для дифференциации</v>
      </c>
      <c r="AY59" s="1073"/>
      <c r="AZ59" s="1073"/>
      <c r="BA59" s="802">
        <v>1</v>
      </c>
    </row>
    <row s="30621" customFormat="1" customHeight="1" ht="1.05">
      <c r="A60" s="1627" t="s">
        <v>260</v>
      </c>
      <c r="B60" s="1627"/>
      <c r="C60" s="1627"/>
      <c r="D60" s="1627"/>
      <c r="E60" s="2543"/>
      <c r="F60" s="1627"/>
      <c r="G60" s="1627"/>
      <c r="H60" s="1627"/>
      <c r="I60" s="1627"/>
      <c r="J60" s="1627"/>
      <c r="K60" s="1627"/>
      <c r="L60" s="1630"/>
      <c r="M60" s="1605"/>
      <c r="N60" s="1605"/>
      <c r="O60" s="802"/>
      <c r="P60" s="664"/>
      <c r="Q60" s="1628"/>
      <c r="R60" s="664"/>
      <c r="S60" s="1606"/>
      <c r="T60" s="1609" t="s">
        <v>230</v>
      </c>
      <c r="U60" s="1608"/>
      <c r="V60" s="1608"/>
      <c r="W60" s="1608"/>
      <c r="X60" s="1608"/>
      <c r="Y60" s="1608"/>
      <c r="Z60" s="1608"/>
      <c r="AA60" s="1608"/>
      <c r="AB60" s="1608"/>
      <c r="AC60" s="1608"/>
      <c r="AD60" s="1608"/>
      <c r="AE60" s="1608"/>
      <c r="AF60" s="1608"/>
      <c r="AG60" s="1608"/>
      <c r="AH60" s="1608"/>
      <c r="AI60" s="1608"/>
      <c r="AJ60" s="1608"/>
      <c r="AK60" s="1608"/>
      <c r="AL60" s="1608"/>
      <c r="AM60" s="1608"/>
      <c r="AN60" s="1608"/>
      <c r="AO60" s="1608"/>
      <c r="AP60" s="1608"/>
      <c r="AQ60" s="1608"/>
      <c r="AR60" s="1608"/>
      <c r="AS60" s="1608"/>
      <c r="AT60" s="1608"/>
      <c r="AU60" s="1608"/>
      <c r="AW60" s="784"/>
      <c r="AX60" s="784" t="str">
        <f>IF(T60="","",T60)</f>
        <v>Добавить территорию для дифференциации</v>
      </c>
      <c r="AY60" s="784"/>
      <c r="AZ60" s="784"/>
      <c r="BA60" s="795">
        <v>1</v>
      </c>
    </row>
    <row s="30621" customFormat="1" customHeight="1" ht="1.05">
      <c r="A61" s="1627" t="s">
        <v>260</v>
      </c>
      <c r="B61" s="1627"/>
      <c r="C61" s="1627"/>
      <c r="D61" s="1627"/>
      <c r="E61" s="2542"/>
      <c r="F61" s="1627"/>
      <c r="G61" s="1627"/>
      <c r="H61" s="1627"/>
      <c r="I61" s="1627"/>
      <c r="J61" s="1627"/>
      <c r="K61" s="1627"/>
      <c r="L61" s="1630"/>
      <c r="M61" s="1605"/>
      <c r="N61" s="1605"/>
      <c r="O61" s="802"/>
      <c r="P61" s="664"/>
      <c r="Q61" s="1628"/>
      <c r="R61" s="664"/>
      <c r="S61" s="1606"/>
      <c r="T61" s="1609" t="s">
        <v>230</v>
      </c>
      <c r="U61" s="1608"/>
      <c r="V61" s="1608"/>
      <c r="W61" s="1608"/>
      <c r="X61" s="1608"/>
      <c r="Y61" s="1608"/>
      <c r="Z61" s="1608"/>
      <c r="AA61" s="1608"/>
      <c r="AB61" s="1608"/>
      <c r="AC61" s="1608"/>
      <c r="AD61" s="1608"/>
      <c r="AE61" s="1608"/>
      <c r="AF61" s="1608"/>
      <c r="AG61" s="1608"/>
      <c r="AH61" s="1608"/>
      <c r="AI61" s="1608"/>
      <c r="AJ61" s="1608"/>
      <c r="AK61" s="1608"/>
      <c r="AL61" s="1608"/>
      <c r="AM61" s="1608"/>
      <c r="AN61" s="1608"/>
      <c r="AO61" s="1608"/>
      <c r="AP61" s="1608"/>
      <c r="AQ61" s="1608"/>
      <c r="AR61" s="1608"/>
      <c r="AS61" s="1608"/>
      <c r="AT61" s="1608"/>
      <c r="AU61" s="1608"/>
      <c r="AW61" s="784"/>
      <c r="AX61" s="784" t="str">
        <f>IF(T61="","",T61)</f>
        <v>Добавить территорию для дифференциации</v>
      </c>
      <c r="AY61" s="784"/>
      <c r="AZ61" s="784"/>
      <c r="BA61" s="795">
        <v>1</v>
      </c>
    </row>
    <row s="30621" customFormat="1" customHeight="1" ht="1.05">
      <c r="A62" s="1598"/>
      <c r="B62" s="1598"/>
      <c r="C62" s="1598"/>
      <c r="D62" s="1598"/>
      <c r="E62" s="1627"/>
      <c r="F62" s="1598"/>
      <c r="G62" s="1598"/>
      <c r="H62" s="1598"/>
      <c r="I62" s="1598"/>
      <c r="J62" s="1598"/>
      <c r="K62" s="1598"/>
      <c r="L62" s="1623"/>
      <c r="M62" s="1605"/>
      <c r="N62" s="1605"/>
      <c r="P62" s="1600"/>
      <c r="Q62" s="1601"/>
      <c r="R62" s="1600"/>
      <c r="S62" s="1606"/>
      <c r="T62" s="1609" t="s">
        <v>239</v>
      </c>
      <c r="U62" s="1608"/>
      <c r="V62" s="1608"/>
      <c r="W62" s="1608"/>
      <c r="X62" s="1608"/>
      <c r="Y62" s="1608"/>
      <c r="Z62" s="1608"/>
      <c r="AA62" s="1608"/>
      <c r="AB62" s="1608"/>
      <c r="AC62" s="1608"/>
      <c r="AD62" s="1608"/>
      <c r="AE62" s="1608"/>
      <c r="AF62" s="1608"/>
      <c r="AG62" s="1608"/>
      <c r="AH62" s="1608"/>
      <c r="AI62" s="1608"/>
      <c r="AJ62" s="1608"/>
      <c r="AK62" s="1608"/>
      <c r="AL62" s="1608"/>
      <c r="AM62" s="1608"/>
      <c r="AN62" s="1608"/>
      <c r="AO62" s="1608"/>
      <c r="AP62" s="1608"/>
      <c r="AQ62" s="1608"/>
      <c r="AR62" s="1608"/>
      <c r="AS62" s="1608"/>
      <c r="AT62" s="1608"/>
      <c r="AU62" s="1608"/>
      <c r="AW62" s="1073"/>
      <c r="AX62" s="1073" t="str">
        <f>IF(T62="","",T62)</f>
        <v>Добавить наименование тарифа</v>
      </c>
      <c r="AY62" s="1073"/>
      <c r="AZ62" s="1073"/>
      <c r="BA62" s="802">
        <v>1</v>
      </c>
    </row>
    <row customHeight="1" ht="11.549999999999999">
      <c r="M63" s="1444"/>
      <c r="N63" s="1444"/>
      <c r="O63" s="821"/>
      <c r="P63" s="1444"/>
      <c r="Q63" s="1444"/>
      <c r="R63" s="1439"/>
      <c r="S63" s="1439"/>
      <c r="AV63" s="1439"/>
      <c r="AW63" s="1439"/>
      <c r="AX63" s="1439"/>
      <c r="AY63" s="1439"/>
      <c r="AZ63" s="1439"/>
      <c r="BA63" s="1439">
        <v>11</v>
      </c>
    </row>
    <row customHeight="1" ht="19.95">
      <c r="O64" s="821"/>
      <c r="S64" s="1537"/>
      <c r="T64" s="2569"/>
      <c r="U64" s="2569"/>
      <c r="V64" s="2569"/>
      <c r="W64" s="2569"/>
      <c r="X64" s="2569"/>
      <c r="Y64" s="2569"/>
      <c r="Z64" s="2569"/>
      <c r="AA64" s="2569"/>
      <c r="AB64" s="2569"/>
      <c r="AC64" s="2569"/>
      <c r="AD64" s="2569"/>
      <c r="AE64" s="2569"/>
      <c r="AF64" s="2569"/>
      <c r="AG64" s="2569"/>
      <c r="AH64" s="2569"/>
      <c r="AI64" s="2569"/>
      <c r="AJ64" s="2569"/>
      <c r="AK64" s="2569"/>
      <c r="AL64" s="2569"/>
      <c r="AM64" s="2569"/>
      <c r="AN64" s="2569"/>
      <c r="AO64" s="2569"/>
      <c r="AP64" s="2569"/>
      <c r="AQ64" s="2569"/>
      <c r="AR64" s="2569"/>
      <c r="AS64" s="2569"/>
      <c r="AT64" s="2569"/>
      <c r="AU64" s="2569"/>
      <c r="BA64" s="1439">
        <v>19</v>
      </c>
    </row>
    <row customHeight="1" ht="21">
      <c r="O65" s="821"/>
      <c r="T65" s="2569"/>
      <c r="U65" s="2569"/>
      <c r="V65" s="2569"/>
      <c r="W65" s="2569"/>
      <c r="X65" s="2569"/>
      <c r="Y65" s="2569"/>
      <c r="Z65" s="2569"/>
      <c r="AA65" s="2569"/>
      <c r="AB65" s="2569"/>
      <c r="AC65" s="2569"/>
      <c r="AD65" s="2569"/>
      <c r="AE65" s="2569"/>
      <c r="AF65" s="2569"/>
      <c r="AG65" s="2569"/>
      <c r="AH65" s="2569"/>
      <c r="AI65" s="2569"/>
      <c r="AJ65" s="2569"/>
      <c r="AK65" s="2569"/>
      <c r="AL65" s="2569"/>
      <c r="AM65" s="2569"/>
      <c r="AN65" s="2569"/>
      <c r="AO65" s="2569"/>
      <c r="AP65" s="2569"/>
      <c r="AQ65" s="2569"/>
      <c r="AR65" s="2569"/>
      <c r="AS65" s="2569"/>
      <c r="AT65" s="2569"/>
      <c r="AU65" s="2569"/>
      <c r="BA65" s="1439">
        <v>20</v>
      </c>
    </row>
    <row customHeight="1" ht="14.699999999999998">
      <c r="O66" s="821"/>
      <c r="T66" s="1617"/>
      <c r="U66" s="1617"/>
      <c r="V66" s="1617"/>
      <c r="W66" s="1617"/>
      <c r="X66" s="1617"/>
      <c r="Y66" s="1617"/>
      <c r="Z66" s="1617"/>
      <c r="AA66" s="1617"/>
      <c r="AB66" s="1617"/>
      <c r="AC66" s="1617"/>
      <c r="AD66" s="1617"/>
      <c r="AE66" s="1617"/>
      <c r="AF66" s="1617"/>
      <c r="AG66" s="1617"/>
      <c r="AH66" s="1617"/>
      <c r="AI66" s="1617"/>
      <c r="AJ66" s="1617"/>
      <c r="AK66" s="1617"/>
      <c r="AL66" s="1617"/>
      <c r="AM66" s="1617"/>
      <c r="AN66" s="1617"/>
      <c r="AO66" s="1617"/>
      <c r="AP66" s="1617"/>
      <c r="AQ66" s="1617"/>
      <c r="AR66" s="1617"/>
      <c r="AS66" s="1617"/>
      <c r="AT66" s="1617"/>
      <c r="AU66" s="1617"/>
      <c r="BA66" s="1439">
        <v>14</v>
      </c>
    </row>
    <row customHeight="1" ht="19.95">
      <c r="O67" s="821"/>
      <c r="T67" s="2569"/>
      <c r="U67" s="2569"/>
      <c r="V67" s="2569"/>
      <c r="W67" s="2569"/>
      <c r="X67" s="2569"/>
      <c r="Y67" s="2569"/>
      <c r="Z67" s="2569"/>
      <c r="AA67" s="2569"/>
      <c r="AB67" s="2569"/>
      <c r="AC67" s="2569"/>
      <c r="AD67" s="2569"/>
      <c r="AE67" s="2569"/>
      <c r="AF67" s="2569"/>
      <c r="AG67" s="2569"/>
      <c r="AH67" s="2569"/>
      <c r="AI67" s="2569"/>
      <c r="AJ67" s="2569"/>
      <c r="AK67" s="2569"/>
      <c r="AL67" s="2569"/>
      <c r="AM67" s="2569"/>
      <c r="AN67" s="2569"/>
      <c r="AO67" s="2569"/>
      <c r="AP67" s="2569"/>
      <c r="AQ67" s="2569"/>
      <c r="AR67" s="2569"/>
      <c r="AS67" s="2569"/>
      <c r="AT67" s="2569"/>
      <c r="AU67" s="2569"/>
      <c r="BA67" s="1439">
        <v>19</v>
      </c>
    </row>
    <row customHeight="1" ht="16.8">
      <c r="O68" s="821"/>
      <c r="T68" s="2569"/>
      <c r="U68" s="2569"/>
      <c r="V68" s="2569"/>
      <c r="W68" s="2569"/>
      <c r="X68" s="2569"/>
      <c r="Y68" s="2569"/>
      <c r="Z68" s="2569"/>
      <c r="AA68" s="2569"/>
      <c r="AB68" s="2569"/>
      <c r="AC68" s="2569"/>
      <c r="AD68" s="2569"/>
      <c r="AE68" s="2569"/>
      <c r="AF68" s="2569"/>
      <c r="AG68" s="2569"/>
      <c r="AH68" s="2569"/>
      <c r="AI68" s="2569"/>
      <c r="AJ68" s="2569"/>
      <c r="AK68" s="2569"/>
      <c r="AL68" s="2569"/>
      <c r="AM68" s="2569"/>
      <c r="AN68" s="2569"/>
      <c r="AO68" s="2569"/>
      <c r="AP68" s="2569"/>
      <c r="AQ68" s="2569"/>
      <c r="AR68" s="2569"/>
      <c r="AS68" s="2569"/>
      <c r="AT68" s="2569"/>
      <c r="AU68" s="2569"/>
      <c r="BA68" s="1439">
        <v>16</v>
      </c>
    </row>
    <row customHeight="1" ht="14.699999999999998">
      <c r="O69" s="821"/>
      <c r="BA69" s="1439">
        <v>14</v>
      </c>
    </row>
    <row customHeight="1" ht="22.5" hidden="1">
      <c r="A70" s="1444" t="s">
        <v>85</v>
      </c>
      <c r="B70" s="1444">
        <v>0</v>
      </c>
      <c r="C70" s="1444">
        <v>0</v>
      </c>
      <c r="D70" s="1444">
        <v>0</v>
      </c>
      <c r="E70" s="1444">
        <v>0</v>
      </c>
      <c r="F70" s="1444">
        <v>0</v>
      </c>
      <c r="G70" s="1444">
        <v>0</v>
      </c>
      <c r="H70" s="1444">
        <v>0</v>
      </c>
      <c r="I70" s="1444">
        <v>0</v>
      </c>
      <c r="J70" s="1444">
        <v>0</v>
      </c>
      <c r="K70" s="1444">
        <v>0</v>
      </c>
      <c r="L70" s="1613">
        <v>0</v>
      </c>
      <c r="M70" s="1646">
        <v>0</v>
      </c>
      <c r="N70" s="1646">
        <v>0</v>
      </c>
      <c r="O70" s="1646">
        <v>0</v>
      </c>
      <c r="P70" s="1646">
        <v>3</v>
      </c>
      <c r="Q70" s="1655">
        <v>3</v>
      </c>
      <c r="R70" s="628">
        <v>3</v>
      </c>
      <c r="S70" s="865">
        <v>12</v>
      </c>
      <c r="T70" s="1439">
        <v>31</v>
      </c>
      <c r="U70" s="1439">
        <v>0</v>
      </c>
      <c r="V70" s="1439">
        <v>0</v>
      </c>
      <c r="W70" s="1439">
        <v>0</v>
      </c>
      <c r="X70" s="1439">
        <v>0</v>
      </c>
      <c r="Y70" s="1439">
        <v>0</v>
      </c>
      <c r="Z70" s="1439">
        <v>0</v>
      </c>
      <c r="AA70" s="1439">
        <v>0</v>
      </c>
      <c r="AB70" s="1439">
        <v>5</v>
      </c>
      <c r="AC70" s="1439">
        <v>3</v>
      </c>
      <c r="AD70" s="1439">
        <v>3</v>
      </c>
      <c r="AE70" s="1439">
        <v>24</v>
      </c>
      <c r="AF70" s="1439">
        <v>3</v>
      </c>
      <c r="AG70" s="1439">
        <v>3</v>
      </c>
      <c r="AH70" s="1439">
        <v>3</v>
      </c>
      <c r="AI70" s="1439">
        <v>24</v>
      </c>
      <c r="AJ70" s="1439">
        <v>3</v>
      </c>
      <c r="AK70" s="1439">
        <v>3</v>
      </c>
      <c r="AL70" s="1439">
        <v>3</v>
      </c>
      <c r="AM70" s="1439">
        <v>18</v>
      </c>
      <c r="AN70" s="1439">
        <v>21</v>
      </c>
      <c r="AO70" s="1439">
        <v>21</v>
      </c>
      <c r="AP70" s="1439">
        <v>11</v>
      </c>
      <c r="AQ70" s="1439">
        <v>3</v>
      </c>
      <c r="AR70" s="1439">
        <v>11</v>
      </c>
      <c r="AS70" s="1439">
        <v>8</v>
      </c>
      <c r="AT70" s="1439">
        <v>4</v>
      </c>
      <c r="AU70" s="1439">
        <v>115</v>
      </c>
      <c r="AV70" s="795">
        <v>10</v>
      </c>
      <c r="AW70" s="795">
        <v>10</v>
      </c>
      <c r="AX70" s="795">
        <v>10</v>
      </c>
      <c r="AY70" s="795">
        <v>10</v>
      </c>
      <c r="AZ70" s="795">
        <v>10</v>
      </c>
      <c r="BA70" s="1439">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36E696-36DD-327A-CFEA-E3E0861F0231}"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30620" width="10.57421875" hidden="1"/>
    <col min="2" max="2" style="30620" width="11.00390625" hidden="1" customWidth="1"/>
    <col min="3" max="3" style="30620" width="10.57421875" hidden="1"/>
    <col min="4" max="4" style="30620" width="11.8515625" hidden="1" customWidth="1"/>
    <col min="5" max="5" style="30620" width="10.00390625" hidden="1" customWidth="1"/>
    <col min="6" max="6" style="30620" width="8.7109375" hidden="1" customWidth="1"/>
    <col min="7" max="7" style="30620" width="7.57421875" hidden="1" customWidth="1"/>
    <col min="8" max="8" style="30620" width="11.421875" hidden="1" customWidth="1"/>
    <col min="9" max="9" style="30620" width="14.140625" hidden="1" customWidth="1"/>
    <col min="10" max="10" style="30620" width="9.8515625" hidden="1" customWidth="1"/>
    <col min="11" max="11" style="30620" width="14.7109375" hidden="1" customWidth="1"/>
    <col min="12" max="12" style="31502" width="19.140625" hidden="1" customWidth="1"/>
    <col min="13" max="14" style="31503" width="12.28125" hidden="1" customWidth="1"/>
    <col min="15" max="15" style="31503" width="23.421875" hidden="1" customWidth="1"/>
    <col min="16" max="16" style="31504" width="3.00390625" customWidth="1"/>
    <col min="17" max="18" style="31505" width="3.00390625" customWidth="1"/>
    <col min="19" max="19" style="31506" width="12.00390625" customWidth="1"/>
    <col min="20" max="20" style="30541" width="35.00390625" customWidth="1"/>
    <col min="21" max="21" style="30541" width="0.140625" customWidth="1"/>
    <col min="22" max="24" style="30541" width="24.7109375" hidden="1" customWidth="1"/>
    <col min="25" max="25" style="30541" width="11.7109375" hidden="1" customWidth="1"/>
    <col min="26" max="26" style="30541" width="3.7109375" hidden="1" customWidth="1"/>
    <col min="27" max="27" style="30541" width="11.7109375" hidden="1" customWidth="1"/>
    <col min="28" max="28" style="30541" width="8.57421875" hidden="1" customWidth="1"/>
    <col min="29" max="29" style="30541" width="24.7109375" customWidth="1"/>
    <col min="30" max="31" style="30541" width="24.00390625" customWidth="1"/>
    <col min="32" max="32" style="30541" width="11.00390625" customWidth="1"/>
    <col min="33" max="33" style="30541" width="3.7109375" customWidth="1"/>
    <col min="34" max="34" style="30541" width="11.00390625" customWidth="1"/>
    <col min="35" max="35" style="30541" width="8.57421875" hidden="1" customWidth="1"/>
    <col min="36" max="36" style="30541" width="4.00390625" customWidth="1"/>
    <col min="37" max="37" style="30541" width="115.00390625" customWidth="1"/>
    <col min="38" max="42" style="30621" width="10.00390625" customWidth="1"/>
    <col min="43" max="43" style="30541" width="10.57421875" hidden="1"/>
  </cols>
  <sheetData>
    <row customHeight="1" ht="22.5" hidden="1">
      <c r="X1" s="611"/>
      <c r="Y1" s="611"/>
      <c r="AE1" s="611"/>
      <c r="AF1" s="611"/>
      <c r="AQ1" s="1439" t="s">
        <v>14</v>
      </c>
    </row>
    <row customHeight="1" ht="23.25" hidden="1">
      <c r="A2" s="1647"/>
      <c r="B2" s="1647"/>
      <c r="C2" s="1647"/>
      <c r="D2" s="1647"/>
      <c r="E2" s="2542">
        <v>1</v>
      </c>
      <c r="F2" s="1647"/>
      <c r="G2" s="1647"/>
      <c r="H2" s="1647"/>
      <c r="I2" s="1647"/>
      <c r="J2" s="1647"/>
      <c r="K2" s="1647"/>
      <c r="L2" s="1648"/>
      <c r="M2" s="1649"/>
      <c r="N2" s="1649"/>
      <c r="O2" s="1649"/>
      <c r="P2" s="645"/>
      <c r="Q2" s="644"/>
      <c r="R2" s="639"/>
      <c r="S2" s="1709">
        <f>INDEX(PT_DIFFERENTIATION_NUM_NTAR,MATCH(A2,PT_DIFFERENTIATION_NTAR_ID,0))</f>
      </c>
      <c r="T2" s="582" t="s">
        <v>153</v>
      </c>
      <c r="U2" s="584"/>
      <c r="V2" s="2526"/>
      <c r="W2" s="2527"/>
      <c r="X2" s="2527"/>
      <c r="Y2" s="2527"/>
      <c r="Z2" s="2527"/>
      <c r="AA2" s="2527"/>
      <c r="AB2" s="2528"/>
      <c r="AC2" s="2526">
        <f>INDEX(PT_DIFFERENTIATION_NTAR,MATCH(A2,PT_DIFFERENTIATION_NTAR_ID,0))</f>
      </c>
      <c r="AD2" s="2527"/>
      <c r="AE2" s="2527"/>
      <c r="AF2" s="2527"/>
      <c r="AG2" s="2527"/>
      <c r="AH2" s="2527"/>
      <c r="AI2" s="2527"/>
      <c r="AJ2" s="2528"/>
      <c r="AK2"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784"/>
      <c r="AN2" s="784" t="str">
        <f>IF(T2="","",T2)</f>
        <v>Наименование тарифа</v>
      </c>
      <c r="AO2" s="784"/>
      <c r="AP2" s="784"/>
      <c r="AQ2" s="1439">
        <v>0</v>
      </c>
    </row>
    <row customHeight="1" ht="23.25" hidden="1">
      <c r="A3" s="1647"/>
      <c r="B3" s="1647"/>
      <c r="C3" s="1647"/>
      <c r="D3" s="1647"/>
      <c r="E3" s="2543"/>
      <c r="F3" s="2542">
        <v>1</v>
      </c>
      <c r="G3" s="1647"/>
      <c r="H3" s="1647"/>
      <c r="I3" s="1647"/>
      <c r="J3" s="1647"/>
      <c r="K3" s="1647"/>
      <c r="L3" s="1648"/>
      <c r="M3" s="1649"/>
      <c r="N3" s="1649"/>
      <c r="O3" s="1649"/>
      <c r="P3" s="1707"/>
      <c r="Q3" s="636"/>
      <c r="R3" s="637"/>
      <c r="S3" s="1709">
        <f>INDEX(PT_DIFFERENTIATION_NUM_TER,MATCH(B3,PT_DIFFERENTIATION_TER_ID,0))</f>
      </c>
      <c r="T3" s="592" t="s">
        <v>457</v>
      </c>
      <c r="U3" s="584"/>
      <c r="V3" s="2526"/>
      <c r="W3" s="2527"/>
      <c r="X3" s="2527"/>
      <c r="Y3" s="2527"/>
      <c r="Z3" s="2527"/>
      <c r="AA3" s="2527"/>
      <c r="AB3" s="2528"/>
      <c r="AC3" s="2526">
        <f>INDEX(PT_DIFFERENTIATION_TER,MATCH(B3,PT_DIFFERENTIATION_TER_ID,0))</f>
      </c>
      <c r="AD3" s="2527"/>
      <c r="AE3" s="2527"/>
      <c r="AF3" s="2527"/>
      <c r="AG3" s="2527"/>
      <c r="AH3" s="2527"/>
      <c r="AI3" s="2527"/>
      <c r="AJ3" s="2528"/>
      <c r="AK3" s="1542" t="s">
        <v>458</v>
      </c>
      <c r="AM3" s="784"/>
      <c r="AN3" s="784" t="str">
        <f>IF(T3="","",T3)</f>
        <v>Территория действия тарифа</v>
      </c>
      <c r="AO3" s="784"/>
      <c r="AP3" s="784"/>
      <c r="AQ3" s="1439">
        <v>0</v>
      </c>
    </row>
    <row customHeight="1" ht="23.25" hidden="1">
      <c r="A4" s="1647"/>
      <c r="B4" s="1647"/>
      <c r="C4" s="1647"/>
      <c r="D4" s="1647"/>
      <c r="E4" s="2543"/>
      <c r="F4" s="2543"/>
      <c r="G4" s="2542">
        <v>1</v>
      </c>
      <c r="H4" s="1647"/>
      <c r="I4" s="1647"/>
      <c r="J4" s="1647"/>
      <c r="K4" s="1647"/>
      <c r="L4" s="1648"/>
      <c r="M4" s="1649"/>
      <c r="N4" s="1649"/>
      <c r="O4" s="1649"/>
      <c r="P4" s="638"/>
      <c r="Q4" s="636"/>
      <c r="R4" s="637"/>
      <c r="S4" s="1709">
        <f>INDEX(PT_DIFFERENTIATION_NUM_CS,MATCH(C4,PT_DIFFERENTIATION_CS_ID,0))</f>
      </c>
      <c r="T4" s="593" t="s">
        <v>553</v>
      </c>
      <c r="U4" s="584"/>
      <c r="V4" s="2526"/>
      <c r="W4" s="2527"/>
      <c r="X4" s="2527"/>
      <c r="Y4" s="2527"/>
      <c r="Z4" s="2527"/>
      <c r="AA4" s="2527"/>
      <c r="AB4" s="2528"/>
      <c r="AC4" s="2526">
        <f>INDEX(PT_DIFFERENTIATION_CS,MATCH(C4,PT_DIFFERENTIATION_CS_ID,0))</f>
      </c>
      <c r="AD4" s="2527"/>
      <c r="AE4" s="2527"/>
      <c r="AF4" s="2527"/>
      <c r="AG4" s="2527"/>
      <c r="AH4" s="2527"/>
      <c r="AI4" s="2527"/>
      <c r="AJ4" s="2528"/>
      <c r="AK4" s="1542" t="s">
        <v>554</v>
      </c>
      <c r="AM4" s="784"/>
      <c r="AN4" s="784" t="str">
        <f>IF(T4="","",T4)</f>
        <v>Наименование централизованной системы холодного водоснабжения</v>
      </c>
      <c r="AO4" s="784"/>
      <c r="AP4" s="784"/>
      <c r="AQ4" s="1439">
        <v>0</v>
      </c>
    </row>
    <row customHeight="1" ht="23.25" hidden="1">
      <c r="A5" s="1647"/>
      <c r="B5" s="1647"/>
      <c r="C5" s="1647"/>
      <c r="D5" s="1647"/>
      <c r="E5" s="2543"/>
      <c r="F5" s="2543"/>
      <c r="G5" s="2543"/>
      <c r="H5" s="2543"/>
      <c r="I5" s="2540">
        <f>S4&amp;".1"</f>
      </c>
      <c r="J5" s="1647"/>
      <c r="K5" s="1647"/>
      <c r="L5" s="1648"/>
      <c r="P5" s="2541">
        <v>1</v>
      </c>
      <c r="Q5" s="1706"/>
      <c r="R5" s="640"/>
      <c r="S5" s="1709">
        <f>$I5</f>
      </c>
      <c r="T5" s="569" t="s">
        <v>555</v>
      </c>
      <c r="U5" s="584"/>
      <c r="V5" s="2634"/>
      <c r="W5" s="2635"/>
      <c r="X5" s="2635"/>
      <c r="Y5" s="2635"/>
      <c r="Z5" s="2635"/>
      <c r="AA5" s="2635"/>
      <c r="AB5" s="2636"/>
      <c r="AC5" s="2637"/>
      <c r="AD5" s="2638"/>
      <c r="AE5" s="2638"/>
      <c r="AF5" s="2638"/>
      <c r="AG5" s="2638"/>
      <c r="AH5" s="2638"/>
      <c r="AI5" s="2638"/>
      <c r="AJ5" s="2639"/>
      <c r="AK5" s="1542" t="s">
        <v>556</v>
      </c>
      <c r="AM5" s="784"/>
      <c r="AN5" s="784" t="str">
        <f>IF(T5="","",T5)</f>
        <v>Наименование признака дифференциации</v>
      </c>
      <c r="AO5" s="784"/>
      <c r="AP5" s="784"/>
      <c r="AQ5" s="1439">
        <v>0</v>
      </c>
    </row>
    <row customHeight="1" ht="23.25" hidden="1">
      <c r="A6" s="1647"/>
      <c r="B6" s="1647"/>
      <c r="C6" s="1647"/>
      <c r="D6" s="1647"/>
      <c r="E6" s="2543"/>
      <c r="F6" s="2543"/>
      <c r="G6" s="2543"/>
      <c r="H6" s="2543"/>
      <c r="I6" s="2570"/>
      <c r="J6" s="2540">
        <f>I5&amp;".1"</f>
      </c>
      <c r="K6" s="1647"/>
      <c r="L6" s="1648" t="s">
        <v>466</v>
      </c>
      <c r="P6" s="2541"/>
      <c r="Q6" s="2541">
        <v>1</v>
      </c>
      <c r="R6" s="641"/>
      <c r="S6" s="1709">
        <f>$J6</f>
      </c>
      <c r="T6" s="570" t="s">
        <v>467</v>
      </c>
      <c r="U6" s="584"/>
      <c r="V6" s="2529"/>
      <c r="W6" s="2530"/>
      <c r="X6" s="2530"/>
      <c r="Y6" s="2530"/>
      <c r="Z6" s="2530"/>
      <c r="AA6" s="2530"/>
      <c r="AB6" s="2531"/>
      <c r="AC6" s="2529"/>
      <c r="AD6" s="2530"/>
      <c r="AE6" s="2530"/>
      <c r="AF6" s="2530"/>
      <c r="AG6" s="2530"/>
      <c r="AH6" s="2530"/>
      <c r="AI6" s="2530"/>
      <c r="AJ6" s="2531"/>
      <c r="AK6" s="1591" t="s">
        <v>557</v>
      </c>
      <c r="AM6" s="784"/>
      <c r="AN6" s="784" t="str">
        <f>IF(T6="","",T6)</f>
        <v>Группа потребителей</v>
      </c>
      <c r="AO6" s="784"/>
      <c r="AP6" s="784"/>
      <c r="AQ6" s="1439">
        <v>0</v>
      </c>
    </row>
    <row customHeight="1" ht="23.25" hidden="1">
      <c r="A7" s="1647"/>
      <c r="B7" s="1647"/>
      <c r="C7" s="1647"/>
      <c r="D7" s="1647"/>
      <c r="E7" s="2543"/>
      <c r="F7" s="2543"/>
      <c r="G7" s="2543"/>
      <c r="H7" s="2543"/>
      <c r="I7" s="2570"/>
      <c r="J7" s="2570"/>
      <c r="K7" s="2540">
        <f>J6&amp;".1"</f>
      </c>
      <c r="L7" s="1648"/>
      <c r="P7" s="2541"/>
      <c r="Q7" s="2541"/>
      <c r="R7" s="641">
        <v>1</v>
      </c>
      <c r="S7" s="1709">
        <f>$K7</f>
      </c>
      <c r="T7" s="1721"/>
      <c r="U7" s="584"/>
      <c r="V7" s="1035"/>
      <c r="W7" s="1035"/>
      <c r="X7" s="1541"/>
      <c r="Y7" s="2549"/>
      <c r="Z7" s="2391" t="s">
        <v>64</v>
      </c>
      <c r="AA7" s="2549"/>
      <c r="AB7" s="2391" t="s">
        <v>64</v>
      </c>
      <c r="AC7" s="1035"/>
      <c r="AD7" s="1035"/>
      <c r="AE7" s="1541"/>
      <c r="AF7" s="2549"/>
      <c r="AG7" s="2391" t="s">
        <v>64</v>
      </c>
      <c r="AH7" s="2571"/>
      <c r="AI7" s="2391" t="s">
        <v>64</v>
      </c>
      <c r="AJ7" s="1722"/>
      <c r="AK7" s="26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95">
        <f>STRCHECKDATE(V8:AJ8)</f>
      </c>
      <c r="AM7" s="784"/>
      <c r="AN7" s="784" t="str">
        <f>IF(T7="","",T7)</f>
        <v/>
      </c>
      <c r="AO7" s="784"/>
      <c r="AP7" s="784"/>
      <c r="AQ7" s="1439">
        <v>0</v>
      </c>
    </row>
    <row customHeight="1" ht="14.25" hidden="1">
      <c r="A8" s="1647"/>
      <c r="B8" s="1647"/>
      <c r="C8" s="1647"/>
      <c r="D8" s="1647"/>
      <c r="E8" s="2543"/>
      <c r="F8" s="2543"/>
      <c r="G8" s="2543"/>
      <c r="H8" s="2543"/>
      <c r="I8" s="2570"/>
      <c r="J8" s="2570"/>
      <c r="K8" s="2540"/>
      <c r="L8" s="1648"/>
      <c r="P8" s="2541"/>
      <c r="Q8" s="2541"/>
      <c r="R8" s="641"/>
      <c r="S8" s="1708"/>
      <c r="T8" s="584"/>
      <c r="U8" s="584"/>
      <c r="V8" s="609"/>
      <c r="W8" s="609"/>
      <c r="X8" s="612" t="str">
        <f>Y7&amp;"-"&amp;AA7</f>
        <v>-</v>
      </c>
      <c r="Y8" s="2550"/>
      <c r="Z8" s="2391"/>
      <c r="AA8" s="2550"/>
      <c r="AB8" s="2391"/>
      <c r="AC8" s="609"/>
      <c r="AD8" s="609"/>
      <c r="AE8" s="612" t="str">
        <f>AF7&amp;"-"&amp;AH7</f>
        <v>-</v>
      </c>
      <c r="AF8" s="2550"/>
      <c r="AG8" s="2391"/>
      <c r="AH8" s="2572"/>
      <c r="AI8" s="2391"/>
      <c r="AJ8" s="1723"/>
      <c r="AK8" s="2633"/>
      <c r="AM8" s="784"/>
      <c r="AN8" s="784" t="str">
        <f>IF(T8="","",T8)</f>
        <v/>
      </c>
      <c r="AO8" s="784"/>
      <c r="AP8" s="784"/>
      <c r="AQ8" s="1439">
        <v>0</v>
      </c>
    </row>
    <row customHeight="1" ht="21" hidden="1">
      <c r="A9" s="1647"/>
      <c r="B9" s="1647"/>
      <c r="C9" s="1647"/>
      <c r="D9" s="1647"/>
      <c r="E9" s="2543"/>
      <c r="F9" s="2543"/>
      <c r="G9" s="2543"/>
      <c r="H9" s="2543"/>
      <c r="I9" s="2570"/>
      <c r="J9" s="2540"/>
      <c r="K9" s="1647"/>
      <c r="L9" s="1648"/>
      <c r="P9" s="2541"/>
      <c r="Q9" s="2541"/>
      <c r="R9" s="640"/>
      <c r="S9" s="1562"/>
      <c r="T9" s="571" t="s">
        <v>558</v>
      </c>
      <c r="U9" s="651"/>
      <c r="V9" s="651"/>
      <c r="W9" s="651"/>
      <c r="X9" s="651"/>
      <c r="Y9" s="651"/>
      <c r="Z9" s="651"/>
      <c r="AA9" s="651"/>
      <c r="AB9" s="651"/>
      <c r="AC9" s="651"/>
      <c r="AD9" s="651"/>
      <c r="AE9" s="651"/>
      <c r="AF9" s="651"/>
      <c r="AG9" s="651"/>
      <c r="AH9" s="651"/>
      <c r="AI9" s="651"/>
      <c r="AJ9" s="651"/>
      <c r="AK9" s="1542" t="s">
        <v>559</v>
      </c>
      <c r="AM9" s="784"/>
      <c r="AN9" s="784" t="str">
        <f>IF(T9="","",T9)</f>
        <v>Добавить значение признака дифференциации</v>
      </c>
      <c r="AO9" s="784"/>
      <c r="AP9" s="784"/>
      <c r="AQ9" s="1439">
        <v>0</v>
      </c>
    </row>
    <row customHeight="1" ht="21" hidden="1">
      <c r="A10" s="1647"/>
      <c r="B10" s="1647"/>
      <c r="C10" s="1647"/>
      <c r="D10" s="1647"/>
      <c r="E10" s="2543"/>
      <c r="F10" s="2543"/>
      <c r="G10" s="2543"/>
      <c r="H10" s="2543"/>
      <c r="I10" s="2540"/>
      <c r="J10" s="1647"/>
      <c r="K10" s="1647"/>
      <c r="L10" s="1648"/>
      <c r="P10" s="2541"/>
      <c r="Q10" s="1706"/>
      <c r="R10" s="640"/>
      <c r="S10" s="1562"/>
      <c r="T10" s="649" t="s">
        <v>472</v>
      </c>
      <c r="U10" s="651"/>
      <c r="V10" s="651"/>
      <c r="W10" s="651"/>
      <c r="X10" s="651"/>
      <c r="Y10" s="651"/>
      <c r="Z10" s="651"/>
      <c r="AA10" s="651"/>
      <c r="AB10" s="650"/>
      <c r="AC10" s="651"/>
      <c r="AD10" s="651"/>
      <c r="AE10" s="651"/>
      <c r="AF10" s="651"/>
      <c r="AG10" s="651"/>
      <c r="AH10" s="651"/>
      <c r="AI10" s="650"/>
      <c r="AJ10" s="651"/>
      <c r="AK10" s="1724"/>
      <c r="AM10" s="784"/>
      <c r="AN10" s="784" t="str">
        <f>IF(T10="","",T10)</f>
        <v>Добавить группу потребителей</v>
      </c>
      <c r="AO10" s="784"/>
      <c r="AP10" s="784"/>
      <c r="AQ10" s="1439">
        <v>0</v>
      </c>
    </row>
    <row customHeight="1" ht="14.25" hidden="1">
      <c r="A11" s="1647"/>
      <c r="B11" s="1647"/>
      <c r="C11" s="1647"/>
      <c r="D11" s="1647"/>
      <c r="E11" s="2543"/>
      <c r="F11" s="2543"/>
      <c r="G11" s="2543"/>
      <c r="H11" s="2542"/>
      <c r="I11" s="1647"/>
      <c r="J11" s="1647"/>
      <c r="K11" s="1647"/>
      <c r="L11" s="1648"/>
      <c r="M11" s="1649"/>
      <c r="N11" s="1649"/>
      <c r="O11" s="821"/>
      <c r="P11" s="644"/>
      <c r="Q11" s="659"/>
      <c r="R11" s="639"/>
      <c r="S11" s="1562"/>
      <c r="T11" s="656" t="s">
        <v>560</v>
      </c>
      <c r="U11" s="651"/>
      <c r="V11" s="651"/>
      <c r="W11" s="651"/>
      <c r="X11" s="651"/>
      <c r="Y11" s="651"/>
      <c r="Z11" s="651"/>
      <c r="AA11" s="651"/>
      <c r="AB11" s="650"/>
      <c r="AC11" s="651"/>
      <c r="AD11" s="651"/>
      <c r="AE11" s="651"/>
      <c r="AF11" s="651"/>
      <c r="AG11" s="651"/>
      <c r="AH11" s="651"/>
      <c r="AI11" s="650"/>
      <c r="AJ11" s="651"/>
      <c r="AK11" s="587"/>
      <c r="AM11" s="784"/>
      <c r="AN11" s="784" t="str">
        <f>IF(T11="","",T11)</f>
        <v>Добавить наименование признака дифференциации</v>
      </c>
      <c r="AO11" s="784"/>
      <c r="AP11" s="784"/>
      <c r="AQ11" s="1439">
        <v>0</v>
      </c>
    </row>
    <row s="30621" customFormat="1" customHeight="1" ht="14.25" hidden="1">
      <c r="A12" s="1627"/>
      <c r="B12" s="1627"/>
      <c r="C12" s="1598"/>
      <c r="D12" s="1598"/>
      <c r="E12" s="2543"/>
      <c r="F12" s="2542"/>
      <c r="G12" s="1598"/>
      <c r="H12" s="1598"/>
      <c r="I12" s="1598"/>
      <c r="J12" s="1598"/>
      <c r="K12" s="1598"/>
      <c r="L12" s="1710"/>
      <c r="M12" s="1605"/>
      <c r="N12" s="1605"/>
      <c r="P12" s="1600"/>
      <c r="Q12" s="1601"/>
      <c r="R12" s="1600"/>
      <c r="S12" s="1606"/>
      <c r="T12" s="1609" t="s">
        <v>214</v>
      </c>
      <c r="U12" s="1608"/>
      <c r="V12" s="1608"/>
      <c r="W12" s="1608"/>
      <c r="X12" s="1608"/>
      <c r="Y12" s="1608"/>
      <c r="Z12" s="1608"/>
      <c r="AA12" s="1608"/>
      <c r="AB12" s="1608"/>
      <c r="AC12" s="1608"/>
      <c r="AD12" s="1608"/>
      <c r="AE12" s="1608"/>
      <c r="AF12" s="1608"/>
      <c r="AG12" s="1608"/>
      <c r="AH12" s="1608"/>
      <c r="AI12" s="1608"/>
      <c r="AJ12" s="1608"/>
      <c r="AK12" s="1608"/>
      <c r="AM12" s="1073"/>
      <c r="AN12" s="1073" t="str">
        <f>IF(T12="","",T12)</f>
        <v>Добавить централизованную систему для дифференциации</v>
      </c>
      <c r="AO12" s="1073"/>
      <c r="AP12" s="1073"/>
      <c r="AQ12" s="802">
        <v>0</v>
      </c>
    </row>
    <row s="30621" customFormat="1" customHeight="1" ht="14.25" hidden="1">
      <c r="A13" s="1627"/>
      <c r="B13" s="1627"/>
      <c r="C13" s="1627"/>
      <c r="D13" s="1627"/>
      <c r="E13" s="2542"/>
      <c r="F13" s="1627"/>
      <c r="G13" s="1627"/>
      <c r="H13" s="1627"/>
      <c r="I13" s="1627"/>
      <c r="J13" s="1627"/>
      <c r="K13" s="1627"/>
      <c r="L13" s="1630"/>
      <c r="M13" s="1605"/>
      <c r="N13" s="1605"/>
      <c r="O13" s="802"/>
      <c r="P13" s="664"/>
      <c r="Q13" s="1628"/>
      <c r="R13" s="664"/>
      <c r="S13" s="1606"/>
      <c r="T13" s="1609" t="s">
        <v>230</v>
      </c>
      <c r="U13" s="1608"/>
      <c r="V13" s="1608"/>
      <c r="W13" s="1608"/>
      <c r="X13" s="1608"/>
      <c r="Y13" s="1608"/>
      <c r="Z13" s="1608"/>
      <c r="AA13" s="1608"/>
      <c r="AB13" s="1608"/>
      <c r="AC13" s="1608"/>
      <c r="AD13" s="1608"/>
      <c r="AE13" s="1608"/>
      <c r="AF13" s="1608"/>
      <c r="AG13" s="1608"/>
      <c r="AH13" s="1608"/>
      <c r="AI13" s="1608"/>
      <c r="AJ13" s="1608"/>
      <c r="AK13" s="1608"/>
      <c r="AM13" s="784"/>
      <c r="AN13" s="784" t="str">
        <f>IF(T13="","",T13)</f>
        <v>Добавить территорию для дифференциации</v>
      </c>
      <c r="AO13" s="784"/>
      <c r="AP13" s="784"/>
      <c r="AQ13" s="795">
        <v>0</v>
      </c>
    </row>
    <row customHeight="1" ht="14.25" hidden="1">
      <c r="AB14" s="611"/>
      <c r="AI14" s="611"/>
      <c r="AQ14" s="1439">
        <v>0</v>
      </c>
    </row>
    <row customHeight="1" ht="14.25" hidden="1">
      <c r="AC15" s="1644"/>
      <c r="AD15" s="1644"/>
      <c r="AE15" s="1645"/>
      <c r="AF15" s="2551"/>
      <c r="AG15" s="2552" t="s">
        <v>64</v>
      </c>
      <c r="AH15" s="2551"/>
      <c r="AI15" s="2552" t="s">
        <v>64</v>
      </c>
      <c r="AQ15" s="1439">
        <v>0</v>
      </c>
    </row>
    <row customHeight="1" ht="14.25" hidden="1">
      <c r="AC16" s="1644"/>
      <c r="AD16" s="1644"/>
      <c r="AE16" s="612" t="str">
        <f>AF15&amp;"-"&amp;AH15</f>
        <v>-</v>
      </c>
      <c r="AF16" s="2552"/>
      <c r="AG16" s="2552"/>
      <c r="AH16" s="2552"/>
      <c r="AI16" s="2552"/>
      <c r="AQ16" s="1439">
        <v>0</v>
      </c>
    </row>
    <row customHeight="1" ht="14.25" hidden="1">
      <c r="AI17" s="611"/>
      <c r="AQ17" s="1439">
        <v>0</v>
      </c>
    </row>
    <row s="30620" customFormat="1" customHeight="1" ht="22.5" hidden="1">
      <c r="L18" s="1705"/>
      <c r="M18" s="1646"/>
      <c r="N18" s="1646"/>
      <c r="O18" s="1651" t="s">
        <v>474</v>
      </c>
      <c r="P18" s="1646"/>
      <c r="Q18" s="1655"/>
      <c r="R18" s="1655"/>
      <c r="S18" s="1013"/>
      <c r="Y18" s="1651"/>
      <c r="AA18" s="1651"/>
      <c r="AB18" s="1650"/>
      <c r="AF18" s="1651"/>
      <c r="AH18" s="1651"/>
      <c r="AI18" s="1650"/>
      <c r="AL18" s="795"/>
      <c r="AM18" s="795"/>
      <c r="AN18" s="795"/>
      <c r="AO18" s="795"/>
      <c r="AP18" s="795"/>
      <c r="AQ18" s="1444">
        <v>0</v>
      </c>
    </row>
    <row s="30620" customFormat="1" customHeight="1" ht="14.25" hidden="1">
      <c r="L19" s="1705"/>
      <c r="M19" s="1646"/>
      <c r="N19" s="1646"/>
      <c r="O19" s="1646"/>
      <c r="P19" s="1646"/>
      <c r="Q19" s="1655"/>
      <c r="R19" s="1655"/>
      <c r="S19" s="1013"/>
      <c r="AB19" s="1650"/>
      <c r="AI19" s="1650"/>
      <c r="AL19" s="795"/>
      <c r="AM19" s="795"/>
      <c r="AN19" s="795"/>
      <c r="AO19" s="795"/>
      <c r="AP19" s="795"/>
      <c r="AQ19" s="1444">
        <v>0</v>
      </c>
    </row>
    <row s="30620" customFormat="1" customHeight="1" ht="12" hidden="1">
      <c r="L20" s="1705"/>
      <c r="M20" s="1646"/>
      <c r="N20" s="1646"/>
      <c r="O20" s="1648" t="s">
        <v>475</v>
      </c>
      <c r="P20" s="1646"/>
      <c r="Q20" s="1726"/>
      <c r="R20" s="1726"/>
      <c r="S20" s="1013"/>
      <c r="T20" s="1444" t="s">
        <v>476</v>
      </c>
      <c r="Z20" s="470" t="s">
        <v>477</v>
      </c>
      <c r="AB20" s="470" t="s">
        <v>478</v>
      </c>
      <c r="AC20" s="1444" t="s">
        <v>476</v>
      </c>
      <c r="AG20" s="470" t="s">
        <v>479</v>
      </c>
      <c r="AI20" s="470" t="s">
        <v>478</v>
      </c>
      <c r="AQ20" s="1444">
        <v>0</v>
      </c>
    </row>
    <row customHeight="1" ht="14.25" hidden="1">
      <c r="O21" s="1648"/>
      <c r="AQ21" s="1439">
        <v>0</v>
      </c>
    </row>
    <row customHeight="1" ht="14.25" hidden="1">
      <c r="O22" s="1648"/>
      <c r="AQ22" s="1439">
        <v>0</v>
      </c>
    </row>
    <row customHeight="1" ht="14.699999999999998">
      <c r="Q23" s="660"/>
      <c r="R23" s="660"/>
      <c r="S23" s="1559"/>
      <c r="T23" s="647"/>
      <c r="U23" s="647"/>
      <c r="V23" s="793"/>
      <c r="W23" s="793"/>
      <c r="X23" s="793"/>
      <c r="Y23" s="793"/>
      <c r="Z23" s="793"/>
      <c r="AA23" s="793"/>
      <c r="AB23" s="793"/>
      <c r="AC23" s="793"/>
      <c r="AD23" s="793"/>
      <c r="AE23" s="793"/>
      <c r="AF23" s="793"/>
      <c r="AG23" s="793"/>
      <c r="AH23" s="793"/>
      <c r="AI23" s="793"/>
      <c r="AQ23" s="1439">
        <v>14</v>
      </c>
    </row>
    <row customHeight="1" ht="14.699999999999998">
      <c r="Q24" s="660"/>
      <c r="R24" s="660"/>
      <c r="S24" s="2532"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532"/>
      <c r="U24" s="2532"/>
      <c r="V24" s="2532"/>
      <c r="W24" s="2532"/>
      <c r="X24" s="2532"/>
      <c r="Y24" s="2532"/>
      <c r="Z24" s="2532"/>
      <c r="AA24" s="2532"/>
      <c r="AB24" s="2532"/>
      <c r="AC24" s="2532"/>
      <c r="AD24" s="2532"/>
      <c r="AE24" s="2532"/>
      <c r="AF24" s="2532"/>
      <c r="AG24" s="2532"/>
      <c r="AH24" s="2532"/>
      <c r="AI24" s="1527"/>
      <c r="AQ24" s="1439">
        <v>14</v>
      </c>
    </row>
    <row customHeight="1" ht="14.699999999999998">
      <c r="Q25" s="660"/>
      <c r="R25" s="660"/>
      <c r="S25" s="2533" t="str">
        <f>IF(org=0,"Не определено",org)</f>
        <v>АО "ДГК"</v>
      </c>
      <c r="T25" s="2533"/>
      <c r="U25" s="2533"/>
      <c r="V25" s="2533"/>
      <c r="W25" s="2533"/>
      <c r="X25" s="2533"/>
      <c r="Y25" s="2533"/>
      <c r="Z25" s="2533"/>
      <c r="AA25" s="2533"/>
      <c r="AB25" s="2533"/>
      <c r="AC25" s="2533"/>
      <c r="AD25" s="2533"/>
      <c r="AE25" s="2533"/>
      <c r="AF25" s="2533"/>
      <c r="AG25" s="2533"/>
      <c r="AH25" s="2533"/>
      <c r="AI25" s="1527"/>
      <c r="AQ25" s="1439">
        <v>14</v>
      </c>
    </row>
    <row customHeight="1" ht="14.25">
      <c r="Q26" s="660"/>
      <c r="R26" s="660"/>
      <c r="S26" s="1559"/>
      <c r="T26" s="647"/>
      <c r="U26" s="647"/>
      <c r="V26" s="606"/>
      <c r="W26" s="606"/>
      <c r="X26" s="606"/>
      <c r="Y26" s="606"/>
      <c r="Z26" s="606"/>
      <c r="AA26" s="606"/>
      <c r="AB26" s="606"/>
      <c r="AC26" s="606"/>
      <c r="AD26" s="606"/>
      <c r="AE26" s="606"/>
      <c r="AF26" s="606"/>
      <c r="AG26" s="606"/>
      <c r="AH26" s="606"/>
      <c r="AI26" s="606"/>
      <c r="AJ26" s="793"/>
      <c r="AQ26" s="1439">
        <v>0</v>
      </c>
    </row>
    <row s="30764" customFormat="1" customHeight="1" ht="25.5">
      <c r="A27" s="1652"/>
      <c r="B27" s="1652"/>
      <c r="C27" s="1652"/>
      <c r="D27" s="1652"/>
      <c r="E27" s="1652"/>
      <c r="F27" s="1652"/>
      <c r="G27" s="1652"/>
      <c r="H27" s="1652"/>
      <c r="I27" s="1652"/>
      <c r="J27" s="1652"/>
      <c r="K27" s="1652"/>
      <c r="L27" s="1653"/>
      <c r="M27" s="1652"/>
      <c r="N27" s="1652"/>
      <c r="O27" s="1652"/>
      <c r="S27" s="2534" t="s">
        <v>42</v>
      </c>
      <c r="T27" s="2534"/>
      <c r="U27" s="1656"/>
      <c r="V27" s="2535" t="str">
        <f>IF(TITLE_NAME_OR_PR_CHANGE="",IF(TITLE_NAME_OR_PR="","",TITLE_NAME_OR_PR),TITLE_NAME_OR_PR_CHANGE)</f>
        <v>Комитет по ценам и тарифам Правительства Хабаровского края</v>
      </c>
      <c r="W27" s="2535"/>
      <c r="X27" s="2535"/>
      <c r="Y27" s="2535"/>
      <c r="Z27" s="2535"/>
      <c r="AA27" s="2535"/>
      <c r="AB27" s="610"/>
      <c r="AC27" s="2535" t="str">
        <f>IF(TITLE_NAME_OR_PR_CHANGE="",IF(TITLE_NAME_OR_PR="","",TITLE_NAME_OR_PR),TITLE_NAME_OR_PR_CHANGE)</f>
        <v>Комитет по ценам и тарифам Правительства Хабаровского края</v>
      </c>
      <c r="AD27" s="2535"/>
      <c r="AE27" s="2535"/>
      <c r="AF27" s="2535"/>
      <c r="AG27" s="2535"/>
      <c r="AH27" s="2535"/>
      <c r="AI27" s="610"/>
      <c r="AJ27" s="610"/>
      <c r="AK27" s="564"/>
      <c r="AL27" s="652"/>
      <c r="AM27" s="652"/>
      <c r="AN27" s="652"/>
      <c r="AO27" s="652"/>
      <c r="AP27" s="652"/>
      <c r="AQ27" s="702">
        <v>0</v>
      </c>
    </row>
    <row s="30764" customFormat="1" customHeight="1" ht="18.75">
      <c r="A28" s="1652"/>
      <c r="B28" s="1652"/>
      <c r="C28" s="1652"/>
      <c r="D28" s="1652"/>
      <c r="E28" s="1652"/>
      <c r="F28" s="1652"/>
      <c r="G28" s="1652"/>
      <c r="H28" s="1652"/>
      <c r="I28" s="1652"/>
      <c r="J28" s="1652"/>
      <c r="K28" s="1652"/>
      <c r="L28" s="1653"/>
      <c r="M28" s="1652"/>
      <c r="N28" s="1652"/>
      <c r="O28" s="1652"/>
      <c r="S28" s="2534" t="s">
        <v>480</v>
      </c>
      <c r="T28" s="2534"/>
      <c r="U28" s="1656"/>
      <c r="V28" s="2548" t="str">
        <f>IF(TITLE_DATE_PR_CHANGE="",IF(TITLE_DATE_PR="","",TITLE_DATE_PR),TITLE_DATE_PR_CHANGE)</f>
        <v>45645</v>
      </c>
      <c r="W28" s="2548"/>
      <c r="X28" s="2548"/>
      <c r="Y28" s="2548"/>
      <c r="Z28" s="2548"/>
      <c r="AA28" s="2548"/>
      <c r="AB28" s="610"/>
      <c r="AC28" s="2548" t="str">
        <f>IF(TITLE_DATE_PR_CHANGE="",IF(TITLE_DATE_PR="","",TITLE_DATE_PR),TITLE_DATE_PR_CHANGE)</f>
        <v>45645</v>
      </c>
      <c r="AD28" s="2548"/>
      <c r="AE28" s="2548"/>
      <c r="AF28" s="2548"/>
      <c r="AG28" s="2548"/>
      <c r="AH28" s="2548"/>
      <c r="AI28" s="610"/>
      <c r="AJ28" s="610"/>
      <c r="AK28" s="564"/>
      <c r="AL28" s="652"/>
      <c r="AM28" s="652"/>
      <c r="AN28" s="652"/>
      <c r="AO28" s="652"/>
      <c r="AP28" s="652"/>
      <c r="AQ28" s="702">
        <v>0</v>
      </c>
    </row>
    <row s="30764" customFormat="1" customHeight="1" ht="18.75">
      <c r="A29" s="1652"/>
      <c r="B29" s="1652"/>
      <c r="C29" s="1652"/>
      <c r="D29" s="1652"/>
      <c r="E29" s="1652"/>
      <c r="F29" s="1652"/>
      <c r="G29" s="1652"/>
      <c r="H29" s="1652"/>
      <c r="I29" s="1652"/>
      <c r="J29" s="1652"/>
      <c r="K29" s="1652"/>
      <c r="L29" s="1653"/>
      <c r="M29" s="1652"/>
      <c r="N29" s="1652"/>
      <c r="O29" s="1652"/>
      <c r="S29" s="2534" t="s">
        <v>481</v>
      </c>
      <c r="T29" s="2534"/>
      <c r="U29" s="1656"/>
      <c r="V29" s="2535" t="str">
        <f>IF(TITLE_NUMBER_PR_CHANGE="",IF(TITLE_NUMBER_PR="","",TITLE_NUMBER_PR),TITLE_NUMBER_PR_CHANGE)</f>
        <v>№ 40/8</v>
      </c>
      <c r="W29" s="2535"/>
      <c r="X29" s="2535"/>
      <c r="Y29" s="2535"/>
      <c r="Z29" s="2535"/>
      <c r="AA29" s="2535"/>
      <c r="AB29" s="610"/>
      <c r="AC29" s="2535" t="str">
        <f>IF(TITLE_NUMBER_PR_CHANGE="",IF(TITLE_NUMBER_PR="","",TITLE_NUMBER_PR),TITLE_NUMBER_PR_CHANGE)</f>
        <v>№ 40/8</v>
      </c>
      <c r="AD29" s="2535"/>
      <c r="AE29" s="2535"/>
      <c r="AF29" s="2535"/>
      <c r="AG29" s="2535"/>
      <c r="AH29" s="2535"/>
      <c r="AI29" s="610"/>
      <c r="AJ29" s="610"/>
      <c r="AK29" s="564"/>
      <c r="AL29" s="652"/>
      <c r="AM29" s="652"/>
      <c r="AN29" s="652"/>
      <c r="AO29" s="652"/>
      <c r="AP29" s="652"/>
      <c r="AQ29" s="702">
        <v>0</v>
      </c>
    </row>
    <row s="30764" customFormat="1" customHeight="1" ht="18.75">
      <c r="A30" s="1652"/>
      <c r="B30" s="1652"/>
      <c r="C30" s="1652"/>
      <c r="D30" s="1652"/>
      <c r="E30" s="1652"/>
      <c r="F30" s="1652"/>
      <c r="G30" s="1652"/>
      <c r="H30" s="1652"/>
      <c r="I30" s="1652"/>
      <c r="J30" s="1652"/>
      <c r="K30" s="1652"/>
      <c r="L30" s="1653"/>
      <c r="M30" s="1652"/>
      <c r="N30" s="1652"/>
      <c r="O30" s="1652"/>
      <c r="S30" s="2534" t="s">
        <v>44</v>
      </c>
      <c r="T30" s="2534"/>
      <c r="U30" s="1656"/>
      <c r="V30" s="2535" t="str">
        <f>IF(TITLE_IST_PUB_CHANGE="",IF(TITLE_IST_PUB="","",TITLE_IST_PUB),TITLE_IST_PUB_CHANGE)</f>
        <v>Официальный интернет - портал нормативных правовых актов Хабаровского края https://laws.khv.gov.ru/</v>
      </c>
      <c r="W30" s="2535"/>
      <c r="X30" s="2535"/>
      <c r="Y30" s="2535"/>
      <c r="Z30" s="2535"/>
      <c r="AA30" s="2535"/>
      <c r="AB30" s="610"/>
      <c r="AC30" s="2535" t="str">
        <f>IF(TITLE_IST_PUB_CHANGE="",IF(TITLE_IST_PUB="","",TITLE_IST_PUB),TITLE_IST_PUB_CHANGE)</f>
        <v>Официальный интернет - портал нормативных правовых актов Хабаровского края https://laws.khv.gov.ru/</v>
      </c>
      <c r="AD30" s="2535"/>
      <c r="AE30" s="2535"/>
      <c r="AF30" s="2535"/>
      <c r="AG30" s="2535"/>
      <c r="AH30" s="2535"/>
      <c r="AI30" s="610"/>
      <c r="AJ30" s="610"/>
      <c r="AK30" s="564"/>
      <c r="AL30" s="652"/>
      <c r="AM30" s="652"/>
      <c r="AN30" s="652"/>
      <c r="AO30" s="652"/>
      <c r="AP30" s="652"/>
      <c r="AQ30" s="702">
        <v>0</v>
      </c>
    </row>
    <row customHeight="1" ht="14.25" hidden="1">
      <c r="Q31" s="660"/>
      <c r="R31" s="660"/>
      <c r="S31" s="1559"/>
      <c r="T31" s="647"/>
      <c r="U31" s="647"/>
      <c r="V31" s="606"/>
      <c r="W31" s="606"/>
      <c r="X31" s="606"/>
      <c r="Y31" s="606"/>
      <c r="Z31" s="606"/>
      <c r="AA31" s="606"/>
      <c r="AB31" s="606"/>
      <c r="AC31" s="606"/>
      <c r="AD31" s="606"/>
      <c r="AE31" s="606"/>
      <c r="AF31" s="606"/>
      <c r="AG31" s="606"/>
      <c r="AH31" s="606"/>
      <c r="AI31" s="606"/>
      <c r="AJ31" s="793"/>
      <c r="AQ31" s="1439">
        <v>0</v>
      </c>
    </row>
    <row s="30764" customFormat="1" customHeight="1" ht="18.75" hidden="1">
      <c r="A32" s="1652"/>
      <c r="B32" s="1652"/>
      <c r="C32" s="1652"/>
      <c r="D32" s="1652"/>
      <c r="E32" s="1652"/>
      <c r="F32" s="1652"/>
      <c r="G32" s="1652"/>
      <c r="H32" s="1652"/>
      <c r="I32" s="1652"/>
      <c r="J32" s="1652"/>
      <c r="K32" s="1652"/>
      <c r="L32" s="1653"/>
      <c r="M32" s="1652"/>
      <c r="N32" s="1652"/>
      <c r="O32" s="1652"/>
      <c r="S32" s="2534" t="s">
        <v>482</v>
      </c>
      <c r="T32" s="2534"/>
      <c r="U32" s="1656"/>
      <c r="V32" s="2548" t="str">
        <f>IF(TITLE_DATE_PR_CHANGE="",IF(TITLE_DATE_PR="","",TITLE_DATE_PR),TITLE_DATE_PR_CHANGE)</f>
        <v>45645</v>
      </c>
      <c r="W32" s="2548"/>
      <c r="X32" s="2548"/>
      <c r="Y32" s="2548"/>
      <c r="Z32" s="2548"/>
      <c r="AA32" s="2548"/>
      <c r="AB32" s="610"/>
      <c r="AC32" s="2548" t="str">
        <f>IF(TITLE_DATE_PR_CHANGE="",IF(TITLE_DATE_PR="","",TITLE_DATE_PR),TITLE_DATE_PR_CHANGE)</f>
        <v>45645</v>
      </c>
      <c r="AD32" s="2548"/>
      <c r="AE32" s="2548"/>
      <c r="AF32" s="2548"/>
      <c r="AG32" s="2548"/>
      <c r="AH32" s="2548"/>
      <c r="AI32" s="610"/>
      <c r="AJ32" s="610"/>
      <c r="AK32" s="564"/>
      <c r="AL32" s="652"/>
      <c r="AM32" s="652"/>
      <c r="AN32" s="652"/>
      <c r="AO32" s="652"/>
      <c r="AP32" s="652"/>
      <c r="AQ32" s="702">
        <v>0</v>
      </c>
    </row>
    <row s="30764" customFormat="1" customHeight="1" ht="18.75" hidden="1">
      <c r="A33" s="1652"/>
      <c r="B33" s="1652"/>
      <c r="C33" s="1652"/>
      <c r="D33" s="1652"/>
      <c r="E33" s="1652"/>
      <c r="F33" s="1652"/>
      <c r="G33" s="1652"/>
      <c r="H33" s="1652"/>
      <c r="I33" s="1652"/>
      <c r="J33" s="1652"/>
      <c r="K33" s="1652"/>
      <c r="L33" s="1653"/>
      <c r="M33" s="1652"/>
      <c r="N33" s="1652"/>
      <c r="O33" s="1652"/>
      <c r="S33" s="2534" t="s">
        <v>483</v>
      </c>
      <c r="T33" s="2534"/>
      <c r="U33" s="1656"/>
      <c r="V33" s="2535" t="str">
        <f>IF(TITLE_NUMBER_PR_CHANGE="",IF(TITLE_NUMBER_PR="","",TITLE_NUMBER_PR),TITLE_NUMBER_PR_CHANGE)</f>
        <v>№ 40/8</v>
      </c>
      <c r="W33" s="2535"/>
      <c r="X33" s="2535"/>
      <c r="Y33" s="2535"/>
      <c r="Z33" s="2535"/>
      <c r="AA33" s="2535"/>
      <c r="AB33" s="610"/>
      <c r="AC33" s="2535" t="str">
        <f>IF(TITLE_NUMBER_PR_CHANGE="",IF(TITLE_NUMBER_PR="","",TITLE_NUMBER_PR),TITLE_NUMBER_PR_CHANGE)</f>
        <v>№ 40/8</v>
      </c>
      <c r="AD33" s="2535"/>
      <c r="AE33" s="2535"/>
      <c r="AF33" s="2535"/>
      <c r="AG33" s="2535"/>
      <c r="AH33" s="2535"/>
      <c r="AI33" s="610"/>
      <c r="AJ33" s="610"/>
      <c r="AK33" s="564"/>
      <c r="AL33" s="652"/>
      <c r="AM33" s="652"/>
      <c r="AN33" s="652"/>
      <c r="AO33" s="652"/>
      <c r="AP33" s="652"/>
      <c r="AQ33" s="702">
        <v>0</v>
      </c>
    </row>
    <row s="30764" customFormat="1" customHeight="1" ht="1.05">
      <c r="A34" s="1652"/>
      <c r="B34" s="1652"/>
      <c r="C34" s="1652"/>
      <c r="D34" s="1652"/>
      <c r="E34" s="1652"/>
      <c r="F34" s="1652"/>
      <c r="G34" s="1652"/>
      <c r="H34" s="1652"/>
      <c r="I34" s="1652"/>
      <c r="J34" s="1652"/>
      <c r="K34" s="1652"/>
      <c r="L34" s="1653"/>
      <c r="M34" s="1652"/>
      <c r="N34" s="1652"/>
      <c r="O34" s="1652"/>
      <c r="S34" s="607"/>
      <c r="T34" s="607"/>
      <c r="U34" s="1639"/>
      <c r="V34" s="610"/>
      <c r="W34" s="610"/>
      <c r="X34" s="610"/>
      <c r="Y34" s="610"/>
      <c r="Z34" s="610"/>
      <c r="AA34" s="610"/>
      <c r="AB34" s="562" t="s">
        <v>484</v>
      </c>
      <c r="AC34" s="610"/>
      <c r="AD34" s="610"/>
      <c r="AE34" s="610"/>
      <c r="AF34" s="610"/>
      <c r="AG34" s="610"/>
      <c r="AH34" s="610"/>
      <c r="AI34" s="562" t="s">
        <v>484</v>
      </c>
      <c r="AL34" s="652"/>
      <c r="AM34" s="652"/>
      <c r="AN34" s="652"/>
      <c r="AO34" s="652"/>
      <c r="AP34" s="652"/>
      <c r="AQ34" s="702">
        <v>1</v>
      </c>
    </row>
    <row customHeight="1" ht="14.699999999999998">
      <c r="Q35" s="660"/>
      <c r="R35" s="660"/>
      <c r="S35" s="1559"/>
      <c r="T35" s="647"/>
      <c r="U35" s="1528"/>
      <c r="V35" s="2536"/>
      <c r="W35" s="2536"/>
      <c r="X35" s="2536"/>
      <c r="Y35" s="2536"/>
      <c r="Z35" s="2536"/>
      <c r="AA35" s="2536"/>
      <c r="AB35" s="2536"/>
      <c r="AC35" s="2536"/>
      <c r="AD35" s="2536"/>
      <c r="AE35" s="2536"/>
      <c r="AF35" s="2536"/>
      <c r="AG35" s="2536"/>
      <c r="AH35" s="2536"/>
      <c r="AI35" s="2536"/>
      <c r="AQ35" s="1439">
        <v>14</v>
      </c>
    </row>
    <row customHeight="1" ht="14.699999999999998">
      <c r="Q36" s="660"/>
      <c r="R36" s="660"/>
      <c r="S36" s="2411" t="s">
        <v>360</v>
      </c>
      <c r="T36" s="2411"/>
      <c r="U36" s="2411"/>
      <c r="V36" s="2411"/>
      <c r="W36" s="2411"/>
      <c r="X36" s="2411"/>
      <c r="Y36" s="2411"/>
      <c r="Z36" s="2411"/>
      <c r="AA36" s="2411"/>
      <c r="AB36" s="2411"/>
      <c r="AC36" s="2411"/>
      <c r="AD36" s="2411"/>
      <c r="AE36" s="2411"/>
      <c r="AF36" s="2411"/>
      <c r="AG36" s="2411"/>
      <c r="AH36" s="2411"/>
      <c r="AI36" s="2411"/>
      <c r="AJ36" s="2411"/>
      <c r="AK36" s="2411" t="s">
        <v>361</v>
      </c>
      <c r="AQ36" s="1439">
        <v>14</v>
      </c>
    </row>
    <row customHeight="1" ht="14.699999999999998">
      <c r="Q37" s="660"/>
      <c r="R37" s="660"/>
      <c r="S37" s="2557" t="s">
        <v>91</v>
      </c>
      <c r="T37" s="2493" t="s">
        <v>485</v>
      </c>
      <c r="U37" s="585"/>
      <c r="V37" s="2558" t="s">
        <v>486</v>
      </c>
      <c r="W37" s="2559"/>
      <c r="X37" s="2559"/>
      <c r="Y37" s="2559"/>
      <c r="Z37" s="2559"/>
      <c r="AA37" s="2560"/>
      <c r="AB37" s="2561" t="s">
        <v>487</v>
      </c>
      <c r="AC37" s="2558" t="s">
        <v>486</v>
      </c>
      <c r="AD37" s="2559"/>
      <c r="AE37" s="2559"/>
      <c r="AF37" s="2559"/>
      <c r="AG37" s="2559"/>
      <c r="AH37" s="2560"/>
      <c r="AI37" s="2561" t="s">
        <v>488</v>
      </c>
      <c r="AJ37" s="2564" t="s">
        <v>489</v>
      </c>
      <c r="AK37" s="2411"/>
      <c r="AQ37" s="1439">
        <v>14</v>
      </c>
    </row>
    <row customHeight="1" ht="35.699999999999996">
      <c r="Q38" s="660"/>
      <c r="R38" s="660"/>
      <c r="S38" s="2557"/>
      <c r="T38" s="2493"/>
      <c r="U38" s="1315"/>
      <c r="V38" s="1636" t="s">
        <v>561</v>
      </c>
      <c r="W38" s="2546" t="s">
        <v>492</v>
      </c>
      <c r="X38" s="2547"/>
      <c r="Y38" s="2546" t="s">
        <v>493</v>
      </c>
      <c r="Z38" s="2553"/>
      <c r="AA38" s="2547"/>
      <c r="AB38" s="2562"/>
      <c r="AC38" s="1636" t="s">
        <v>561</v>
      </c>
      <c r="AD38" s="2546" t="s">
        <v>492</v>
      </c>
      <c r="AE38" s="2547"/>
      <c r="AF38" s="2546" t="s">
        <v>493</v>
      </c>
      <c r="AG38" s="2553"/>
      <c r="AH38" s="2547"/>
      <c r="AI38" s="2562"/>
      <c r="AJ38" s="2565"/>
      <c r="AK38" s="2411"/>
      <c r="AQ38" s="1439">
        <v>34</v>
      </c>
    </row>
    <row customHeight="1" ht="35.699999999999996">
      <c r="A39" s="1654"/>
      <c r="B39" s="1654" t="s">
        <v>165</v>
      </c>
      <c r="C39" s="1654" t="s">
        <v>166</v>
      </c>
      <c r="D39" s="1654" t="s">
        <v>167</v>
      </c>
      <c r="E39" s="1648" t="s">
        <v>494</v>
      </c>
      <c r="F39" s="1648" t="s">
        <v>495</v>
      </c>
      <c r="G39" s="1648" t="s">
        <v>496</v>
      </c>
      <c r="H39" s="1648"/>
      <c r="I39" s="1648" t="s">
        <v>562</v>
      </c>
      <c r="J39" s="1648" t="s">
        <v>499</v>
      </c>
      <c r="K39" s="1648" t="s">
        <v>563</v>
      </c>
      <c r="L39" s="1648" t="s">
        <v>475</v>
      </c>
      <c r="Q39" s="660"/>
      <c r="R39" s="660"/>
      <c r="S39" s="2557"/>
      <c r="T39" s="2493"/>
      <c r="U39" s="586"/>
      <c r="V39" s="1636" t="s">
        <v>564</v>
      </c>
      <c r="W39" s="1506" t="s">
        <v>565</v>
      </c>
      <c r="X39" s="1506" t="s">
        <v>566</v>
      </c>
      <c r="Y39" s="1641" t="s">
        <v>503</v>
      </c>
      <c r="Z39" s="2554" t="s">
        <v>504</v>
      </c>
      <c r="AA39" s="2555"/>
      <c r="AB39" s="2563"/>
      <c r="AC39" s="1636" t="s">
        <v>564</v>
      </c>
      <c r="AD39" s="1506" t="s">
        <v>565</v>
      </c>
      <c r="AE39" s="1506" t="s">
        <v>566</v>
      </c>
      <c r="AF39" s="1641" t="s">
        <v>503</v>
      </c>
      <c r="AG39" s="2554" t="s">
        <v>504</v>
      </c>
      <c r="AH39" s="2555"/>
      <c r="AI39" s="2563"/>
      <c r="AJ39" s="2566"/>
      <c r="AK39" s="2411"/>
      <c r="AQ39" s="1439">
        <v>34</v>
      </c>
    </row>
    <row s="31261" customFormat="1" customHeight="1" ht="11.25" hidden="1">
      <c r="A40" s="1654"/>
      <c r="B40" s="1654"/>
      <c r="C40" s="1654"/>
      <c r="D40" s="1654"/>
      <c r="E40" s="1654"/>
      <c r="F40" s="1654"/>
      <c r="G40" s="1654"/>
      <c r="H40" s="1654"/>
      <c r="I40" s="1654"/>
      <c r="J40" s="1654"/>
      <c r="K40" s="1654"/>
      <c r="L40" s="1648"/>
      <c r="M40" s="1646"/>
      <c r="N40" s="1646"/>
      <c r="O40" s="1646"/>
      <c r="P40" s="1530"/>
      <c r="Q40" s="1531"/>
      <c r="R40" s="1538">
        <v>1</v>
      </c>
      <c r="S40" s="1561" t="s">
        <v>141</v>
      </c>
      <c r="T40" s="1539" t="s">
        <v>105</v>
      </c>
      <c r="U40" s="1529" t="str">
        <f>OFFSET(U40,0,-1)</f>
        <v>2</v>
      </c>
      <c r="V40" s="1637">
        <f>OFFSET(V40,0,-1)+1</f>
        <v>3</v>
      </c>
      <c r="W40" s="1637">
        <f>OFFSET(W40,0,-1)+1</f>
        <v>4</v>
      </c>
      <c r="X40" s="1637">
        <f>OFFSET(X40,0,-1)+1</f>
        <v>5</v>
      </c>
      <c r="Y40" s="1637">
        <f>OFFSET(Y40,0,-1)+1</f>
        <v>6</v>
      </c>
      <c r="Z40" s="2556">
        <f>OFFSET(Z40,0,-1)+1</f>
        <v>7</v>
      </c>
      <c r="AA40" s="2556"/>
      <c r="AB40" s="1637">
        <f>OFFSET(AB40,0,-2)+1</f>
        <v>8</v>
      </c>
      <c r="AC40" s="1637">
        <f>OFFSET(AC40,0,-1)+1</f>
        <v>9</v>
      </c>
      <c r="AD40" s="1637">
        <f>OFFSET(AD40,0,-1)+1</f>
        <v>10</v>
      </c>
      <c r="AE40" s="1637">
        <f>OFFSET(AE40,0,-1)+1</f>
        <v>11</v>
      </c>
      <c r="AF40" s="1637">
        <f>OFFSET(AF40,0,-1)+1</f>
        <v>12</v>
      </c>
      <c r="AG40" s="2556">
        <f>OFFSET(AG40,0,-1)+1</f>
        <v>13</v>
      </c>
      <c r="AH40" s="2556"/>
      <c r="AI40" s="1637">
        <f>OFFSET(AI40,0,-2)+1</f>
        <v>14</v>
      </c>
      <c r="AJ40" s="1529">
        <f>OFFSET(AJ40,0,-1)</f>
        <v>14</v>
      </c>
      <c r="AK40" s="1637">
        <f>OFFSET(AK40,0,-1)+1</f>
        <v>15</v>
      </c>
      <c r="AL40" s="795"/>
      <c r="AM40" s="795"/>
      <c r="AN40" s="795"/>
      <c r="AO40" s="795"/>
      <c r="AP40" s="795"/>
      <c r="AQ40" s="780">
        <v>0</v>
      </c>
    </row>
    <row customHeight="1" ht="24">
      <c r="A41" s="1647" t="s">
        <v>286</v>
      </c>
      <c r="B41" s="1647"/>
      <c r="C41" s="1647"/>
      <c r="D41" s="1647"/>
      <c r="E41" s="2542">
        <v>1</v>
      </c>
      <c r="F41" s="1647"/>
      <c r="G41" s="1647"/>
      <c r="H41" s="1647"/>
      <c r="I41" s="1647"/>
      <c r="J41" s="1647"/>
      <c r="K41" s="1647"/>
      <c r="L41" s="1648"/>
      <c r="M41" s="1649"/>
      <c r="N41" s="1649"/>
      <c r="O41" s="1649"/>
      <c r="P41" s="645"/>
      <c r="Q41" s="644"/>
      <c r="R41" s="639"/>
      <c r="S41" s="1642">
        <f>INDEX(PT_DIFFERENTIATION_NUM_NTAR,MATCH(A41,PT_DIFFERENTIATION_NTAR_ID,0))</f>
        <v>0</v>
      </c>
      <c r="T41" s="582" t="s">
        <v>153</v>
      </c>
      <c r="U41" s="584"/>
      <c r="V41" s="2526"/>
      <c r="W41" s="2527"/>
      <c r="X41" s="2527"/>
      <c r="Y41" s="2527"/>
      <c r="Z41" s="2527"/>
      <c r="AA41" s="2527"/>
      <c r="AB41" s="2528"/>
      <c r="AC41" s="2526" t="str">
        <f>INDEX(PT_DIFFERENTIATION_NTAR,MATCH(A41,PT_DIFFERENTIATION_NTAR_ID,0))</f>
        <v/>
      </c>
      <c r="AD41" s="2527"/>
      <c r="AE41" s="2527"/>
      <c r="AF41" s="2527"/>
      <c r="AG41" s="2527"/>
      <c r="AH41" s="2527"/>
      <c r="AI41" s="2527"/>
      <c r="AJ41" s="2528"/>
      <c r="AK41"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784"/>
      <c r="AN41" s="784" t="str">
        <f>IF(T41="","",T41)</f>
        <v>Наименование тарифа</v>
      </c>
      <c r="AO41" s="784"/>
      <c r="AP41" s="784"/>
      <c r="AQ41" s="1439">
        <v>23</v>
      </c>
    </row>
    <row customHeight="1" ht="24">
      <c r="A42" s="1647" t="s">
        <v>286</v>
      </c>
      <c r="B42" s="1647" t="s">
        <v>287</v>
      </c>
      <c r="C42" s="1647"/>
      <c r="D42" s="1647"/>
      <c r="E42" s="2543"/>
      <c r="F42" s="2542">
        <v>1</v>
      </c>
      <c r="G42" s="1647"/>
      <c r="H42" s="1647"/>
      <c r="I42" s="1647"/>
      <c r="J42" s="1647"/>
      <c r="K42" s="1647"/>
      <c r="L42" s="1648"/>
      <c r="M42" s="1649"/>
      <c r="N42" s="1649"/>
      <c r="O42" s="1649"/>
      <c r="P42" s="1640"/>
      <c r="Q42" s="636"/>
      <c r="R42" s="637"/>
      <c r="S42" s="1642" t="str">
        <f>INDEX(PT_DIFFERENTIATION_NUM_TER,MATCH(B42,PT_DIFFERENTIATION_TER_ID,0))</f>
        <v>.</v>
      </c>
      <c r="T42" s="592" t="s">
        <v>457</v>
      </c>
      <c r="U42" s="584"/>
      <c r="V42" s="2526"/>
      <c r="W42" s="2527"/>
      <c r="X42" s="2527"/>
      <c r="Y42" s="2527"/>
      <c r="Z42" s="2527"/>
      <c r="AA42" s="2527"/>
      <c r="AB42" s="2528"/>
      <c r="AC42" s="2526" t="str">
        <f>INDEX(PT_DIFFERENTIATION_TER,MATCH(B42,PT_DIFFERENTIATION_TER_ID,0))</f>
        <v/>
      </c>
      <c r="AD42" s="2527"/>
      <c r="AE42" s="2527"/>
      <c r="AF42" s="2527"/>
      <c r="AG42" s="2527"/>
      <c r="AH42" s="2527"/>
      <c r="AI42" s="2527"/>
      <c r="AJ42" s="2528"/>
      <c r="AK42" s="1542" t="s">
        <v>458</v>
      </c>
      <c r="AM42" s="784"/>
      <c r="AN42" s="784" t="str">
        <f>IF(T42="","",T42)</f>
        <v>Территория действия тарифа</v>
      </c>
      <c r="AO42" s="784"/>
      <c r="AP42" s="784"/>
      <c r="AQ42" s="1439">
        <v>23</v>
      </c>
    </row>
    <row customHeight="1" ht="24">
      <c r="A43" s="1647" t="s">
        <v>286</v>
      </c>
      <c r="B43" s="1647" t="s">
        <v>287</v>
      </c>
      <c r="C43" s="1647" t="s">
        <v>288</v>
      </c>
      <c r="D43" s="1647"/>
      <c r="E43" s="2543"/>
      <c r="F43" s="2543"/>
      <c r="G43" s="2542">
        <v>1</v>
      </c>
      <c r="H43" s="1647"/>
      <c r="I43" s="1647"/>
      <c r="J43" s="1647"/>
      <c r="K43" s="1647"/>
      <c r="L43" s="1648"/>
      <c r="M43" s="1649"/>
      <c r="N43" s="1649"/>
      <c r="O43" s="1649"/>
      <c r="P43" s="638"/>
      <c r="Q43" s="636"/>
      <c r="R43" s="637"/>
      <c r="S43" s="1642" t="str">
        <f>INDEX(PT_DIFFERENTIATION_NUM_CS,MATCH(C43,PT_DIFFERENTIATION_CS_ID,0))</f>
        <v>..</v>
      </c>
      <c r="T43" s="593" t="s">
        <v>553</v>
      </c>
      <c r="U43" s="584"/>
      <c r="V43" s="2526"/>
      <c r="W43" s="2527"/>
      <c r="X43" s="2527"/>
      <c r="Y43" s="2527"/>
      <c r="Z43" s="2527"/>
      <c r="AA43" s="2527"/>
      <c r="AB43" s="2528"/>
      <c r="AC43" s="2526" t="str">
        <f>INDEX(PT_DIFFERENTIATION_CS,MATCH(C43,PT_DIFFERENTIATION_CS_ID,0))</f>
        <v/>
      </c>
      <c r="AD43" s="2527"/>
      <c r="AE43" s="2527"/>
      <c r="AF43" s="2527"/>
      <c r="AG43" s="2527"/>
      <c r="AH43" s="2527"/>
      <c r="AI43" s="2527"/>
      <c r="AJ43" s="2528"/>
      <c r="AK43" s="1542" t="s">
        <v>554</v>
      </c>
      <c r="AM43" s="784"/>
      <c r="AN43" s="784" t="str">
        <f>IF(T43="","",T43)</f>
        <v>Наименование централизованной системы холодного водоснабжения</v>
      </c>
      <c r="AO43" s="784"/>
      <c r="AP43" s="784"/>
      <c r="AQ43" s="1439">
        <v>23</v>
      </c>
    </row>
    <row customHeight="1" ht="24">
      <c r="A44" s="1647" t="s">
        <v>286</v>
      </c>
      <c r="B44" s="1647" t="s">
        <v>287</v>
      </c>
      <c r="C44" s="1647" t="s">
        <v>288</v>
      </c>
      <c r="D44" s="1647" t="s">
        <v>567</v>
      </c>
      <c r="E44" s="2543"/>
      <c r="F44" s="2543"/>
      <c r="G44" s="2543"/>
      <c r="H44" s="2543"/>
      <c r="I44" s="2540" t="str">
        <f>S43&amp;".1"</f>
        <v>...1</v>
      </c>
      <c r="J44" s="1647"/>
      <c r="K44" s="1647"/>
      <c r="L44" s="1648"/>
      <c r="P44" s="2541">
        <v>1</v>
      </c>
      <c r="Q44" s="1638"/>
      <c r="R44" s="640"/>
      <c r="S44" s="1642" t="str">
        <f>$I44</f>
        <v>...1</v>
      </c>
      <c r="T44" s="569" t="s">
        <v>555</v>
      </c>
      <c r="U44" s="584"/>
      <c r="V44" s="2634"/>
      <c r="W44" s="2635"/>
      <c r="X44" s="2635"/>
      <c r="Y44" s="2635"/>
      <c r="Z44" s="2635"/>
      <c r="AA44" s="2635"/>
      <c r="AB44" s="2636"/>
      <c r="AC44" s="2637"/>
      <c r="AD44" s="2638"/>
      <c r="AE44" s="2638"/>
      <c r="AF44" s="2638"/>
      <c r="AG44" s="2638"/>
      <c r="AH44" s="2638"/>
      <c r="AI44" s="2638"/>
      <c r="AJ44" s="2639"/>
      <c r="AK44" s="1542" t="s">
        <v>556</v>
      </c>
      <c r="AM44" s="784"/>
      <c r="AN44" s="784" t="str">
        <f>IF(T44="","",T44)</f>
        <v>Наименование признака дифференциации</v>
      </c>
      <c r="AO44" s="784"/>
      <c r="AP44" s="784"/>
      <c r="AQ44" s="1439">
        <v>23</v>
      </c>
    </row>
    <row customHeight="1" ht="24">
      <c r="A45" s="1647" t="s">
        <v>286</v>
      </c>
      <c r="B45" s="1647" t="s">
        <v>287</v>
      </c>
      <c r="C45" s="1647" t="s">
        <v>288</v>
      </c>
      <c r="D45" s="1647" t="s">
        <v>567</v>
      </c>
      <c r="E45" s="2543"/>
      <c r="F45" s="2543"/>
      <c r="G45" s="2543"/>
      <c r="H45" s="2543"/>
      <c r="I45" s="2570"/>
      <c r="J45" s="2540" t="str">
        <f>I44&amp;".1"</f>
        <v>...1.1</v>
      </c>
      <c r="K45" s="1647"/>
      <c r="L45" s="1648" t="s">
        <v>466</v>
      </c>
      <c r="P45" s="2541"/>
      <c r="Q45" s="2541">
        <v>1</v>
      </c>
      <c r="R45" s="641"/>
      <c r="S45" s="1642" t="str">
        <f>$J45</f>
        <v>...1.1</v>
      </c>
      <c r="T45" s="570" t="s">
        <v>467</v>
      </c>
      <c r="U45" s="584"/>
      <c r="V45" s="2529"/>
      <c r="W45" s="2530"/>
      <c r="X45" s="2530"/>
      <c r="Y45" s="2530"/>
      <c r="Z45" s="2530"/>
      <c r="AA45" s="2530"/>
      <c r="AB45" s="2531"/>
      <c r="AC45" s="2529"/>
      <c r="AD45" s="2530"/>
      <c r="AE45" s="2530"/>
      <c r="AF45" s="2530"/>
      <c r="AG45" s="2530"/>
      <c r="AH45" s="2530"/>
      <c r="AI45" s="2530"/>
      <c r="AJ45" s="2531"/>
      <c r="AK45" s="1591" t="s">
        <v>557</v>
      </c>
      <c r="AM45" s="784"/>
      <c r="AN45" s="784" t="str">
        <f>IF(T45="","",T45)</f>
        <v>Группа потребителей</v>
      </c>
      <c r="AO45" s="784"/>
      <c r="AP45" s="784"/>
      <c r="AQ45" s="1439">
        <v>23</v>
      </c>
    </row>
    <row customHeight="1" ht="24">
      <c r="A46" s="1647" t="s">
        <v>286</v>
      </c>
      <c r="B46" s="1647" t="s">
        <v>287</v>
      </c>
      <c r="C46" s="1647" t="s">
        <v>288</v>
      </c>
      <c r="D46" s="1647" t="s">
        <v>567</v>
      </c>
      <c r="E46" s="2543"/>
      <c r="F46" s="2543"/>
      <c r="G46" s="2543"/>
      <c r="H46" s="2543"/>
      <c r="I46" s="2570"/>
      <c r="J46" s="2570"/>
      <c r="K46" s="2540" t="str">
        <f>J45&amp;".1"</f>
        <v>...1.1.1</v>
      </c>
      <c r="L46" s="1648"/>
      <c r="P46" s="2541"/>
      <c r="Q46" s="2541"/>
      <c r="R46" s="641">
        <v>1</v>
      </c>
      <c r="S46" s="1642" t="str">
        <f>$K46</f>
        <v>...1.1.1</v>
      </c>
      <c r="T46" s="1721"/>
      <c r="U46" s="584"/>
      <c r="V46" s="1644"/>
      <c r="W46" s="1644"/>
      <c r="X46" s="1645"/>
      <c r="Y46" s="2551"/>
      <c r="Z46" s="2552" t="s">
        <v>64</v>
      </c>
      <c r="AA46" s="2551"/>
      <c r="AB46" s="2552" t="s">
        <v>64</v>
      </c>
      <c r="AC46" s="1035"/>
      <c r="AD46" s="1035"/>
      <c r="AE46" s="1541"/>
      <c r="AF46" s="2549"/>
      <c r="AG46" s="2391" t="s">
        <v>64</v>
      </c>
      <c r="AH46" s="2571"/>
      <c r="AI46" s="2391" t="s">
        <v>19</v>
      </c>
      <c r="AJ46" s="1722"/>
      <c r="AK46" s="26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95">
        <f>STRCHECKDATE(V47:AJ47)</f>
      </c>
      <c r="AM46" s="784"/>
      <c r="AN46" s="784" t="str">
        <f>IF(T46="","",T46)</f>
        <v/>
      </c>
      <c r="AO46" s="784"/>
      <c r="AP46" s="784"/>
      <c r="AQ46" s="1439">
        <v>23</v>
      </c>
    </row>
    <row customHeight="1" ht="0">
      <c r="A47" s="1647" t="s">
        <v>286</v>
      </c>
      <c r="B47" s="1647" t="s">
        <v>287</v>
      </c>
      <c r="C47" s="1647" t="s">
        <v>288</v>
      </c>
      <c r="D47" s="1647" t="s">
        <v>567</v>
      </c>
      <c r="E47" s="2543"/>
      <c r="F47" s="2543"/>
      <c r="G47" s="2543"/>
      <c r="H47" s="2543"/>
      <c r="I47" s="2570"/>
      <c r="J47" s="2570"/>
      <c r="K47" s="2540"/>
      <c r="L47" s="1648"/>
      <c r="P47" s="2541"/>
      <c r="Q47" s="2541"/>
      <c r="R47" s="641"/>
      <c r="S47" s="1643"/>
      <c r="T47" s="584"/>
      <c r="U47" s="584"/>
      <c r="V47" s="1644"/>
      <c r="W47" s="1644"/>
      <c r="X47" s="612" t="str">
        <f>Y46&amp;"-"&amp;AA46</f>
        <v>-</v>
      </c>
      <c r="Y47" s="2552"/>
      <c r="Z47" s="2552"/>
      <c r="AA47" s="2552"/>
      <c r="AB47" s="2552"/>
      <c r="AC47" s="609"/>
      <c r="AD47" s="609"/>
      <c r="AE47" s="612" t="str">
        <f>AF46&amp;"-"&amp;AH46</f>
        <v>-</v>
      </c>
      <c r="AF47" s="2550"/>
      <c r="AG47" s="2391"/>
      <c r="AH47" s="2572"/>
      <c r="AI47" s="2391"/>
      <c r="AJ47" s="1723"/>
      <c r="AK47" s="2633"/>
      <c r="AM47" s="784"/>
      <c r="AN47" s="784" t="str">
        <f>IF(T47="","",T47)</f>
        <v/>
      </c>
      <c r="AO47" s="784"/>
      <c r="AP47" s="784"/>
      <c r="AQ47" s="1439">
        <v>0</v>
      </c>
    </row>
    <row customHeight="1" ht="21">
      <c r="A48" s="1647" t="s">
        <v>286</v>
      </c>
      <c r="B48" s="1647" t="s">
        <v>287</v>
      </c>
      <c r="C48" s="1647" t="s">
        <v>288</v>
      </c>
      <c r="D48" s="1647" t="s">
        <v>567</v>
      </c>
      <c r="E48" s="2543"/>
      <c r="F48" s="2543"/>
      <c r="G48" s="2543"/>
      <c r="H48" s="2543"/>
      <c r="I48" s="2570"/>
      <c r="J48" s="2540"/>
      <c r="K48" s="1647"/>
      <c r="L48" s="1648"/>
      <c r="P48" s="2541"/>
      <c r="Q48" s="2541"/>
      <c r="R48" s="640"/>
      <c r="S48" s="1562"/>
      <c r="T48" s="571" t="s">
        <v>558</v>
      </c>
      <c r="U48" s="651"/>
      <c r="V48" s="651"/>
      <c r="W48" s="651"/>
      <c r="X48" s="651"/>
      <c r="Y48" s="651"/>
      <c r="Z48" s="651"/>
      <c r="AA48" s="651"/>
      <c r="AB48" s="651"/>
      <c r="AC48" s="651"/>
      <c r="AD48" s="651"/>
      <c r="AE48" s="651"/>
      <c r="AF48" s="651"/>
      <c r="AG48" s="651"/>
      <c r="AH48" s="651"/>
      <c r="AI48" s="651"/>
      <c r="AJ48" s="651"/>
      <c r="AK48" s="1542" t="s">
        <v>559</v>
      </c>
      <c r="AM48" s="784"/>
      <c r="AN48" s="784" t="str">
        <f>IF(T48="","",T48)</f>
        <v>Добавить значение признака дифференциации</v>
      </c>
      <c r="AO48" s="784"/>
      <c r="AP48" s="784"/>
      <c r="AQ48" s="1439">
        <v>20</v>
      </c>
    </row>
    <row customHeight="1" ht="22.049999999999997">
      <c r="A49" s="1647" t="s">
        <v>286</v>
      </c>
      <c r="B49" s="1647" t="s">
        <v>287</v>
      </c>
      <c r="C49" s="1647" t="s">
        <v>288</v>
      </c>
      <c r="D49" s="1647" t="s">
        <v>567</v>
      </c>
      <c r="E49" s="2543"/>
      <c r="F49" s="2543"/>
      <c r="G49" s="2543"/>
      <c r="H49" s="2543"/>
      <c r="I49" s="2540"/>
      <c r="J49" s="1647"/>
      <c r="K49" s="1647"/>
      <c r="L49" s="1648"/>
      <c r="P49" s="2541"/>
      <c r="Q49" s="1638"/>
      <c r="R49" s="640"/>
      <c r="S49" s="1562"/>
      <c r="T49" s="649" t="s">
        <v>472</v>
      </c>
      <c r="U49" s="651"/>
      <c r="V49" s="651"/>
      <c r="W49" s="651"/>
      <c r="X49" s="651"/>
      <c r="Y49" s="651"/>
      <c r="Z49" s="651"/>
      <c r="AA49" s="651"/>
      <c r="AB49" s="650"/>
      <c r="AC49" s="651"/>
      <c r="AD49" s="651"/>
      <c r="AE49" s="651"/>
      <c r="AF49" s="651"/>
      <c r="AG49" s="651"/>
      <c r="AH49" s="651"/>
      <c r="AI49" s="650"/>
      <c r="AJ49" s="651"/>
      <c r="AK49" s="1724"/>
      <c r="AM49" s="784"/>
      <c r="AN49" s="784" t="str">
        <f>IF(T49="","",T49)</f>
        <v>Добавить группу потребителей</v>
      </c>
      <c r="AO49" s="784"/>
      <c r="AP49" s="784"/>
      <c r="AQ49" s="1439">
        <v>21</v>
      </c>
    </row>
    <row customHeight="1" ht="22.049999999999997">
      <c r="A50" s="1647" t="s">
        <v>286</v>
      </c>
      <c r="B50" s="1647" t="s">
        <v>287</v>
      </c>
      <c r="C50" s="1647" t="s">
        <v>288</v>
      </c>
      <c r="D50" s="1647" t="s">
        <v>567</v>
      </c>
      <c r="E50" s="2543"/>
      <c r="F50" s="2543"/>
      <c r="G50" s="2543"/>
      <c r="H50" s="2542"/>
      <c r="I50" s="1647"/>
      <c r="J50" s="1647"/>
      <c r="K50" s="1647"/>
      <c r="L50" s="1648"/>
      <c r="M50" s="1649"/>
      <c r="N50" s="1649"/>
      <c r="O50" s="821"/>
      <c r="P50" s="644"/>
      <c r="Q50" s="659"/>
      <c r="R50" s="639"/>
      <c r="S50" s="1562"/>
      <c r="T50" s="656" t="s">
        <v>560</v>
      </c>
      <c r="U50" s="651"/>
      <c r="V50" s="651"/>
      <c r="W50" s="651"/>
      <c r="X50" s="651"/>
      <c r="Y50" s="651"/>
      <c r="Z50" s="651"/>
      <c r="AA50" s="651"/>
      <c r="AB50" s="650"/>
      <c r="AC50" s="651"/>
      <c r="AD50" s="651"/>
      <c r="AE50" s="651"/>
      <c r="AF50" s="651"/>
      <c r="AG50" s="651"/>
      <c r="AH50" s="651"/>
      <c r="AI50" s="650"/>
      <c r="AJ50" s="651"/>
      <c r="AK50" s="587"/>
      <c r="AM50" s="784"/>
      <c r="AN50" s="784" t="str">
        <f>IF(T50="","",T50)</f>
        <v>Добавить наименование признака дифференциации</v>
      </c>
      <c r="AO50" s="784"/>
      <c r="AP50" s="784"/>
      <c r="AQ50" s="1439">
        <v>21</v>
      </c>
    </row>
    <row s="30621" customFormat="1" customHeight="1" ht="0">
      <c r="A51" s="1627" t="s">
        <v>286</v>
      </c>
      <c r="B51" s="1627" t="s">
        <v>287</v>
      </c>
      <c r="C51" s="1598"/>
      <c r="D51" s="1598"/>
      <c r="E51" s="2543"/>
      <c r="F51" s="2542"/>
      <c r="G51" s="1598"/>
      <c r="H51" s="1598"/>
      <c r="I51" s="1598"/>
      <c r="J51" s="1598"/>
      <c r="K51" s="1598"/>
      <c r="L51" s="1710"/>
      <c r="M51" s="1605"/>
      <c r="N51" s="1605"/>
      <c r="P51" s="1600"/>
      <c r="Q51" s="1601"/>
      <c r="R51" s="1600"/>
      <c r="S51" s="1606"/>
      <c r="T51" s="1609" t="s">
        <v>214</v>
      </c>
      <c r="U51" s="1608"/>
      <c r="V51" s="1608"/>
      <c r="W51" s="1608"/>
      <c r="X51" s="1608"/>
      <c r="Y51" s="1608"/>
      <c r="Z51" s="1608"/>
      <c r="AA51" s="1608"/>
      <c r="AB51" s="1608"/>
      <c r="AC51" s="1608"/>
      <c r="AD51" s="1608"/>
      <c r="AE51" s="1608"/>
      <c r="AF51" s="1608"/>
      <c r="AG51" s="1608"/>
      <c r="AH51" s="1608"/>
      <c r="AI51" s="1608"/>
      <c r="AJ51" s="1608"/>
      <c r="AK51" s="1608"/>
      <c r="AM51" s="1073"/>
      <c r="AN51" s="1073" t="str">
        <f>IF(T51="","",T51)</f>
        <v>Добавить централизованную систему для дифференциации</v>
      </c>
      <c r="AO51" s="1073"/>
      <c r="AP51" s="1073"/>
      <c r="AQ51" s="802">
        <v>0</v>
      </c>
    </row>
    <row s="30621" customFormat="1" customHeight="1" ht="0">
      <c r="A52" s="1627" t="s">
        <v>286</v>
      </c>
      <c r="B52" s="1627"/>
      <c r="C52" s="1627"/>
      <c r="D52" s="1627"/>
      <c r="E52" s="2542"/>
      <c r="F52" s="1627"/>
      <c r="G52" s="1627"/>
      <c r="H52" s="1627"/>
      <c r="I52" s="1627"/>
      <c r="J52" s="1627"/>
      <c r="K52" s="1627"/>
      <c r="L52" s="1630"/>
      <c r="M52" s="1605"/>
      <c r="N52" s="1605"/>
      <c r="O52" s="802"/>
      <c r="P52" s="664"/>
      <c r="Q52" s="1628"/>
      <c r="R52" s="664"/>
      <c r="S52" s="1606"/>
      <c r="T52" s="1609" t="s">
        <v>230</v>
      </c>
      <c r="U52" s="1608"/>
      <c r="V52" s="1608"/>
      <c r="W52" s="1608"/>
      <c r="X52" s="1608"/>
      <c r="Y52" s="1608"/>
      <c r="Z52" s="1608"/>
      <c r="AA52" s="1608"/>
      <c r="AB52" s="1608"/>
      <c r="AC52" s="1608"/>
      <c r="AD52" s="1608"/>
      <c r="AE52" s="1608"/>
      <c r="AF52" s="1608"/>
      <c r="AG52" s="1608"/>
      <c r="AH52" s="1608"/>
      <c r="AI52" s="1608"/>
      <c r="AJ52" s="1608"/>
      <c r="AK52" s="1608"/>
      <c r="AM52" s="784"/>
      <c r="AN52" s="784" t="str">
        <f>IF(T52="","",T52)</f>
        <v>Добавить территорию для дифференциации</v>
      </c>
      <c r="AO52" s="784"/>
      <c r="AP52" s="784"/>
      <c r="AQ52" s="795">
        <v>0</v>
      </c>
    </row>
    <row s="30621" customFormat="1" customHeight="1" ht="0">
      <c r="A53" s="1598"/>
      <c r="B53" s="1598"/>
      <c r="C53" s="1598"/>
      <c r="D53" s="1598"/>
      <c r="E53" s="1627"/>
      <c r="F53" s="1598"/>
      <c r="G53" s="1598"/>
      <c r="H53" s="1598"/>
      <c r="I53" s="1598"/>
      <c r="J53" s="1598"/>
      <c r="K53" s="1598"/>
      <c r="L53" s="1710"/>
      <c r="M53" s="1605"/>
      <c r="N53" s="1605"/>
      <c r="P53" s="1600"/>
      <c r="Q53" s="1601"/>
      <c r="R53" s="1600"/>
      <c r="S53" s="1606"/>
      <c r="T53" s="1609" t="s">
        <v>239</v>
      </c>
      <c r="U53" s="1608"/>
      <c r="V53" s="1608"/>
      <c r="W53" s="1608"/>
      <c r="X53" s="1608"/>
      <c r="Y53" s="1608"/>
      <c r="Z53" s="1608"/>
      <c r="AA53" s="1608"/>
      <c r="AB53" s="1608"/>
      <c r="AC53" s="1608"/>
      <c r="AD53" s="1608"/>
      <c r="AE53" s="1608"/>
      <c r="AF53" s="1608"/>
      <c r="AG53" s="1608"/>
      <c r="AH53" s="1608"/>
      <c r="AI53" s="1608"/>
      <c r="AJ53" s="1608"/>
      <c r="AK53" s="1608"/>
      <c r="AM53" s="1073"/>
      <c r="AN53" s="1073" t="str">
        <f>IF(T53="","",T53)</f>
        <v>Добавить наименование тарифа</v>
      </c>
      <c r="AO53" s="1073"/>
      <c r="AP53" s="1073"/>
      <c r="AQ53" s="802">
        <v>0</v>
      </c>
    </row>
    <row customHeight="1" ht="11.549999999999999">
      <c r="M54" s="1444"/>
      <c r="N54" s="1444"/>
      <c r="O54" s="821"/>
      <c r="P54" s="1439"/>
      <c r="Q54" s="1439"/>
      <c r="R54" s="1439"/>
      <c r="S54" s="1439"/>
      <c r="AL54" s="1439"/>
      <c r="AM54" s="1439"/>
      <c r="AN54" s="1439"/>
      <c r="AO54" s="1439"/>
      <c r="AP54" s="1439"/>
      <c r="AQ54" s="1439">
        <v>11</v>
      </c>
    </row>
    <row customHeight="1" ht="14.699999999999998">
      <c r="O55" s="821"/>
      <c r="S55" s="1537"/>
      <c r="T55" s="2569"/>
      <c r="U55" s="2569"/>
      <c r="V55" s="2569"/>
      <c r="W55" s="2569"/>
      <c r="X55" s="2569"/>
      <c r="Y55" s="2569"/>
      <c r="Z55" s="2569"/>
      <c r="AA55" s="2569"/>
      <c r="AB55" s="2569"/>
      <c r="AC55" s="2569"/>
      <c r="AD55" s="2569"/>
      <c r="AE55" s="2569"/>
      <c r="AF55" s="2569"/>
      <c r="AG55" s="2569"/>
      <c r="AH55" s="2569"/>
      <c r="AI55" s="2569"/>
      <c r="AJ55" s="2569"/>
      <c r="AK55" s="2569"/>
      <c r="AQ55" s="1439">
        <v>14</v>
      </c>
    </row>
    <row customHeight="1" ht="14.699999999999998">
      <c r="O56" s="821"/>
      <c r="AQ56" s="1439">
        <v>14</v>
      </c>
    </row>
    <row customHeight="1" ht="14.699999999999998">
      <c r="O57" s="821"/>
      <c r="S57" s="1537"/>
      <c r="T57" s="2569"/>
      <c r="U57" s="2569"/>
      <c r="V57" s="2569"/>
      <c r="W57" s="2569"/>
      <c r="X57" s="2569"/>
      <c r="Y57" s="2569"/>
      <c r="Z57" s="2569"/>
      <c r="AA57" s="2569"/>
      <c r="AB57" s="2569"/>
      <c r="AC57" s="2569"/>
      <c r="AD57" s="2569"/>
      <c r="AE57" s="2569"/>
      <c r="AF57" s="2569"/>
      <c r="AG57" s="2569"/>
      <c r="AH57" s="2569"/>
      <c r="AI57" s="2569"/>
      <c r="AJ57" s="2569"/>
      <c r="AK57" s="2569"/>
      <c r="AQ57" s="1439">
        <v>14</v>
      </c>
    </row>
    <row customHeight="1" ht="22.5" hidden="1">
      <c r="A58" s="1444" t="s">
        <v>85</v>
      </c>
      <c r="B58" s="1444">
        <v>0</v>
      </c>
      <c r="C58" s="1444">
        <v>0</v>
      </c>
      <c r="D58" s="1444">
        <v>0</v>
      </c>
      <c r="E58" s="1444">
        <v>0</v>
      </c>
      <c r="F58" s="1444">
        <v>0</v>
      </c>
      <c r="G58" s="1444">
        <v>0</v>
      </c>
      <c r="H58" s="1444">
        <v>0</v>
      </c>
      <c r="I58" s="1444">
        <v>0</v>
      </c>
      <c r="J58" s="1444">
        <v>0</v>
      </c>
      <c r="K58" s="1444">
        <v>0</v>
      </c>
      <c r="L58" s="1705">
        <v>0</v>
      </c>
      <c r="M58" s="1646">
        <v>0</v>
      </c>
      <c r="N58" s="1646">
        <v>0</v>
      </c>
      <c r="O58" s="1646">
        <v>0</v>
      </c>
      <c r="P58" s="1635">
        <v>3</v>
      </c>
      <c r="Q58" s="628">
        <v>3</v>
      </c>
      <c r="R58" s="628">
        <v>3</v>
      </c>
      <c r="S58" s="865">
        <v>12</v>
      </c>
      <c r="T58" s="1439">
        <v>35</v>
      </c>
      <c r="U58" s="1439">
        <v>0</v>
      </c>
      <c r="V58" s="1439">
        <v>0</v>
      </c>
      <c r="W58" s="1439">
        <v>0</v>
      </c>
      <c r="X58" s="1439">
        <v>0</v>
      </c>
      <c r="Y58" s="1439">
        <v>0</v>
      </c>
      <c r="Z58" s="1439">
        <v>0</v>
      </c>
      <c r="AA58" s="1439">
        <v>0</v>
      </c>
      <c r="AB58" s="1439">
        <v>0</v>
      </c>
      <c r="AC58" s="1439">
        <v>24</v>
      </c>
      <c r="AD58" s="1439">
        <v>24</v>
      </c>
      <c r="AE58" s="1439">
        <v>24</v>
      </c>
      <c r="AF58" s="1439">
        <v>11</v>
      </c>
      <c r="AG58" s="1439">
        <v>3</v>
      </c>
      <c r="AH58" s="1439">
        <v>11</v>
      </c>
      <c r="AI58" s="1439">
        <v>0</v>
      </c>
      <c r="AJ58" s="1439">
        <v>4</v>
      </c>
      <c r="AK58" s="1439">
        <v>115</v>
      </c>
      <c r="AL58" s="795">
        <v>10</v>
      </c>
      <c r="AM58" s="795">
        <v>10</v>
      </c>
      <c r="AN58" s="795">
        <v>10</v>
      </c>
      <c r="AO58" s="795">
        <v>10</v>
      </c>
      <c r="AP58" s="795">
        <v>10</v>
      </c>
      <c r="AQ58" s="1439">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349207-ADC2-C955-42B7-65C956C0EA24}"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30620" width="10.57421875" hidden="1"/>
    <col min="2" max="2" style="30620" width="11.00390625" hidden="1" customWidth="1"/>
    <col min="3" max="3" style="30620" width="10.57421875" hidden="1"/>
    <col min="4" max="4" style="30620" width="11.8515625" hidden="1" customWidth="1"/>
    <col min="5" max="5" style="30620" width="10.00390625" hidden="1" customWidth="1"/>
    <col min="6" max="6" style="30620" width="8.7109375" hidden="1" customWidth="1"/>
    <col min="7" max="7" style="30620" width="7.57421875" hidden="1" customWidth="1"/>
    <col min="8" max="8" style="30620" width="11.421875" hidden="1" customWidth="1"/>
    <col min="9" max="9" style="30620" width="14.140625" hidden="1" customWidth="1"/>
    <col min="10" max="10" style="30620" width="9.8515625" hidden="1" customWidth="1"/>
    <col min="11" max="11" style="30620" width="14.7109375" hidden="1" customWidth="1"/>
    <col min="12" max="12" style="31502" width="19.140625" hidden="1" customWidth="1"/>
    <col min="13" max="14" style="31503" width="12.28125" hidden="1" customWidth="1"/>
    <col min="15" max="15" style="31503" width="23.421875" hidden="1" customWidth="1"/>
    <col min="16" max="16" style="31504" width="3.00390625" customWidth="1"/>
    <col min="17" max="18" style="31505" width="3.00390625" customWidth="1"/>
    <col min="19" max="19" style="31506" width="12.00390625" customWidth="1"/>
    <col min="20" max="20" style="30541" width="35.00390625" customWidth="1"/>
    <col min="21" max="21" style="30541" width="0.140625" customWidth="1"/>
    <col min="22" max="24" style="30541" width="24.7109375" hidden="1" customWidth="1"/>
    <col min="25" max="25" style="30541" width="11.7109375" hidden="1" customWidth="1"/>
    <col min="26" max="26" style="30541" width="3.7109375" hidden="1" customWidth="1"/>
    <col min="27" max="27" style="30541" width="11.7109375" hidden="1" customWidth="1"/>
    <col min="28" max="28" style="30541" width="8.57421875" hidden="1" customWidth="1"/>
    <col min="29" max="29" style="30541" width="24.7109375" customWidth="1"/>
    <col min="30" max="31" style="30541" width="24.00390625" customWidth="1"/>
    <col min="32" max="32" style="30541" width="11.00390625" customWidth="1"/>
    <col min="33" max="33" style="30541" width="3.7109375" customWidth="1"/>
    <col min="34" max="34" style="30541" width="11.00390625" customWidth="1"/>
    <col min="35" max="35" style="30541" width="8.57421875" hidden="1" customWidth="1"/>
    <col min="36" max="36" style="30541" width="4.00390625" customWidth="1"/>
    <col min="37" max="37" style="30541" width="115.00390625" customWidth="1"/>
    <col min="38" max="42" style="30621" width="10.00390625" customWidth="1"/>
    <col min="43" max="43" style="30541" width="10.57421875" hidden="1"/>
  </cols>
  <sheetData>
    <row customHeight="1" ht="22.5" hidden="1">
      <c r="X1" s="611"/>
      <c r="Y1" s="611"/>
      <c r="AE1" s="611"/>
      <c r="AF1" s="611"/>
      <c r="AQ1" s="1439" t="s">
        <v>14</v>
      </c>
    </row>
    <row customHeight="1" ht="23.25" hidden="1">
      <c r="A2" s="1647"/>
      <c r="B2" s="1647"/>
      <c r="C2" s="1647"/>
      <c r="D2" s="1647"/>
      <c r="E2" s="2542">
        <v>1</v>
      </c>
      <c r="F2" s="1647"/>
      <c r="G2" s="1647"/>
      <c r="H2" s="1647"/>
      <c r="I2" s="1647"/>
      <c r="J2" s="1647"/>
      <c r="K2" s="1647"/>
      <c r="L2" s="1648"/>
      <c r="M2" s="1649"/>
      <c r="N2" s="1649"/>
      <c r="O2" s="1649"/>
      <c r="P2" s="645"/>
      <c r="Q2" s="644"/>
      <c r="R2" s="639"/>
      <c r="S2" s="1741">
        <f>INDEX(PT_DIFFERENTIATION_NUM_NTAR,MATCH(A2,PT_DIFFERENTIATION_NTAR_ID,0))</f>
      </c>
      <c r="T2" s="582" t="s">
        <v>153</v>
      </c>
      <c r="U2" s="584"/>
      <c r="V2" s="2526"/>
      <c r="W2" s="2527"/>
      <c r="X2" s="2527"/>
      <c r="Y2" s="2527"/>
      <c r="Z2" s="2527"/>
      <c r="AA2" s="2527"/>
      <c r="AB2" s="2528"/>
      <c r="AC2" s="2526">
        <f>INDEX(PT_DIFFERENTIATION_NTAR,MATCH(A2,PT_DIFFERENTIATION_NTAR_ID,0))</f>
      </c>
      <c r="AD2" s="2527"/>
      <c r="AE2" s="2527"/>
      <c r="AF2" s="2527"/>
      <c r="AG2" s="2527"/>
      <c r="AH2" s="2527"/>
      <c r="AI2" s="2527"/>
      <c r="AJ2" s="2528"/>
      <c r="AK2"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784"/>
      <c r="AN2" s="784" t="str">
        <f>IF(T2="","",T2)</f>
        <v>Наименование тарифа</v>
      </c>
      <c r="AO2" s="784"/>
      <c r="AP2" s="784"/>
      <c r="AQ2" s="1439">
        <v>0</v>
      </c>
    </row>
    <row customHeight="1" ht="23.25" hidden="1">
      <c r="A3" s="1647"/>
      <c r="B3" s="1647"/>
      <c r="C3" s="1647"/>
      <c r="D3" s="1647"/>
      <c r="E3" s="2543"/>
      <c r="F3" s="2542">
        <v>1</v>
      </c>
      <c r="G3" s="1647"/>
      <c r="H3" s="1647"/>
      <c r="I3" s="1647"/>
      <c r="J3" s="1647"/>
      <c r="K3" s="1647"/>
      <c r="L3" s="1648"/>
      <c r="M3" s="1649"/>
      <c r="N3" s="1649"/>
      <c r="O3" s="1649"/>
      <c r="P3" s="1737"/>
      <c r="Q3" s="636"/>
      <c r="R3" s="637"/>
      <c r="S3" s="1741">
        <f>INDEX(PT_DIFFERENTIATION_NUM_TER,MATCH(B3,PT_DIFFERENTIATION_TER_ID,0))</f>
      </c>
      <c r="T3" s="592" t="s">
        <v>457</v>
      </c>
      <c r="U3" s="584"/>
      <c r="V3" s="2526"/>
      <c r="W3" s="2527"/>
      <c r="X3" s="2527"/>
      <c r="Y3" s="2527"/>
      <c r="Z3" s="2527"/>
      <c r="AA3" s="2527"/>
      <c r="AB3" s="2528"/>
      <c r="AC3" s="2526">
        <f>INDEX(PT_DIFFERENTIATION_TER,MATCH(B3,PT_DIFFERENTIATION_TER_ID,0))</f>
      </c>
      <c r="AD3" s="2527"/>
      <c r="AE3" s="2527"/>
      <c r="AF3" s="2527"/>
      <c r="AG3" s="2527"/>
      <c r="AH3" s="2527"/>
      <c r="AI3" s="2527"/>
      <c r="AJ3" s="2528"/>
      <c r="AK3" s="1542" t="s">
        <v>458</v>
      </c>
      <c r="AM3" s="784"/>
      <c r="AN3" s="784" t="str">
        <f>IF(T3="","",T3)</f>
        <v>Территория действия тарифа</v>
      </c>
      <c r="AO3" s="784"/>
      <c r="AP3" s="784"/>
      <c r="AQ3" s="1439">
        <v>0</v>
      </c>
    </row>
    <row customHeight="1" ht="23.25" hidden="1">
      <c r="A4" s="1647"/>
      <c r="B4" s="1647"/>
      <c r="C4" s="1647"/>
      <c r="D4" s="1647"/>
      <c r="E4" s="2543"/>
      <c r="F4" s="2543"/>
      <c r="G4" s="2542">
        <v>1</v>
      </c>
      <c r="H4" s="1647"/>
      <c r="I4" s="1647"/>
      <c r="J4" s="1647"/>
      <c r="K4" s="1647"/>
      <c r="L4" s="1648"/>
      <c r="M4" s="1649"/>
      <c r="N4" s="1649"/>
      <c r="O4" s="1649"/>
      <c r="P4" s="638"/>
      <c r="Q4" s="636"/>
      <c r="R4" s="637"/>
      <c r="S4" s="1741">
        <f>INDEX(PT_DIFFERENTIATION_NUM_CS,MATCH(C4,PT_DIFFERENTIATION_CS_ID,0))</f>
      </c>
      <c r="T4" s="593" t="s">
        <v>553</v>
      </c>
      <c r="U4" s="584"/>
      <c r="V4" s="2526"/>
      <c r="W4" s="2527"/>
      <c r="X4" s="2527"/>
      <c r="Y4" s="2527"/>
      <c r="Z4" s="2527"/>
      <c r="AA4" s="2527"/>
      <c r="AB4" s="2528"/>
      <c r="AC4" s="2526">
        <f>INDEX(PT_DIFFERENTIATION_CS,MATCH(C4,PT_DIFFERENTIATION_CS_ID,0))</f>
      </c>
      <c r="AD4" s="2527"/>
      <c r="AE4" s="2527"/>
      <c r="AF4" s="2527"/>
      <c r="AG4" s="2527"/>
      <c r="AH4" s="2527"/>
      <c r="AI4" s="2527"/>
      <c r="AJ4" s="2528"/>
      <c r="AK4" s="1542" t="s">
        <v>554</v>
      </c>
      <c r="AM4" s="784"/>
      <c r="AN4" s="784" t="str">
        <f>IF(T4="","",T4)</f>
        <v>Наименование централизованной системы холодного водоснабжения</v>
      </c>
      <c r="AO4" s="784"/>
      <c r="AP4" s="784"/>
      <c r="AQ4" s="1439">
        <v>0</v>
      </c>
    </row>
    <row customHeight="1" ht="23.25" hidden="1">
      <c r="A5" s="1647"/>
      <c r="B5" s="1647"/>
      <c r="C5" s="1647"/>
      <c r="D5" s="1647"/>
      <c r="E5" s="2543"/>
      <c r="F5" s="2543"/>
      <c r="G5" s="2543"/>
      <c r="H5" s="2543"/>
      <c r="I5" s="2540">
        <f>S4&amp;".1"</f>
      </c>
      <c r="J5" s="1647"/>
      <c r="K5" s="1647"/>
      <c r="L5" s="1648"/>
      <c r="P5" s="2541">
        <v>1</v>
      </c>
      <c r="Q5" s="1734"/>
      <c r="R5" s="640"/>
      <c r="S5" s="1741">
        <f>$I5</f>
      </c>
      <c r="T5" s="569" t="s">
        <v>555</v>
      </c>
      <c r="U5" s="584"/>
      <c r="V5" s="2634"/>
      <c r="W5" s="2635"/>
      <c r="X5" s="2635"/>
      <c r="Y5" s="2635"/>
      <c r="Z5" s="2635"/>
      <c r="AA5" s="2635"/>
      <c r="AB5" s="2636"/>
      <c r="AC5" s="2637"/>
      <c r="AD5" s="2638"/>
      <c r="AE5" s="2638"/>
      <c r="AF5" s="2638"/>
      <c r="AG5" s="2638"/>
      <c r="AH5" s="2638"/>
      <c r="AI5" s="2638"/>
      <c r="AJ5" s="2639"/>
      <c r="AK5" s="1542" t="s">
        <v>556</v>
      </c>
      <c r="AM5" s="784"/>
      <c r="AN5" s="784" t="str">
        <f>IF(T5="","",T5)</f>
        <v>Наименование признака дифференциации</v>
      </c>
      <c r="AO5" s="784"/>
      <c r="AP5" s="784"/>
      <c r="AQ5" s="1439">
        <v>0</v>
      </c>
    </row>
    <row customHeight="1" ht="23.25" hidden="1">
      <c r="A6" s="1647"/>
      <c r="B6" s="1647"/>
      <c r="C6" s="1647"/>
      <c r="D6" s="1647"/>
      <c r="E6" s="2543"/>
      <c r="F6" s="2543"/>
      <c r="G6" s="2543"/>
      <c r="H6" s="2543"/>
      <c r="I6" s="2570"/>
      <c r="J6" s="2540">
        <f>I5&amp;".1"</f>
      </c>
      <c r="K6" s="1647"/>
      <c r="L6" s="1648" t="s">
        <v>466</v>
      </c>
      <c r="P6" s="2541"/>
      <c r="Q6" s="2541">
        <v>1</v>
      </c>
      <c r="R6" s="641"/>
      <c r="S6" s="1741">
        <f>$J6</f>
      </c>
      <c r="T6" s="570" t="s">
        <v>467</v>
      </c>
      <c r="U6" s="584"/>
      <c r="V6" s="2529"/>
      <c r="W6" s="2530"/>
      <c r="X6" s="2530"/>
      <c r="Y6" s="2530"/>
      <c r="Z6" s="2530"/>
      <c r="AA6" s="2530"/>
      <c r="AB6" s="2531"/>
      <c r="AC6" s="2529"/>
      <c r="AD6" s="2530"/>
      <c r="AE6" s="2530"/>
      <c r="AF6" s="2530"/>
      <c r="AG6" s="2530"/>
      <c r="AH6" s="2530"/>
      <c r="AI6" s="2530"/>
      <c r="AJ6" s="2531"/>
      <c r="AK6" s="1591" t="s">
        <v>557</v>
      </c>
      <c r="AM6" s="784"/>
      <c r="AN6" s="784" t="str">
        <f>IF(T6="","",T6)</f>
        <v>Группа потребителей</v>
      </c>
      <c r="AO6" s="784"/>
      <c r="AP6" s="784"/>
      <c r="AQ6" s="1439">
        <v>0</v>
      </c>
    </row>
    <row customHeight="1" ht="23.25" hidden="1">
      <c r="A7" s="1647"/>
      <c r="B7" s="1647"/>
      <c r="C7" s="1647"/>
      <c r="D7" s="1647"/>
      <c r="E7" s="2543"/>
      <c r="F7" s="2543"/>
      <c r="G7" s="2543"/>
      <c r="H7" s="2543"/>
      <c r="I7" s="2570"/>
      <c r="J7" s="2570"/>
      <c r="K7" s="2540">
        <f>J6&amp;".1"</f>
      </c>
      <c r="L7" s="1648"/>
      <c r="P7" s="2541"/>
      <c r="Q7" s="2541"/>
      <c r="R7" s="641">
        <v>1</v>
      </c>
      <c r="S7" s="1741">
        <f>$K7</f>
      </c>
      <c r="T7" s="1721"/>
      <c r="U7" s="584"/>
      <c r="V7" s="1035"/>
      <c r="W7" s="1035"/>
      <c r="X7" s="1541"/>
      <c r="Y7" s="2549"/>
      <c r="Z7" s="2391" t="s">
        <v>64</v>
      </c>
      <c r="AA7" s="2549"/>
      <c r="AB7" s="2391" t="s">
        <v>64</v>
      </c>
      <c r="AC7" s="1035"/>
      <c r="AD7" s="1035"/>
      <c r="AE7" s="1541"/>
      <c r="AF7" s="2549"/>
      <c r="AG7" s="2391" t="s">
        <v>64</v>
      </c>
      <c r="AH7" s="2571"/>
      <c r="AI7" s="2391" t="s">
        <v>64</v>
      </c>
      <c r="AJ7" s="1722"/>
      <c r="AK7" s="26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95">
        <f>STRCHECKDATE(V8:AJ8)</f>
      </c>
      <c r="AM7" s="784"/>
      <c r="AN7" s="784" t="str">
        <f>IF(T7="","",T7)</f>
        <v/>
      </c>
      <c r="AO7" s="784"/>
      <c r="AP7" s="784"/>
      <c r="AQ7" s="1439">
        <v>0</v>
      </c>
    </row>
    <row customHeight="1" ht="14.25" hidden="1">
      <c r="A8" s="1647"/>
      <c r="B8" s="1647"/>
      <c r="C8" s="1647"/>
      <c r="D8" s="1647"/>
      <c r="E8" s="2543"/>
      <c r="F8" s="2543"/>
      <c r="G8" s="2543"/>
      <c r="H8" s="2543"/>
      <c r="I8" s="2570"/>
      <c r="J8" s="2570"/>
      <c r="K8" s="2540"/>
      <c r="L8" s="1648"/>
      <c r="P8" s="2541"/>
      <c r="Q8" s="2541"/>
      <c r="R8" s="641"/>
      <c r="S8" s="1740"/>
      <c r="T8" s="584"/>
      <c r="U8" s="584"/>
      <c r="V8" s="609"/>
      <c r="W8" s="609"/>
      <c r="X8" s="612" t="str">
        <f>Y7&amp;"-"&amp;AA7</f>
        <v>-</v>
      </c>
      <c r="Y8" s="2550"/>
      <c r="Z8" s="2391"/>
      <c r="AA8" s="2550"/>
      <c r="AB8" s="2391"/>
      <c r="AC8" s="609"/>
      <c r="AD8" s="609"/>
      <c r="AE8" s="612" t="str">
        <f>AF7&amp;"-"&amp;AH7</f>
        <v>-</v>
      </c>
      <c r="AF8" s="2550"/>
      <c r="AG8" s="2391"/>
      <c r="AH8" s="2572"/>
      <c r="AI8" s="2391"/>
      <c r="AJ8" s="1723"/>
      <c r="AK8" s="2633"/>
      <c r="AM8" s="784"/>
      <c r="AN8" s="784" t="str">
        <f>IF(T8="","",T8)</f>
        <v/>
      </c>
      <c r="AO8" s="784"/>
      <c r="AP8" s="784"/>
      <c r="AQ8" s="1439">
        <v>0</v>
      </c>
    </row>
    <row customHeight="1" ht="21" hidden="1">
      <c r="A9" s="1647"/>
      <c r="B9" s="1647"/>
      <c r="C9" s="1647"/>
      <c r="D9" s="1647"/>
      <c r="E9" s="2543"/>
      <c r="F9" s="2543"/>
      <c r="G9" s="2543"/>
      <c r="H9" s="2543"/>
      <c r="I9" s="2570"/>
      <c r="J9" s="2540"/>
      <c r="K9" s="1647"/>
      <c r="L9" s="1648"/>
      <c r="P9" s="2541"/>
      <c r="Q9" s="2541"/>
      <c r="R9" s="640"/>
      <c r="S9" s="1562"/>
      <c r="T9" s="571" t="s">
        <v>558</v>
      </c>
      <c r="U9" s="651"/>
      <c r="V9" s="651"/>
      <c r="W9" s="651"/>
      <c r="X9" s="651"/>
      <c r="Y9" s="651"/>
      <c r="Z9" s="651"/>
      <c r="AA9" s="651"/>
      <c r="AB9" s="651"/>
      <c r="AC9" s="651"/>
      <c r="AD9" s="651"/>
      <c r="AE9" s="651"/>
      <c r="AF9" s="651"/>
      <c r="AG9" s="651"/>
      <c r="AH9" s="651"/>
      <c r="AI9" s="651"/>
      <c r="AJ9" s="651"/>
      <c r="AK9" s="1542" t="s">
        <v>559</v>
      </c>
      <c r="AM9" s="784"/>
      <c r="AN9" s="784" t="str">
        <f>IF(T9="","",T9)</f>
        <v>Добавить значение признака дифференциации</v>
      </c>
      <c r="AO9" s="784"/>
      <c r="AP9" s="784"/>
      <c r="AQ9" s="1439">
        <v>0</v>
      </c>
    </row>
    <row customHeight="1" ht="21" hidden="1">
      <c r="A10" s="1647"/>
      <c r="B10" s="1647"/>
      <c r="C10" s="1647"/>
      <c r="D10" s="1647"/>
      <c r="E10" s="2543"/>
      <c r="F10" s="2543"/>
      <c r="G10" s="2543"/>
      <c r="H10" s="2543"/>
      <c r="I10" s="2540"/>
      <c r="J10" s="1647"/>
      <c r="K10" s="1647"/>
      <c r="L10" s="1648"/>
      <c r="P10" s="2541"/>
      <c r="Q10" s="1734"/>
      <c r="R10" s="640"/>
      <c r="S10" s="1562"/>
      <c r="T10" s="649" t="s">
        <v>472</v>
      </c>
      <c r="U10" s="651"/>
      <c r="V10" s="651"/>
      <c r="W10" s="651"/>
      <c r="X10" s="651"/>
      <c r="Y10" s="651"/>
      <c r="Z10" s="651"/>
      <c r="AA10" s="651"/>
      <c r="AB10" s="650"/>
      <c r="AC10" s="651"/>
      <c r="AD10" s="651"/>
      <c r="AE10" s="651"/>
      <c r="AF10" s="651"/>
      <c r="AG10" s="651"/>
      <c r="AH10" s="651"/>
      <c r="AI10" s="650"/>
      <c r="AJ10" s="651"/>
      <c r="AK10" s="1724"/>
      <c r="AM10" s="784"/>
      <c r="AN10" s="784" t="str">
        <f>IF(T10="","",T10)</f>
        <v>Добавить группу потребителей</v>
      </c>
      <c r="AO10" s="784"/>
      <c r="AP10" s="784"/>
      <c r="AQ10" s="1439">
        <v>0</v>
      </c>
    </row>
    <row customHeight="1" ht="21" hidden="1">
      <c r="A11" s="1647"/>
      <c r="B11" s="1647"/>
      <c r="C11" s="1647"/>
      <c r="D11" s="1647"/>
      <c r="E11" s="2543"/>
      <c r="F11" s="2543"/>
      <c r="G11" s="2543"/>
      <c r="H11" s="2542"/>
      <c r="I11" s="1647"/>
      <c r="J11" s="1647"/>
      <c r="K11" s="1647"/>
      <c r="L11" s="1648"/>
      <c r="M11" s="1649"/>
      <c r="N11" s="1649"/>
      <c r="O11" s="821"/>
      <c r="P11" s="644"/>
      <c r="Q11" s="659"/>
      <c r="R11" s="639"/>
      <c r="S11" s="1562"/>
      <c r="T11" s="656" t="s">
        <v>560</v>
      </c>
      <c r="U11" s="651"/>
      <c r="V11" s="651"/>
      <c r="W11" s="651"/>
      <c r="X11" s="651"/>
      <c r="Y11" s="651"/>
      <c r="Z11" s="651"/>
      <c r="AA11" s="651"/>
      <c r="AB11" s="650"/>
      <c r="AC11" s="651"/>
      <c r="AD11" s="651"/>
      <c r="AE11" s="651"/>
      <c r="AF11" s="651"/>
      <c r="AG11" s="651"/>
      <c r="AH11" s="651"/>
      <c r="AI11" s="650"/>
      <c r="AJ11" s="651"/>
      <c r="AK11" s="587"/>
      <c r="AM11" s="784"/>
      <c r="AN11" s="784" t="str">
        <f>IF(T11="","",T11)</f>
        <v>Добавить наименование признака дифференциации</v>
      </c>
      <c r="AO11" s="784"/>
      <c r="AP11" s="784"/>
      <c r="AQ11" s="1439">
        <v>0</v>
      </c>
    </row>
    <row s="30621" customFormat="1" customHeight="1" ht="14.25" hidden="1">
      <c r="A12" s="1627"/>
      <c r="B12" s="1627"/>
      <c r="C12" s="1598"/>
      <c r="D12" s="1598"/>
      <c r="E12" s="2543"/>
      <c r="F12" s="2542"/>
      <c r="G12" s="1598"/>
      <c r="H12" s="1598"/>
      <c r="I12" s="1598"/>
      <c r="J12" s="1598"/>
      <c r="K12" s="1598"/>
      <c r="L12" s="1742"/>
      <c r="M12" s="1605"/>
      <c r="N12" s="1605"/>
      <c r="P12" s="1600"/>
      <c r="Q12" s="1601"/>
      <c r="R12" s="1600"/>
      <c r="S12" s="1606"/>
      <c r="T12" s="1609" t="s">
        <v>214</v>
      </c>
      <c r="U12" s="1608"/>
      <c r="V12" s="1608"/>
      <c r="W12" s="1608"/>
      <c r="X12" s="1608"/>
      <c r="Y12" s="1608"/>
      <c r="Z12" s="1608"/>
      <c r="AA12" s="1608"/>
      <c r="AB12" s="1608"/>
      <c r="AC12" s="1608"/>
      <c r="AD12" s="1608"/>
      <c r="AE12" s="1608"/>
      <c r="AF12" s="1608"/>
      <c r="AG12" s="1608"/>
      <c r="AH12" s="1608"/>
      <c r="AI12" s="1608"/>
      <c r="AJ12" s="1608"/>
      <c r="AK12" s="1608"/>
      <c r="AM12" s="1073"/>
      <c r="AN12" s="1073" t="str">
        <f>IF(T12="","",T12)</f>
        <v>Добавить централизованную систему для дифференциации</v>
      </c>
      <c r="AO12" s="1073"/>
      <c r="AP12" s="1073"/>
      <c r="AQ12" s="802">
        <v>0</v>
      </c>
    </row>
    <row s="30621" customFormat="1" customHeight="1" ht="14.25" hidden="1">
      <c r="A13" s="1627"/>
      <c r="B13" s="1627"/>
      <c r="C13" s="1627"/>
      <c r="D13" s="1627"/>
      <c r="E13" s="2542"/>
      <c r="F13" s="1627"/>
      <c r="G13" s="1627"/>
      <c r="H13" s="1627"/>
      <c r="I13" s="1627"/>
      <c r="J13" s="1627"/>
      <c r="K13" s="1627"/>
      <c r="L13" s="1630"/>
      <c r="M13" s="1605"/>
      <c r="N13" s="1605"/>
      <c r="O13" s="802"/>
      <c r="P13" s="664"/>
      <c r="Q13" s="1628"/>
      <c r="R13" s="664"/>
      <c r="S13" s="1606"/>
      <c r="T13" s="1609" t="s">
        <v>230</v>
      </c>
      <c r="U13" s="1608"/>
      <c r="V13" s="1608"/>
      <c r="W13" s="1608"/>
      <c r="X13" s="1608"/>
      <c r="Y13" s="1608"/>
      <c r="Z13" s="1608"/>
      <c r="AA13" s="1608"/>
      <c r="AB13" s="1608"/>
      <c r="AC13" s="1608"/>
      <c r="AD13" s="1608"/>
      <c r="AE13" s="1608"/>
      <c r="AF13" s="1608"/>
      <c r="AG13" s="1608"/>
      <c r="AH13" s="1608"/>
      <c r="AI13" s="1608"/>
      <c r="AJ13" s="1608"/>
      <c r="AK13" s="1608"/>
      <c r="AM13" s="784"/>
      <c r="AN13" s="784" t="str">
        <f>IF(T13="","",T13)</f>
        <v>Добавить территорию для дифференциации</v>
      </c>
      <c r="AO13" s="784"/>
      <c r="AP13" s="784"/>
      <c r="AQ13" s="795">
        <v>0</v>
      </c>
    </row>
    <row customHeight="1" ht="14.25" hidden="1">
      <c r="AB14" s="611"/>
      <c r="AI14" s="611"/>
      <c r="AQ14" s="1439">
        <v>0</v>
      </c>
    </row>
    <row customHeight="1" ht="14.25" hidden="1">
      <c r="AC15" s="1644"/>
      <c r="AD15" s="1644"/>
      <c r="AE15" s="1645"/>
      <c r="AF15" s="2551"/>
      <c r="AG15" s="2552" t="s">
        <v>64</v>
      </c>
      <c r="AH15" s="2551"/>
      <c r="AI15" s="2552" t="s">
        <v>64</v>
      </c>
      <c r="AQ15" s="1439">
        <v>0</v>
      </c>
    </row>
    <row customHeight="1" ht="14.25" hidden="1">
      <c r="AC16" s="1644"/>
      <c r="AD16" s="1644"/>
      <c r="AE16" s="612" t="str">
        <f>AF15&amp;"-"&amp;AH15</f>
        <v>-</v>
      </c>
      <c r="AF16" s="2552"/>
      <c r="AG16" s="2552"/>
      <c r="AH16" s="2552"/>
      <c r="AI16" s="2552"/>
      <c r="AQ16" s="1439">
        <v>0</v>
      </c>
    </row>
    <row customHeight="1" ht="14.25" hidden="1">
      <c r="AI17" s="611"/>
      <c r="AQ17" s="1439">
        <v>0</v>
      </c>
    </row>
    <row s="30620" customFormat="1" customHeight="1" ht="22.5" hidden="1">
      <c r="L18" s="1731"/>
      <c r="M18" s="1646"/>
      <c r="N18" s="1646"/>
      <c r="O18" s="1651" t="s">
        <v>474</v>
      </c>
      <c r="P18" s="1646"/>
      <c r="Q18" s="1655"/>
      <c r="R18" s="1655"/>
      <c r="S18" s="1013"/>
      <c r="Y18" s="1651"/>
      <c r="AA18" s="1651"/>
      <c r="AB18" s="1650"/>
      <c r="AF18" s="1651"/>
      <c r="AH18" s="1651"/>
      <c r="AI18" s="1650"/>
      <c r="AL18" s="795"/>
      <c r="AM18" s="795"/>
      <c r="AN18" s="795"/>
      <c r="AO18" s="795"/>
      <c r="AP18" s="795"/>
      <c r="AQ18" s="1444">
        <v>0</v>
      </c>
    </row>
    <row s="30620" customFormat="1" customHeight="1" ht="14.25" hidden="1">
      <c r="L19" s="1731"/>
      <c r="M19" s="1646"/>
      <c r="N19" s="1646"/>
      <c r="O19" s="1646"/>
      <c r="P19" s="1646"/>
      <c r="Q19" s="1655"/>
      <c r="R19" s="1655"/>
      <c r="S19" s="1013"/>
      <c r="AB19" s="1650"/>
      <c r="AI19" s="1650"/>
      <c r="AL19" s="795"/>
      <c r="AM19" s="795"/>
      <c r="AN19" s="795"/>
      <c r="AO19" s="795"/>
      <c r="AP19" s="795"/>
      <c r="AQ19" s="1444">
        <v>0</v>
      </c>
    </row>
    <row s="30620" customFormat="1" customHeight="1" ht="12" hidden="1">
      <c r="L20" s="1731"/>
      <c r="M20" s="1646"/>
      <c r="N20" s="1646"/>
      <c r="O20" s="1648" t="s">
        <v>475</v>
      </c>
      <c r="P20" s="1646"/>
      <c r="Q20" s="1726"/>
      <c r="R20" s="1726"/>
      <c r="S20" s="1013"/>
      <c r="T20" s="1444" t="s">
        <v>476</v>
      </c>
      <c r="Z20" s="470" t="s">
        <v>477</v>
      </c>
      <c r="AB20" s="470" t="s">
        <v>478</v>
      </c>
      <c r="AC20" s="1444" t="s">
        <v>476</v>
      </c>
      <c r="AG20" s="470" t="s">
        <v>479</v>
      </c>
      <c r="AI20" s="470" t="s">
        <v>478</v>
      </c>
      <c r="AQ20" s="1444">
        <v>0</v>
      </c>
    </row>
    <row customHeight="1" ht="14.25" hidden="1">
      <c r="O21" s="1648"/>
      <c r="AQ21" s="1439">
        <v>0</v>
      </c>
    </row>
    <row customHeight="1" ht="14.25" hidden="1">
      <c r="O22" s="1648"/>
      <c r="AQ22" s="1439">
        <v>0</v>
      </c>
    </row>
    <row customHeight="1" ht="14.699999999999998">
      <c r="Q23" s="660"/>
      <c r="R23" s="660"/>
      <c r="S23" s="1559"/>
      <c r="T23" s="647"/>
      <c r="U23" s="647"/>
      <c r="V23" s="793"/>
      <c r="W23" s="793"/>
      <c r="X23" s="793"/>
      <c r="Y23" s="793"/>
      <c r="Z23" s="793"/>
      <c r="AA23" s="793"/>
      <c r="AB23" s="793"/>
      <c r="AC23" s="793"/>
      <c r="AD23" s="793"/>
      <c r="AE23" s="793"/>
      <c r="AF23" s="793"/>
      <c r="AG23" s="793"/>
      <c r="AH23" s="793"/>
      <c r="AI23" s="793"/>
      <c r="AQ23" s="1439">
        <v>14</v>
      </c>
    </row>
    <row customHeight="1" ht="14.699999999999998">
      <c r="Q24" s="660"/>
      <c r="R24" s="660"/>
      <c r="S24" s="2532"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532"/>
      <c r="U24" s="2532"/>
      <c r="V24" s="2532"/>
      <c r="W24" s="2532"/>
      <c r="X24" s="2532"/>
      <c r="Y24" s="2532"/>
      <c r="Z24" s="2532"/>
      <c r="AA24" s="2532"/>
      <c r="AB24" s="2532"/>
      <c r="AC24" s="2532"/>
      <c r="AD24" s="2532"/>
      <c r="AE24" s="2532"/>
      <c r="AF24" s="2532"/>
      <c r="AG24" s="2532"/>
      <c r="AH24" s="2532"/>
      <c r="AI24" s="1527"/>
      <c r="AQ24" s="1439">
        <v>14</v>
      </c>
    </row>
    <row customHeight="1" ht="14.699999999999998">
      <c r="Q25" s="660"/>
      <c r="R25" s="660"/>
      <c r="S25" s="2533" t="str">
        <f>IF(org=0,"Не определено",org)</f>
        <v>АО "ДГК"</v>
      </c>
      <c r="T25" s="2533"/>
      <c r="U25" s="2533"/>
      <c r="V25" s="2533"/>
      <c r="W25" s="2533"/>
      <c r="X25" s="2533"/>
      <c r="Y25" s="2533"/>
      <c r="Z25" s="2533"/>
      <c r="AA25" s="2533"/>
      <c r="AB25" s="2533"/>
      <c r="AC25" s="2533"/>
      <c r="AD25" s="2533"/>
      <c r="AE25" s="2533"/>
      <c r="AF25" s="2533"/>
      <c r="AG25" s="2533"/>
      <c r="AH25" s="2533"/>
      <c r="AI25" s="1527"/>
      <c r="AQ25" s="1439">
        <v>14</v>
      </c>
    </row>
    <row customHeight="1" ht="14.25">
      <c r="Q26" s="660"/>
      <c r="R26" s="660"/>
      <c r="S26" s="1559"/>
      <c r="T26" s="647"/>
      <c r="U26" s="647"/>
      <c r="V26" s="606"/>
      <c r="W26" s="606"/>
      <c r="X26" s="606"/>
      <c r="Y26" s="606"/>
      <c r="Z26" s="606"/>
      <c r="AA26" s="606"/>
      <c r="AB26" s="606"/>
      <c r="AC26" s="606"/>
      <c r="AD26" s="606"/>
      <c r="AE26" s="606"/>
      <c r="AF26" s="606"/>
      <c r="AG26" s="606"/>
      <c r="AH26" s="606"/>
      <c r="AI26" s="606"/>
      <c r="AJ26" s="793"/>
      <c r="AQ26" s="1439">
        <v>0</v>
      </c>
    </row>
    <row s="30764" customFormat="1" customHeight="1" ht="25.5">
      <c r="A27" s="1652"/>
      <c r="B27" s="1652"/>
      <c r="C27" s="1652"/>
      <c r="D27" s="1652"/>
      <c r="E27" s="1652"/>
      <c r="F27" s="1652"/>
      <c r="G27" s="1652"/>
      <c r="H27" s="1652"/>
      <c r="I27" s="1652"/>
      <c r="J27" s="1652"/>
      <c r="K27" s="1652"/>
      <c r="L27" s="1653"/>
      <c r="M27" s="1652"/>
      <c r="N27" s="1652"/>
      <c r="O27" s="1652"/>
      <c r="S27" s="2534" t="s">
        <v>42</v>
      </c>
      <c r="T27" s="2534"/>
      <c r="U27" s="1656"/>
      <c r="V27" s="2535" t="str">
        <f>IF(TITLE_NAME_OR_PR_CHANGE="",IF(TITLE_NAME_OR_PR="","",TITLE_NAME_OR_PR),TITLE_NAME_OR_PR_CHANGE)</f>
        <v>Комитет по ценам и тарифам Правительства Хабаровского края</v>
      </c>
      <c r="W27" s="2535"/>
      <c r="X27" s="2535"/>
      <c r="Y27" s="2535"/>
      <c r="Z27" s="2535"/>
      <c r="AA27" s="2535"/>
      <c r="AB27" s="610"/>
      <c r="AC27" s="2535" t="str">
        <f>IF(TITLE_NAME_OR_PR_CHANGE="",IF(TITLE_NAME_OR_PR="","",TITLE_NAME_OR_PR),TITLE_NAME_OR_PR_CHANGE)</f>
        <v>Комитет по ценам и тарифам Правительства Хабаровского края</v>
      </c>
      <c r="AD27" s="2535"/>
      <c r="AE27" s="2535"/>
      <c r="AF27" s="2535"/>
      <c r="AG27" s="2535"/>
      <c r="AH27" s="2535"/>
      <c r="AI27" s="610"/>
      <c r="AJ27" s="610"/>
      <c r="AK27" s="564"/>
      <c r="AL27" s="652"/>
      <c r="AM27" s="652"/>
      <c r="AN27" s="652"/>
      <c r="AO27" s="652"/>
      <c r="AP27" s="652"/>
      <c r="AQ27" s="702">
        <v>0</v>
      </c>
    </row>
    <row s="30764" customFormat="1" customHeight="1" ht="18.75">
      <c r="A28" s="1652"/>
      <c r="B28" s="1652"/>
      <c r="C28" s="1652"/>
      <c r="D28" s="1652"/>
      <c r="E28" s="1652"/>
      <c r="F28" s="1652"/>
      <c r="G28" s="1652"/>
      <c r="H28" s="1652"/>
      <c r="I28" s="1652"/>
      <c r="J28" s="1652"/>
      <c r="K28" s="1652"/>
      <c r="L28" s="1653"/>
      <c r="M28" s="1652"/>
      <c r="N28" s="1652"/>
      <c r="O28" s="1652"/>
      <c r="S28" s="2534" t="s">
        <v>480</v>
      </c>
      <c r="T28" s="2534"/>
      <c r="U28" s="1656"/>
      <c r="V28" s="2548" t="str">
        <f>IF(TITLE_DATE_PR_CHANGE="",IF(TITLE_DATE_PR="","",TITLE_DATE_PR),TITLE_DATE_PR_CHANGE)</f>
        <v>45645</v>
      </c>
      <c r="W28" s="2548"/>
      <c r="X28" s="2548"/>
      <c r="Y28" s="2548"/>
      <c r="Z28" s="2548"/>
      <c r="AA28" s="2548"/>
      <c r="AB28" s="610"/>
      <c r="AC28" s="2548" t="str">
        <f>IF(TITLE_DATE_PR_CHANGE="",IF(TITLE_DATE_PR="","",TITLE_DATE_PR),TITLE_DATE_PR_CHANGE)</f>
        <v>45645</v>
      </c>
      <c r="AD28" s="2548"/>
      <c r="AE28" s="2548"/>
      <c r="AF28" s="2548"/>
      <c r="AG28" s="2548"/>
      <c r="AH28" s="2548"/>
      <c r="AI28" s="610"/>
      <c r="AJ28" s="610"/>
      <c r="AK28" s="564"/>
      <c r="AL28" s="652"/>
      <c r="AM28" s="652"/>
      <c r="AN28" s="652"/>
      <c r="AO28" s="652"/>
      <c r="AP28" s="652"/>
      <c r="AQ28" s="702">
        <v>0</v>
      </c>
    </row>
    <row s="30764" customFormat="1" customHeight="1" ht="18.75">
      <c r="A29" s="1652"/>
      <c r="B29" s="1652"/>
      <c r="C29" s="1652"/>
      <c r="D29" s="1652"/>
      <c r="E29" s="1652"/>
      <c r="F29" s="1652"/>
      <c r="G29" s="1652"/>
      <c r="H29" s="1652"/>
      <c r="I29" s="1652"/>
      <c r="J29" s="1652"/>
      <c r="K29" s="1652"/>
      <c r="L29" s="1653"/>
      <c r="M29" s="1652"/>
      <c r="N29" s="1652"/>
      <c r="O29" s="1652"/>
      <c r="S29" s="2534" t="s">
        <v>481</v>
      </c>
      <c r="T29" s="2534"/>
      <c r="U29" s="1656"/>
      <c r="V29" s="2535" t="str">
        <f>IF(TITLE_NUMBER_PR_CHANGE="",IF(TITLE_NUMBER_PR="","",TITLE_NUMBER_PR),TITLE_NUMBER_PR_CHANGE)</f>
        <v>№ 40/8</v>
      </c>
      <c r="W29" s="2535"/>
      <c r="X29" s="2535"/>
      <c r="Y29" s="2535"/>
      <c r="Z29" s="2535"/>
      <c r="AA29" s="2535"/>
      <c r="AB29" s="610"/>
      <c r="AC29" s="2535" t="str">
        <f>IF(TITLE_NUMBER_PR_CHANGE="",IF(TITLE_NUMBER_PR="","",TITLE_NUMBER_PR),TITLE_NUMBER_PR_CHANGE)</f>
        <v>№ 40/8</v>
      </c>
      <c r="AD29" s="2535"/>
      <c r="AE29" s="2535"/>
      <c r="AF29" s="2535"/>
      <c r="AG29" s="2535"/>
      <c r="AH29" s="2535"/>
      <c r="AI29" s="610"/>
      <c r="AJ29" s="610"/>
      <c r="AK29" s="564"/>
      <c r="AL29" s="652"/>
      <c r="AM29" s="652"/>
      <c r="AN29" s="652"/>
      <c r="AO29" s="652"/>
      <c r="AP29" s="652"/>
      <c r="AQ29" s="702">
        <v>0</v>
      </c>
    </row>
    <row s="30764" customFormat="1" customHeight="1" ht="18.75">
      <c r="A30" s="1652"/>
      <c r="B30" s="1652"/>
      <c r="C30" s="1652"/>
      <c r="D30" s="1652"/>
      <c r="E30" s="1652"/>
      <c r="F30" s="1652"/>
      <c r="G30" s="1652"/>
      <c r="H30" s="1652"/>
      <c r="I30" s="1652"/>
      <c r="J30" s="1652"/>
      <c r="K30" s="1652"/>
      <c r="L30" s="1653"/>
      <c r="M30" s="1652"/>
      <c r="N30" s="1652"/>
      <c r="O30" s="1652"/>
      <c r="S30" s="2534" t="s">
        <v>44</v>
      </c>
      <c r="T30" s="2534"/>
      <c r="U30" s="1656"/>
      <c r="V30" s="2535" t="str">
        <f>IF(TITLE_IST_PUB_CHANGE="",IF(TITLE_IST_PUB="","",TITLE_IST_PUB),TITLE_IST_PUB_CHANGE)</f>
        <v>Официальный интернет - портал нормативных правовых актов Хабаровского края https://laws.khv.gov.ru/</v>
      </c>
      <c r="W30" s="2535"/>
      <c r="X30" s="2535"/>
      <c r="Y30" s="2535"/>
      <c r="Z30" s="2535"/>
      <c r="AA30" s="2535"/>
      <c r="AB30" s="610"/>
      <c r="AC30" s="2535" t="str">
        <f>IF(TITLE_IST_PUB_CHANGE="",IF(TITLE_IST_PUB="","",TITLE_IST_PUB),TITLE_IST_PUB_CHANGE)</f>
        <v>Официальный интернет - портал нормативных правовых актов Хабаровского края https://laws.khv.gov.ru/</v>
      </c>
      <c r="AD30" s="2535"/>
      <c r="AE30" s="2535"/>
      <c r="AF30" s="2535"/>
      <c r="AG30" s="2535"/>
      <c r="AH30" s="2535"/>
      <c r="AI30" s="610"/>
      <c r="AJ30" s="610"/>
      <c r="AK30" s="564"/>
      <c r="AL30" s="652"/>
      <c r="AM30" s="652"/>
      <c r="AN30" s="652"/>
      <c r="AO30" s="652"/>
      <c r="AP30" s="652"/>
      <c r="AQ30" s="702">
        <v>0</v>
      </c>
    </row>
    <row customHeight="1" ht="14.25" hidden="1">
      <c r="Q31" s="660"/>
      <c r="R31" s="660"/>
      <c r="S31" s="1559"/>
      <c r="T31" s="647"/>
      <c r="U31" s="647"/>
      <c r="V31" s="606"/>
      <c r="W31" s="606"/>
      <c r="X31" s="606"/>
      <c r="Y31" s="606"/>
      <c r="Z31" s="606"/>
      <c r="AA31" s="606"/>
      <c r="AB31" s="606"/>
      <c r="AC31" s="606"/>
      <c r="AD31" s="606"/>
      <c r="AE31" s="606"/>
      <c r="AF31" s="606"/>
      <c r="AG31" s="606"/>
      <c r="AH31" s="606"/>
      <c r="AI31" s="606"/>
      <c r="AJ31" s="793"/>
      <c r="AQ31" s="1439">
        <v>0</v>
      </c>
    </row>
    <row s="30764" customFormat="1" customHeight="1" ht="18.75" hidden="1">
      <c r="A32" s="1652"/>
      <c r="B32" s="1652"/>
      <c r="C32" s="1652"/>
      <c r="D32" s="1652"/>
      <c r="E32" s="1652"/>
      <c r="F32" s="1652"/>
      <c r="G32" s="1652"/>
      <c r="H32" s="1652"/>
      <c r="I32" s="1652"/>
      <c r="J32" s="1652"/>
      <c r="K32" s="1652"/>
      <c r="L32" s="1653"/>
      <c r="M32" s="1652"/>
      <c r="N32" s="1652"/>
      <c r="O32" s="1652"/>
      <c r="S32" s="2534" t="s">
        <v>482</v>
      </c>
      <c r="T32" s="2534"/>
      <c r="U32" s="1656"/>
      <c r="V32" s="2548" t="str">
        <f>IF(TITLE_DATE_PR_CHANGE="",IF(TITLE_DATE_PR="","",TITLE_DATE_PR),TITLE_DATE_PR_CHANGE)</f>
        <v>45645</v>
      </c>
      <c r="W32" s="2548"/>
      <c r="X32" s="2548"/>
      <c r="Y32" s="2548"/>
      <c r="Z32" s="2548"/>
      <c r="AA32" s="2548"/>
      <c r="AB32" s="610"/>
      <c r="AC32" s="2548" t="str">
        <f>IF(TITLE_DATE_PR_CHANGE="",IF(TITLE_DATE_PR="","",TITLE_DATE_PR),TITLE_DATE_PR_CHANGE)</f>
        <v>45645</v>
      </c>
      <c r="AD32" s="2548"/>
      <c r="AE32" s="2548"/>
      <c r="AF32" s="2548"/>
      <c r="AG32" s="2548"/>
      <c r="AH32" s="2548"/>
      <c r="AI32" s="610"/>
      <c r="AJ32" s="610"/>
      <c r="AK32" s="564"/>
      <c r="AL32" s="652"/>
      <c r="AM32" s="652"/>
      <c r="AN32" s="652"/>
      <c r="AO32" s="652"/>
      <c r="AP32" s="652"/>
      <c r="AQ32" s="702">
        <v>0</v>
      </c>
    </row>
    <row s="30764" customFormat="1" customHeight="1" ht="18.75" hidden="1">
      <c r="A33" s="1652"/>
      <c r="B33" s="1652"/>
      <c r="C33" s="1652"/>
      <c r="D33" s="1652"/>
      <c r="E33" s="1652"/>
      <c r="F33" s="1652"/>
      <c r="G33" s="1652"/>
      <c r="H33" s="1652"/>
      <c r="I33" s="1652"/>
      <c r="J33" s="1652"/>
      <c r="K33" s="1652"/>
      <c r="L33" s="1653"/>
      <c r="M33" s="1652"/>
      <c r="N33" s="1652"/>
      <c r="O33" s="1652"/>
      <c r="S33" s="2534" t="s">
        <v>483</v>
      </c>
      <c r="T33" s="2534"/>
      <c r="U33" s="1656"/>
      <c r="V33" s="2535" t="str">
        <f>IF(TITLE_NUMBER_PR_CHANGE="",IF(TITLE_NUMBER_PR="","",TITLE_NUMBER_PR),TITLE_NUMBER_PR_CHANGE)</f>
        <v>№ 40/8</v>
      </c>
      <c r="W33" s="2535"/>
      <c r="X33" s="2535"/>
      <c r="Y33" s="2535"/>
      <c r="Z33" s="2535"/>
      <c r="AA33" s="2535"/>
      <c r="AB33" s="610"/>
      <c r="AC33" s="2535" t="str">
        <f>IF(TITLE_NUMBER_PR_CHANGE="",IF(TITLE_NUMBER_PR="","",TITLE_NUMBER_PR),TITLE_NUMBER_PR_CHANGE)</f>
        <v>№ 40/8</v>
      </c>
      <c r="AD33" s="2535"/>
      <c r="AE33" s="2535"/>
      <c r="AF33" s="2535"/>
      <c r="AG33" s="2535"/>
      <c r="AH33" s="2535"/>
      <c r="AI33" s="610"/>
      <c r="AJ33" s="610"/>
      <c r="AK33" s="564"/>
      <c r="AL33" s="652"/>
      <c r="AM33" s="652"/>
      <c r="AN33" s="652"/>
      <c r="AO33" s="652"/>
      <c r="AP33" s="652"/>
      <c r="AQ33" s="702">
        <v>0</v>
      </c>
    </row>
    <row s="30764" customFormat="1" customHeight="1" ht="1.05">
      <c r="A34" s="1652"/>
      <c r="B34" s="1652"/>
      <c r="C34" s="1652"/>
      <c r="D34" s="1652"/>
      <c r="E34" s="1652"/>
      <c r="F34" s="1652"/>
      <c r="G34" s="1652"/>
      <c r="H34" s="1652"/>
      <c r="I34" s="1652"/>
      <c r="J34" s="1652"/>
      <c r="K34" s="1652"/>
      <c r="L34" s="1653"/>
      <c r="M34" s="1652"/>
      <c r="N34" s="1652"/>
      <c r="O34" s="1652"/>
      <c r="S34" s="607"/>
      <c r="T34" s="607"/>
      <c r="U34" s="1738"/>
      <c r="V34" s="610"/>
      <c r="W34" s="610"/>
      <c r="X34" s="610"/>
      <c r="Y34" s="610"/>
      <c r="Z34" s="610"/>
      <c r="AA34" s="610"/>
      <c r="AB34" s="562" t="s">
        <v>484</v>
      </c>
      <c r="AC34" s="610"/>
      <c r="AD34" s="610"/>
      <c r="AE34" s="610"/>
      <c r="AF34" s="610"/>
      <c r="AG34" s="610"/>
      <c r="AH34" s="610"/>
      <c r="AI34" s="562" t="s">
        <v>484</v>
      </c>
      <c r="AL34" s="652"/>
      <c r="AM34" s="652"/>
      <c r="AN34" s="652"/>
      <c r="AO34" s="652"/>
      <c r="AP34" s="652"/>
      <c r="AQ34" s="702">
        <v>1</v>
      </c>
    </row>
    <row customHeight="1" ht="14.699999999999998">
      <c r="Q35" s="660"/>
      <c r="R35" s="660"/>
      <c r="S35" s="1559"/>
      <c r="T35" s="647"/>
      <c r="U35" s="1528"/>
      <c r="V35" s="2536"/>
      <c r="W35" s="2536"/>
      <c r="X35" s="2536"/>
      <c r="Y35" s="2536"/>
      <c r="Z35" s="2536"/>
      <c r="AA35" s="2536"/>
      <c r="AB35" s="2536"/>
      <c r="AC35" s="2536"/>
      <c r="AD35" s="2536"/>
      <c r="AE35" s="2536"/>
      <c r="AF35" s="2536"/>
      <c r="AG35" s="2536"/>
      <c r="AH35" s="2536"/>
      <c r="AI35" s="2536"/>
      <c r="AQ35" s="1439">
        <v>14</v>
      </c>
    </row>
    <row customHeight="1" ht="14.699999999999998">
      <c r="Q36" s="660"/>
      <c r="R36" s="660"/>
      <c r="S36" s="2411" t="s">
        <v>360</v>
      </c>
      <c r="T36" s="2411"/>
      <c r="U36" s="2411"/>
      <c r="V36" s="2411"/>
      <c r="W36" s="2411"/>
      <c r="X36" s="2411"/>
      <c r="Y36" s="2411"/>
      <c r="Z36" s="2411"/>
      <c r="AA36" s="2411"/>
      <c r="AB36" s="2411"/>
      <c r="AC36" s="2411"/>
      <c r="AD36" s="2411"/>
      <c r="AE36" s="2411"/>
      <c r="AF36" s="2411"/>
      <c r="AG36" s="2411"/>
      <c r="AH36" s="2411"/>
      <c r="AI36" s="2411"/>
      <c r="AJ36" s="2411"/>
      <c r="AK36" s="2411" t="s">
        <v>361</v>
      </c>
      <c r="AQ36" s="1439">
        <v>14</v>
      </c>
    </row>
    <row customHeight="1" ht="14.699999999999998">
      <c r="Q37" s="660"/>
      <c r="R37" s="660"/>
      <c r="S37" s="2557" t="s">
        <v>91</v>
      </c>
      <c r="T37" s="2493" t="s">
        <v>485</v>
      </c>
      <c r="U37" s="585"/>
      <c r="V37" s="2558" t="s">
        <v>486</v>
      </c>
      <c r="W37" s="2559"/>
      <c r="X37" s="2559"/>
      <c r="Y37" s="2559"/>
      <c r="Z37" s="2559"/>
      <c r="AA37" s="2560"/>
      <c r="AB37" s="2561" t="s">
        <v>487</v>
      </c>
      <c r="AC37" s="2558" t="s">
        <v>486</v>
      </c>
      <c r="AD37" s="2559"/>
      <c r="AE37" s="2559"/>
      <c r="AF37" s="2559"/>
      <c r="AG37" s="2559"/>
      <c r="AH37" s="2560"/>
      <c r="AI37" s="2561" t="s">
        <v>488</v>
      </c>
      <c r="AJ37" s="2564" t="s">
        <v>489</v>
      </c>
      <c r="AK37" s="2411"/>
      <c r="AQ37" s="1439">
        <v>14</v>
      </c>
    </row>
    <row customHeight="1" ht="35.699999999999996">
      <c r="Q38" s="660"/>
      <c r="R38" s="660"/>
      <c r="S38" s="2557"/>
      <c r="T38" s="2493"/>
      <c r="U38" s="1315"/>
      <c r="V38" s="1736" t="s">
        <v>561</v>
      </c>
      <c r="W38" s="2546" t="s">
        <v>492</v>
      </c>
      <c r="X38" s="2547"/>
      <c r="Y38" s="2546" t="s">
        <v>493</v>
      </c>
      <c r="Z38" s="2553"/>
      <c r="AA38" s="2547"/>
      <c r="AB38" s="2562"/>
      <c r="AC38" s="1736" t="s">
        <v>561</v>
      </c>
      <c r="AD38" s="2546" t="s">
        <v>492</v>
      </c>
      <c r="AE38" s="2547"/>
      <c r="AF38" s="2546" t="s">
        <v>493</v>
      </c>
      <c r="AG38" s="2553"/>
      <c r="AH38" s="2547"/>
      <c r="AI38" s="2562"/>
      <c r="AJ38" s="2565"/>
      <c r="AK38" s="2411"/>
      <c r="AQ38" s="1439">
        <v>34</v>
      </c>
    </row>
    <row customHeight="1" ht="35.699999999999996">
      <c r="A39" s="1654"/>
      <c r="B39" s="1654" t="s">
        <v>165</v>
      </c>
      <c r="C39" s="1654" t="s">
        <v>166</v>
      </c>
      <c r="D39" s="1654" t="s">
        <v>167</v>
      </c>
      <c r="E39" s="1648" t="s">
        <v>494</v>
      </c>
      <c r="F39" s="1648" t="s">
        <v>495</v>
      </c>
      <c r="G39" s="1648" t="s">
        <v>496</v>
      </c>
      <c r="H39" s="1648"/>
      <c r="I39" s="1648" t="s">
        <v>562</v>
      </c>
      <c r="J39" s="1648" t="s">
        <v>499</v>
      </c>
      <c r="K39" s="1648" t="s">
        <v>563</v>
      </c>
      <c r="L39" s="1648" t="s">
        <v>475</v>
      </c>
      <c r="Q39" s="660"/>
      <c r="R39" s="660"/>
      <c r="S39" s="2557"/>
      <c r="T39" s="2493"/>
      <c r="U39" s="586"/>
      <c r="V39" s="1736" t="s">
        <v>564</v>
      </c>
      <c r="W39" s="1506" t="s">
        <v>565</v>
      </c>
      <c r="X39" s="1506" t="s">
        <v>566</v>
      </c>
      <c r="Y39" s="1739" t="s">
        <v>503</v>
      </c>
      <c r="Z39" s="2554" t="s">
        <v>504</v>
      </c>
      <c r="AA39" s="2555"/>
      <c r="AB39" s="2563"/>
      <c r="AC39" s="1736" t="s">
        <v>564</v>
      </c>
      <c r="AD39" s="1506" t="s">
        <v>565</v>
      </c>
      <c r="AE39" s="1506" t="s">
        <v>566</v>
      </c>
      <c r="AF39" s="1739" t="s">
        <v>503</v>
      </c>
      <c r="AG39" s="2554" t="s">
        <v>504</v>
      </c>
      <c r="AH39" s="2555"/>
      <c r="AI39" s="2563"/>
      <c r="AJ39" s="2566"/>
      <c r="AK39" s="2411"/>
      <c r="AQ39" s="1439">
        <v>34</v>
      </c>
    </row>
    <row s="31261" customFormat="1" customHeight="1" ht="0">
      <c r="A40" s="1654"/>
      <c r="B40" s="1654"/>
      <c r="C40" s="1654"/>
      <c r="D40" s="1654"/>
      <c r="E40" s="1654"/>
      <c r="F40" s="1654"/>
      <c r="G40" s="1654"/>
      <c r="H40" s="1654"/>
      <c r="I40" s="1654"/>
      <c r="J40" s="1654"/>
      <c r="K40" s="1654"/>
      <c r="L40" s="1648"/>
      <c r="M40" s="1646"/>
      <c r="N40" s="1646"/>
      <c r="O40" s="1646"/>
      <c r="P40" s="1530"/>
      <c r="Q40" s="1531"/>
      <c r="R40" s="1538">
        <v>1</v>
      </c>
      <c r="S40" s="1561" t="s">
        <v>141</v>
      </c>
      <c r="T40" s="1539" t="s">
        <v>105</v>
      </c>
      <c r="U40" s="1529" t="str">
        <f>OFFSET(U40,0,-1)</f>
        <v>2</v>
      </c>
      <c r="V40" s="1735">
        <f>OFFSET(V40,0,-1)+1</f>
        <v>3</v>
      </c>
      <c r="W40" s="1735">
        <f>OFFSET(W40,0,-1)+1</f>
        <v>4</v>
      </c>
      <c r="X40" s="1735">
        <f>OFFSET(X40,0,-1)+1</f>
        <v>5</v>
      </c>
      <c r="Y40" s="1735">
        <f>OFFSET(Y40,0,-1)+1</f>
        <v>6</v>
      </c>
      <c r="Z40" s="2556">
        <f>OFFSET(Z40,0,-1)+1</f>
        <v>7</v>
      </c>
      <c r="AA40" s="2556"/>
      <c r="AB40" s="1735">
        <f>OFFSET(AB40,0,-2)+1</f>
        <v>8</v>
      </c>
      <c r="AC40" s="1735">
        <f>OFFSET(AC40,0,-1)+1</f>
        <v>9</v>
      </c>
      <c r="AD40" s="1735">
        <f>OFFSET(AD40,0,-1)+1</f>
        <v>10</v>
      </c>
      <c r="AE40" s="1735">
        <f>OFFSET(AE40,0,-1)+1</f>
        <v>11</v>
      </c>
      <c r="AF40" s="1735">
        <f>OFFSET(AF40,0,-1)+1</f>
        <v>12</v>
      </c>
      <c r="AG40" s="2556">
        <f>OFFSET(AG40,0,-1)+1</f>
        <v>13</v>
      </c>
      <c r="AH40" s="2556"/>
      <c r="AI40" s="1735">
        <f>OFFSET(AI40,0,-2)+1</f>
        <v>14</v>
      </c>
      <c r="AJ40" s="1529">
        <f>OFFSET(AJ40,0,-1)</f>
        <v>14</v>
      </c>
      <c r="AK40" s="1735">
        <f>OFFSET(AK40,0,-1)+1</f>
        <v>15</v>
      </c>
      <c r="AL40" s="795"/>
      <c r="AM40" s="795"/>
      <c r="AN40" s="795"/>
      <c r="AO40" s="795"/>
      <c r="AP40" s="795"/>
      <c r="AQ40" s="780">
        <v>0</v>
      </c>
    </row>
    <row customHeight="1" ht="24">
      <c r="A41" s="1647" t="s">
        <v>291</v>
      </c>
      <c r="B41" s="1647"/>
      <c r="C41" s="1647"/>
      <c r="D41" s="1647"/>
      <c r="E41" s="2542">
        <v>1</v>
      </c>
      <c r="F41" s="1647"/>
      <c r="G41" s="1647"/>
      <c r="H41" s="1647"/>
      <c r="I41" s="1647"/>
      <c r="J41" s="1647"/>
      <c r="K41" s="1647"/>
      <c r="L41" s="1648"/>
      <c r="M41" s="1649"/>
      <c r="N41" s="1649"/>
      <c r="O41" s="1649"/>
      <c r="P41" s="645"/>
      <c r="Q41" s="644"/>
      <c r="R41" s="639"/>
      <c r="S41" s="1741">
        <f>INDEX(PT_DIFFERENTIATION_NUM_NTAR,MATCH(A41,PT_DIFFERENTIATION_NTAR_ID,0))</f>
        <v>0</v>
      </c>
      <c r="T41" s="582" t="s">
        <v>153</v>
      </c>
      <c r="U41" s="584"/>
      <c r="V41" s="2526"/>
      <c r="W41" s="2527"/>
      <c r="X41" s="2527"/>
      <c r="Y41" s="2527"/>
      <c r="Z41" s="2527"/>
      <c r="AA41" s="2527"/>
      <c r="AB41" s="2528"/>
      <c r="AC41" s="2526" t="str">
        <f>INDEX(PT_DIFFERENTIATION_NTAR,MATCH(A41,PT_DIFFERENTIATION_NTAR_ID,0))</f>
        <v/>
      </c>
      <c r="AD41" s="2527"/>
      <c r="AE41" s="2527"/>
      <c r="AF41" s="2527"/>
      <c r="AG41" s="2527"/>
      <c r="AH41" s="2527"/>
      <c r="AI41" s="2527"/>
      <c r="AJ41" s="2528"/>
      <c r="AK41"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784"/>
      <c r="AN41" s="784" t="str">
        <f>IF(T41="","",T41)</f>
        <v>Наименование тарифа</v>
      </c>
      <c r="AO41" s="784"/>
      <c r="AP41" s="784"/>
      <c r="AQ41" s="1439">
        <v>23</v>
      </c>
    </row>
    <row customHeight="1" ht="24">
      <c r="A42" s="1647" t="s">
        <v>291</v>
      </c>
      <c r="B42" s="1647" t="s">
        <v>292</v>
      </c>
      <c r="C42" s="1647"/>
      <c r="D42" s="1647"/>
      <c r="E42" s="2543"/>
      <c r="F42" s="2542">
        <v>1</v>
      </c>
      <c r="G42" s="1647"/>
      <c r="H42" s="1647"/>
      <c r="I42" s="1647"/>
      <c r="J42" s="1647"/>
      <c r="K42" s="1647"/>
      <c r="L42" s="1648"/>
      <c r="M42" s="1649"/>
      <c r="N42" s="1649"/>
      <c r="O42" s="1649"/>
      <c r="P42" s="1737"/>
      <c r="Q42" s="636"/>
      <c r="R42" s="637"/>
      <c r="S42" s="1741" t="str">
        <f>INDEX(PT_DIFFERENTIATION_NUM_TER,MATCH(B42,PT_DIFFERENTIATION_TER_ID,0))</f>
        <v>.</v>
      </c>
      <c r="T42" s="592" t="s">
        <v>457</v>
      </c>
      <c r="U42" s="584"/>
      <c r="V42" s="2526"/>
      <c r="W42" s="2527"/>
      <c r="X42" s="2527"/>
      <c r="Y42" s="2527"/>
      <c r="Z42" s="2527"/>
      <c r="AA42" s="2527"/>
      <c r="AB42" s="2528"/>
      <c r="AC42" s="2526" t="str">
        <f>INDEX(PT_DIFFERENTIATION_TER,MATCH(B42,PT_DIFFERENTIATION_TER_ID,0))</f>
        <v/>
      </c>
      <c r="AD42" s="2527"/>
      <c r="AE42" s="2527"/>
      <c r="AF42" s="2527"/>
      <c r="AG42" s="2527"/>
      <c r="AH42" s="2527"/>
      <c r="AI42" s="2527"/>
      <c r="AJ42" s="2528"/>
      <c r="AK42" s="1542" t="s">
        <v>458</v>
      </c>
      <c r="AM42" s="784"/>
      <c r="AN42" s="784" t="str">
        <f>IF(T42="","",T42)</f>
        <v>Территория действия тарифа</v>
      </c>
      <c r="AO42" s="784"/>
      <c r="AP42" s="784"/>
      <c r="AQ42" s="1439">
        <v>23</v>
      </c>
    </row>
    <row customHeight="1" ht="24">
      <c r="A43" s="1647" t="s">
        <v>291</v>
      </c>
      <c r="B43" s="1647" t="s">
        <v>292</v>
      </c>
      <c r="C43" s="1647" t="s">
        <v>293</v>
      </c>
      <c r="D43" s="1647"/>
      <c r="E43" s="2543"/>
      <c r="F43" s="2543"/>
      <c r="G43" s="2542">
        <v>1</v>
      </c>
      <c r="H43" s="1647"/>
      <c r="I43" s="1647"/>
      <c r="J43" s="1647"/>
      <c r="K43" s="1647"/>
      <c r="L43" s="1648"/>
      <c r="M43" s="1649"/>
      <c r="N43" s="1649"/>
      <c r="O43" s="1649"/>
      <c r="P43" s="638"/>
      <c r="Q43" s="636"/>
      <c r="R43" s="637"/>
      <c r="S43" s="1741" t="str">
        <f>INDEX(PT_DIFFERENTIATION_NUM_CS,MATCH(C43,PT_DIFFERENTIATION_CS_ID,0))</f>
        <v>..</v>
      </c>
      <c r="T43" s="593" t="s">
        <v>553</v>
      </c>
      <c r="U43" s="584"/>
      <c r="V43" s="2526"/>
      <c r="W43" s="2527"/>
      <c r="X43" s="2527"/>
      <c r="Y43" s="2527"/>
      <c r="Z43" s="2527"/>
      <c r="AA43" s="2527"/>
      <c r="AB43" s="2528"/>
      <c r="AC43" s="2526" t="str">
        <f>INDEX(PT_DIFFERENTIATION_CS,MATCH(C43,PT_DIFFERENTIATION_CS_ID,0))</f>
        <v/>
      </c>
      <c r="AD43" s="2527"/>
      <c r="AE43" s="2527"/>
      <c r="AF43" s="2527"/>
      <c r="AG43" s="2527"/>
      <c r="AH43" s="2527"/>
      <c r="AI43" s="2527"/>
      <c r="AJ43" s="2528"/>
      <c r="AK43" s="1542" t="s">
        <v>554</v>
      </c>
      <c r="AM43" s="784"/>
      <c r="AN43" s="784" t="str">
        <f>IF(T43="","",T43)</f>
        <v>Наименование централизованной системы холодного водоснабжения</v>
      </c>
      <c r="AO43" s="784"/>
      <c r="AP43" s="784"/>
      <c r="AQ43" s="1439">
        <v>23</v>
      </c>
    </row>
    <row customHeight="1" ht="24">
      <c r="A44" s="1647" t="s">
        <v>291</v>
      </c>
      <c r="B44" s="1647" t="s">
        <v>292</v>
      </c>
      <c r="C44" s="1647" t="s">
        <v>293</v>
      </c>
      <c r="D44" s="1647" t="s">
        <v>568</v>
      </c>
      <c r="E44" s="2543"/>
      <c r="F44" s="2543"/>
      <c r="G44" s="2543"/>
      <c r="H44" s="2543"/>
      <c r="I44" s="2540" t="str">
        <f>S43&amp;".1"</f>
        <v>...1</v>
      </c>
      <c r="J44" s="1647"/>
      <c r="K44" s="1647"/>
      <c r="L44" s="1648"/>
      <c r="P44" s="2541">
        <v>1</v>
      </c>
      <c r="Q44" s="1734"/>
      <c r="R44" s="640"/>
      <c r="S44" s="1741" t="str">
        <f>$I44</f>
        <v>...1</v>
      </c>
      <c r="T44" s="569" t="s">
        <v>555</v>
      </c>
      <c r="U44" s="584"/>
      <c r="V44" s="2634"/>
      <c r="W44" s="2635"/>
      <c r="X44" s="2635"/>
      <c r="Y44" s="2635"/>
      <c r="Z44" s="2635"/>
      <c r="AA44" s="2635"/>
      <c r="AB44" s="2636"/>
      <c r="AC44" s="2637"/>
      <c r="AD44" s="2638"/>
      <c r="AE44" s="2638"/>
      <c r="AF44" s="2638"/>
      <c r="AG44" s="2638"/>
      <c r="AH44" s="2638"/>
      <c r="AI44" s="2638"/>
      <c r="AJ44" s="2639"/>
      <c r="AK44" s="1542" t="s">
        <v>556</v>
      </c>
      <c r="AM44" s="784"/>
      <c r="AN44" s="784" t="str">
        <f>IF(T44="","",T44)</f>
        <v>Наименование признака дифференциации</v>
      </c>
      <c r="AO44" s="784"/>
      <c r="AP44" s="784"/>
      <c r="AQ44" s="1439">
        <v>23</v>
      </c>
    </row>
    <row customHeight="1" ht="24">
      <c r="A45" s="1647" t="s">
        <v>291</v>
      </c>
      <c r="B45" s="1647" t="s">
        <v>292</v>
      </c>
      <c r="C45" s="1647" t="s">
        <v>293</v>
      </c>
      <c r="D45" s="1647" t="s">
        <v>568</v>
      </c>
      <c r="E45" s="2543"/>
      <c r="F45" s="2543"/>
      <c r="G45" s="2543"/>
      <c r="H45" s="2543"/>
      <c r="I45" s="2570"/>
      <c r="J45" s="2540" t="str">
        <f>I44&amp;".1"</f>
        <v>...1.1</v>
      </c>
      <c r="K45" s="1647"/>
      <c r="L45" s="1648" t="s">
        <v>466</v>
      </c>
      <c r="P45" s="2541"/>
      <c r="Q45" s="2541">
        <v>1</v>
      </c>
      <c r="R45" s="641"/>
      <c r="S45" s="1741" t="str">
        <f>$J45</f>
        <v>...1.1</v>
      </c>
      <c r="T45" s="570" t="s">
        <v>467</v>
      </c>
      <c r="U45" s="584"/>
      <c r="V45" s="2529"/>
      <c r="W45" s="2530"/>
      <c r="X45" s="2530"/>
      <c r="Y45" s="2530"/>
      <c r="Z45" s="2530"/>
      <c r="AA45" s="2530"/>
      <c r="AB45" s="2531"/>
      <c r="AC45" s="2529"/>
      <c r="AD45" s="2530"/>
      <c r="AE45" s="2530"/>
      <c r="AF45" s="2530"/>
      <c r="AG45" s="2530"/>
      <c r="AH45" s="2530"/>
      <c r="AI45" s="2530"/>
      <c r="AJ45" s="2531"/>
      <c r="AK45" s="1591" t="s">
        <v>557</v>
      </c>
      <c r="AM45" s="784"/>
      <c r="AN45" s="784" t="str">
        <f>IF(T45="","",T45)</f>
        <v>Группа потребителей</v>
      </c>
      <c r="AO45" s="784"/>
      <c r="AP45" s="784"/>
      <c r="AQ45" s="1439">
        <v>23</v>
      </c>
    </row>
    <row customHeight="1" ht="24">
      <c r="A46" s="1647" t="s">
        <v>291</v>
      </c>
      <c r="B46" s="1647" t="s">
        <v>292</v>
      </c>
      <c r="C46" s="1647" t="s">
        <v>293</v>
      </c>
      <c r="D46" s="1647" t="s">
        <v>568</v>
      </c>
      <c r="E46" s="2543"/>
      <c r="F46" s="2543"/>
      <c r="G46" s="2543"/>
      <c r="H46" s="2543"/>
      <c r="I46" s="2570"/>
      <c r="J46" s="2570"/>
      <c r="K46" s="2540" t="str">
        <f>J45&amp;".1"</f>
        <v>...1.1.1</v>
      </c>
      <c r="L46" s="1648"/>
      <c r="P46" s="2541"/>
      <c r="Q46" s="2541"/>
      <c r="R46" s="641">
        <v>1</v>
      </c>
      <c r="S46" s="1741" t="str">
        <f>$K46</f>
        <v>...1.1.1</v>
      </c>
      <c r="T46" s="1721"/>
      <c r="U46" s="584"/>
      <c r="V46" s="1035"/>
      <c r="W46" s="1035"/>
      <c r="X46" s="1541"/>
      <c r="Y46" s="2549"/>
      <c r="Z46" s="2391" t="s">
        <v>64</v>
      </c>
      <c r="AA46" s="2549"/>
      <c r="AB46" s="2391" t="s">
        <v>64</v>
      </c>
      <c r="AC46" s="1035"/>
      <c r="AD46" s="1035"/>
      <c r="AE46" s="1541"/>
      <c r="AF46" s="2549"/>
      <c r="AG46" s="2391" t="s">
        <v>64</v>
      </c>
      <c r="AH46" s="2571"/>
      <c r="AI46" s="2391" t="s">
        <v>64</v>
      </c>
      <c r="AJ46" s="1722"/>
      <c r="AK46" s="26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95">
        <f>STRCHECKDATE(V47:AJ47)</f>
      </c>
      <c r="AM46" s="784"/>
      <c r="AN46" s="784" t="str">
        <f>IF(T46="","",T46)</f>
        <v/>
      </c>
      <c r="AO46" s="784"/>
      <c r="AP46" s="784"/>
      <c r="AQ46" s="1439">
        <v>23</v>
      </c>
    </row>
    <row customHeight="1" ht="0">
      <c r="A47" s="1647" t="s">
        <v>291</v>
      </c>
      <c r="B47" s="1647" t="s">
        <v>292</v>
      </c>
      <c r="C47" s="1647" t="s">
        <v>293</v>
      </c>
      <c r="D47" s="1647" t="s">
        <v>568</v>
      </c>
      <c r="E47" s="2543"/>
      <c r="F47" s="2543"/>
      <c r="G47" s="2543"/>
      <c r="H47" s="2543"/>
      <c r="I47" s="2570"/>
      <c r="J47" s="2570"/>
      <c r="K47" s="2540"/>
      <c r="L47" s="1648"/>
      <c r="P47" s="2541"/>
      <c r="Q47" s="2541"/>
      <c r="R47" s="641"/>
      <c r="S47" s="1740"/>
      <c r="T47" s="584"/>
      <c r="U47" s="584"/>
      <c r="V47" s="609"/>
      <c r="W47" s="609"/>
      <c r="X47" s="612" t="str">
        <f>Y46&amp;"-"&amp;AA46</f>
        <v>-</v>
      </c>
      <c r="Y47" s="2550"/>
      <c r="Z47" s="2391"/>
      <c r="AA47" s="2550"/>
      <c r="AB47" s="2391"/>
      <c r="AC47" s="609"/>
      <c r="AD47" s="609"/>
      <c r="AE47" s="612" t="str">
        <f>AF46&amp;"-"&amp;AH46</f>
        <v>-</v>
      </c>
      <c r="AF47" s="2550"/>
      <c r="AG47" s="2391"/>
      <c r="AH47" s="2572"/>
      <c r="AI47" s="2391"/>
      <c r="AJ47" s="1723"/>
      <c r="AK47" s="2633"/>
      <c r="AM47" s="784"/>
      <c r="AN47" s="784" t="str">
        <f>IF(T47="","",T47)</f>
        <v/>
      </c>
      <c r="AO47" s="784"/>
      <c r="AP47" s="784"/>
      <c r="AQ47" s="1439">
        <v>0</v>
      </c>
    </row>
    <row customHeight="1" ht="21">
      <c r="A48" s="1647" t="s">
        <v>291</v>
      </c>
      <c r="B48" s="1647" t="s">
        <v>292</v>
      </c>
      <c r="C48" s="1647" t="s">
        <v>293</v>
      </c>
      <c r="D48" s="1647" t="s">
        <v>568</v>
      </c>
      <c r="E48" s="2543"/>
      <c r="F48" s="2543"/>
      <c r="G48" s="2543"/>
      <c r="H48" s="2543"/>
      <c r="I48" s="2570"/>
      <c r="J48" s="2540"/>
      <c r="K48" s="1647"/>
      <c r="L48" s="1648"/>
      <c r="P48" s="2541"/>
      <c r="Q48" s="2541"/>
      <c r="R48" s="640"/>
      <c r="S48" s="1562"/>
      <c r="T48" s="571" t="s">
        <v>558</v>
      </c>
      <c r="U48" s="651"/>
      <c r="V48" s="651"/>
      <c r="W48" s="651"/>
      <c r="X48" s="651"/>
      <c r="Y48" s="651"/>
      <c r="Z48" s="651"/>
      <c r="AA48" s="651"/>
      <c r="AB48" s="651"/>
      <c r="AC48" s="651"/>
      <c r="AD48" s="651"/>
      <c r="AE48" s="651"/>
      <c r="AF48" s="651"/>
      <c r="AG48" s="651"/>
      <c r="AH48" s="651"/>
      <c r="AI48" s="651"/>
      <c r="AJ48" s="651"/>
      <c r="AK48" s="1542" t="s">
        <v>559</v>
      </c>
      <c r="AM48" s="784"/>
      <c r="AN48" s="784" t="str">
        <f>IF(T48="","",T48)</f>
        <v>Добавить значение признака дифференциации</v>
      </c>
      <c r="AO48" s="784"/>
      <c r="AP48" s="784"/>
      <c r="AQ48" s="1439">
        <v>20</v>
      </c>
    </row>
    <row customHeight="1" ht="22.049999999999997">
      <c r="A49" s="1647" t="s">
        <v>291</v>
      </c>
      <c r="B49" s="1647" t="s">
        <v>292</v>
      </c>
      <c r="C49" s="1647" t="s">
        <v>293</v>
      </c>
      <c r="D49" s="1647" t="s">
        <v>568</v>
      </c>
      <c r="E49" s="2543"/>
      <c r="F49" s="2543"/>
      <c r="G49" s="2543"/>
      <c r="H49" s="2543"/>
      <c r="I49" s="2540"/>
      <c r="J49" s="1647"/>
      <c r="K49" s="1647"/>
      <c r="L49" s="1648"/>
      <c r="P49" s="2541"/>
      <c r="Q49" s="1734"/>
      <c r="R49" s="640"/>
      <c r="S49" s="1562"/>
      <c r="T49" s="649" t="s">
        <v>472</v>
      </c>
      <c r="U49" s="651"/>
      <c r="V49" s="651"/>
      <c r="W49" s="651"/>
      <c r="X49" s="651"/>
      <c r="Y49" s="651"/>
      <c r="Z49" s="651"/>
      <c r="AA49" s="651"/>
      <c r="AB49" s="650"/>
      <c r="AC49" s="651"/>
      <c r="AD49" s="651"/>
      <c r="AE49" s="651"/>
      <c r="AF49" s="651"/>
      <c r="AG49" s="651"/>
      <c r="AH49" s="651"/>
      <c r="AI49" s="650"/>
      <c r="AJ49" s="651"/>
      <c r="AK49" s="1724"/>
      <c r="AM49" s="784"/>
      <c r="AN49" s="784" t="str">
        <f>IF(T49="","",T49)</f>
        <v>Добавить группу потребителей</v>
      </c>
      <c r="AO49" s="784"/>
      <c r="AP49" s="784"/>
      <c r="AQ49" s="1439">
        <v>21</v>
      </c>
    </row>
    <row customHeight="1" ht="22.049999999999997">
      <c r="A50" s="1647" t="s">
        <v>291</v>
      </c>
      <c r="B50" s="1647" t="s">
        <v>292</v>
      </c>
      <c r="C50" s="1647" t="s">
        <v>293</v>
      </c>
      <c r="D50" s="1647" t="s">
        <v>568</v>
      </c>
      <c r="E50" s="2543"/>
      <c r="F50" s="2543"/>
      <c r="G50" s="2543"/>
      <c r="H50" s="2542"/>
      <c r="I50" s="1647"/>
      <c r="J50" s="1647"/>
      <c r="K50" s="1647"/>
      <c r="L50" s="1648"/>
      <c r="M50" s="1649"/>
      <c r="N50" s="1649"/>
      <c r="O50" s="821"/>
      <c r="P50" s="644"/>
      <c r="Q50" s="659"/>
      <c r="R50" s="639"/>
      <c r="S50" s="1562"/>
      <c r="T50" s="656" t="s">
        <v>560</v>
      </c>
      <c r="U50" s="651"/>
      <c r="V50" s="651"/>
      <c r="W50" s="651"/>
      <c r="X50" s="651"/>
      <c r="Y50" s="651"/>
      <c r="Z50" s="651"/>
      <c r="AA50" s="651"/>
      <c r="AB50" s="650"/>
      <c r="AC50" s="651"/>
      <c r="AD50" s="651"/>
      <c r="AE50" s="651"/>
      <c r="AF50" s="651"/>
      <c r="AG50" s="651"/>
      <c r="AH50" s="651"/>
      <c r="AI50" s="650"/>
      <c r="AJ50" s="651"/>
      <c r="AK50" s="587"/>
      <c r="AM50" s="784"/>
      <c r="AN50" s="784" t="str">
        <f>IF(T50="","",T50)</f>
        <v>Добавить наименование признака дифференциации</v>
      </c>
      <c r="AO50" s="784"/>
      <c r="AP50" s="784"/>
      <c r="AQ50" s="1439">
        <v>21</v>
      </c>
    </row>
    <row s="30621" customFormat="1" customHeight="1" ht="0">
      <c r="A51" s="1627" t="s">
        <v>291</v>
      </c>
      <c r="B51" s="1627" t="s">
        <v>292</v>
      </c>
      <c r="C51" s="1598"/>
      <c r="D51" s="1598"/>
      <c r="E51" s="2543"/>
      <c r="F51" s="2542"/>
      <c r="G51" s="1598"/>
      <c r="H51" s="1598"/>
      <c r="I51" s="1598"/>
      <c r="J51" s="1598"/>
      <c r="K51" s="1598"/>
      <c r="L51" s="1742"/>
      <c r="M51" s="1605"/>
      <c r="N51" s="1605"/>
      <c r="P51" s="1600"/>
      <c r="Q51" s="1601"/>
      <c r="R51" s="1600"/>
      <c r="S51" s="1606"/>
      <c r="T51" s="1609" t="s">
        <v>214</v>
      </c>
      <c r="U51" s="1608"/>
      <c r="V51" s="1608"/>
      <c r="W51" s="1608"/>
      <c r="X51" s="1608"/>
      <c r="Y51" s="1608"/>
      <c r="Z51" s="1608"/>
      <c r="AA51" s="1608"/>
      <c r="AB51" s="1608"/>
      <c r="AC51" s="1608"/>
      <c r="AD51" s="1608"/>
      <c r="AE51" s="1608"/>
      <c r="AF51" s="1608"/>
      <c r="AG51" s="1608"/>
      <c r="AH51" s="1608"/>
      <c r="AI51" s="1608"/>
      <c r="AJ51" s="1608"/>
      <c r="AK51" s="1608"/>
      <c r="AM51" s="1073"/>
      <c r="AN51" s="1073" t="str">
        <f>IF(T51="","",T51)</f>
        <v>Добавить централизованную систему для дифференциации</v>
      </c>
      <c r="AO51" s="1073"/>
      <c r="AP51" s="1073"/>
      <c r="AQ51" s="802">
        <v>0</v>
      </c>
    </row>
    <row s="30621" customFormat="1" customHeight="1" ht="0">
      <c r="A52" s="1627" t="s">
        <v>291</v>
      </c>
      <c r="B52" s="1627"/>
      <c r="C52" s="1627"/>
      <c r="D52" s="1627"/>
      <c r="E52" s="2542"/>
      <c r="F52" s="1627"/>
      <c r="G52" s="1627"/>
      <c r="H52" s="1627"/>
      <c r="I52" s="1627"/>
      <c r="J52" s="1627"/>
      <c r="K52" s="1627"/>
      <c r="L52" s="1630"/>
      <c r="M52" s="1605"/>
      <c r="N52" s="1605"/>
      <c r="O52" s="802"/>
      <c r="P52" s="664"/>
      <c r="Q52" s="1628"/>
      <c r="R52" s="664"/>
      <c r="S52" s="1606"/>
      <c r="T52" s="1609" t="s">
        <v>230</v>
      </c>
      <c r="U52" s="1608"/>
      <c r="V52" s="1608"/>
      <c r="W52" s="1608"/>
      <c r="X52" s="1608"/>
      <c r="Y52" s="1608"/>
      <c r="Z52" s="1608"/>
      <c r="AA52" s="1608"/>
      <c r="AB52" s="1608"/>
      <c r="AC52" s="1608"/>
      <c r="AD52" s="1608"/>
      <c r="AE52" s="1608"/>
      <c r="AF52" s="1608"/>
      <c r="AG52" s="1608"/>
      <c r="AH52" s="1608"/>
      <c r="AI52" s="1608"/>
      <c r="AJ52" s="1608"/>
      <c r="AK52" s="1608"/>
      <c r="AM52" s="784"/>
      <c r="AN52" s="784" t="str">
        <f>IF(T52="","",T52)</f>
        <v>Добавить территорию для дифференциации</v>
      </c>
      <c r="AO52" s="784"/>
      <c r="AP52" s="784"/>
      <c r="AQ52" s="795">
        <v>0</v>
      </c>
    </row>
    <row s="30621" customFormat="1" customHeight="1" ht="0">
      <c r="A53" s="1598"/>
      <c r="B53" s="1598"/>
      <c r="C53" s="1598"/>
      <c r="D53" s="1598"/>
      <c r="E53" s="1627"/>
      <c r="F53" s="1598"/>
      <c r="G53" s="1598"/>
      <c r="H53" s="1598"/>
      <c r="I53" s="1598"/>
      <c r="J53" s="1598"/>
      <c r="K53" s="1598"/>
      <c r="L53" s="1742"/>
      <c r="M53" s="1605"/>
      <c r="N53" s="1605"/>
      <c r="P53" s="1600"/>
      <c r="Q53" s="1601"/>
      <c r="R53" s="1600"/>
      <c r="S53" s="1606"/>
      <c r="T53" s="1609" t="s">
        <v>239</v>
      </c>
      <c r="U53" s="1608"/>
      <c r="V53" s="1608"/>
      <c r="W53" s="1608"/>
      <c r="X53" s="1608"/>
      <c r="Y53" s="1608"/>
      <c r="Z53" s="1608"/>
      <c r="AA53" s="1608"/>
      <c r="AB53" s="1608"/>
      <c r="AC53" s="1608"/>
      <c r="AD53" s="1608"/>
      <c r="AE53" s="1608"/>
      <c r="AF53" s="1608"/>
      <c r="AG53" s="1608"/>
      <c r="AH53" s="1608"/>
      <c r="AI53" s="1608"/>
      <c r="AJ53" s="1608"/>
      <c r="AK53" s="1608"/>
      <c r="AM53" s="1073"/>
      <c r="AN53" s="1073" t="str">
        <f>IF(T53="","",T53)</f>
        <v>Добавить наименование тарифа</v>
      </c>
      <c r="AO53" s="1073"/>
      <c r="AP53" s="1073"/>
      <c r="AQ53" s="802">
        <v>0</v>
      </c>
    </row>
    <row customHeight="1" ht="11.549999999999999">
      <c r="M54" s="1444"/>
      <c r="N54" s="1444"/>
      <c r="O54" s="821"/>
      <c r="P54" s="1439"/>
      <c r="Q54" s="1439"/>
      <c r="R54" s="1439"/>
      <c r="S54" s="1439"/>
      <c r="AL54" s="1439"/>
      <c r="AM54" s="1439"/>
      <c r="AN54" s="1439"/>
      <c r="AO54" s="1439"/>
      <c r="AP54" s="1439"/>
      <c r="AQ54" s="1439">
        <v>11</v>
      </c>
    </row>
    <row customHeight="1" ht="14.699999999999998">
      <c r="O55" s="821"/>
      <c r="S55" s="1537"/>
      <c r="T55" s="2569"/>
      <c r="U55" s="2569"/>
      <c r="V55" s="2569"/>
      <c r="W55" s="2569"/>
      <c r="X55" s="2569"/>
      <c r="Y55" s="2569"/>
      <c r="Z55" s="2569"/>
      <c r="AA55" s="2569"/>
      <c r="AB55" s="2569"/>
      <c r="AC55" s="2569"/>
      <c r="AD55" s="2569"/>
      <c r="AE55" s="2569"/>
      <c r="AF55" s="2569"/>
      <c r="AG55" s="2569"/>
      <c r="AH55" s="2569"/>
      <c r="AI55" s="2569"/>
      <c r="AJ55" s="2569"/>
      <c r="AK55" s="2569"/>
      <c r="AQ55" s="1439">
        <v>14</v>
      </c>
    </row>
    <row customHeight="1" ht="14.699999999999998">
      <c r="O56" s="821"/>
      <c r="AQ56" s="1439">
        <v>14</v>
      </c>
    </row>
    <row customHeight="1" ht="14.699999999999998">
      <c r="O57" s="821"/>
      <c r="S57" s="1537"/>
      <c r="T57" s="2569"/>
      <c r="U57" s="2569"/>
      <c r="V57" s="2569"/>
      <c r="W57" s="2569"/>
      <c r="X57" s="2569"/>
      <c r="Y57" s="2569"/>
      <c r="Z57" s="2569"/>
      <c r="AA57" s="2569"/>
      <c r="AB57" s="2569"/>
      <c r="AC57" s="2569"/>
      <c r="AD57" s="2569"/>
      <c r="AE57" s="2569"/>
      <c r="AF57" s="2569"/>
      <c r="AG57" s="2569"/>
      <c r="AH57" s="2569"/>
      <c r="AI57" s="2569"/>
      <c r="AJ57" s="2569"/>
      <c r="AK57" s="2569"/>
      <c r="AQ57" s="1439">
        <v>14</v>
      </c>
    </row>
    <row customHeight="1" ht="22.5" hidden="1">
      <c r="A58" s="1444" t="s">
        <v>85</v>
      </c>
      <c r="B58" s="1444">
        <v>0</v>
      </c>
      <c r="C58" s="1444">
        <v>0</v>
      </c>
      <c r="D58" s="1444">
        <v>0</v>
      </c>
      <c r="E58" s="1444">
        <v>0</v>
      </c>
      <c r="F58" s="1444">
        <v>0</v>
      </c>
      <c r="G58" s="1444">
        <v>0</v>
      </c>
      <c r="H58" s="1444">
        <v>0</v>
      </c>
      <c r="I58" s="1444">
        <v>0</v>
      </c>
      <c r="J58" s="1444">
        <v>0</v>
      </c>
      <c r="K58" s="1444">
        <v>0</v>
      </c>
      <c r="L58" s="1731">
        <v>0</v>
      </c>
      <c r="M58" s="1646">
        <v>0</v>
      </c>
      <c r="N58" s="1646">
        <v>0</v>
      </c>
      <c r="O58" s="1646">
        <v>0</v>
      </c>
      <c r="P58" s="1730">
        <v>3</v>
      </c>
      <c r="Q58" s="628">
        <v>3</v>
      </c>
      <c r="R58" s="628">
        <v>3</v>
      </c>
      <c r="S58" s="865">
        <v>12</v>
      </c>
      <c r="T58" s="1439">
        <v>35</v>
      </c>
      <c r="U58" s="1439">
        <v>0</v>
      </c>
      <c r="V58" s="1439">
        <v>0</v>
      </c>
      <c r="W58" s="1439">
        <v>0</v>
      </c>
      <c r="X58" s="1439">
        <v>0</v>
      </c>
      <c r="Y58" s="1439">
        <v>0</v>
      </c>
      <c r="Z58" s="1439">
        <v>0</v>
      </c>
      <c r="AA58" s="1439">
        <v>0</v>
      </c>
      <c r="AB58" s="1439">
        <v>0</v>
      </c>
      <c r="AC58" s="1439">
        <v>24</v>
      </c>
      <c r="AD58" s="1439">
        <v>24</v>
      </c>
      <c r="AE58" s="1439">
        <v>24</v>
      </c>
      <c r="AF58" s="1439">
        <v>11</v>
      </c>
      <c r="AG58" s="1439">
        <v>3</v>
      </c>
      <c r="AH58" s="1439">
        <v>11</v>
      </c>
      <c r="AI58" s="1439">
        <v>0</v>
      </c>
      <c r="AJ58" s="1439">
        <v>4</v>
      </c>
      <c r="AK58" s="1439">
        <v>115</v>
      </c>
      <c r="AL58" s="795">
        <v>10</v>
      </c>
      <c r="AM58" s="795">
        <v>10</v>
      </c>
      <c r="AN58" s="795">
        <v>10</v>
      </c>
      <c r="AO58" s="795">
        <v>10</v>
      </c>
      <c r="AP58" s="795">
        <v>10</v>
      </c>
      <c r="AQ58" s="1439">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D14C4D-21B9-D3C1-6B0E-24BCF885A04A}"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30620" width="10.57421875" hidden="1"/>
    <col min="2" max="2" style="30620" width="11.00390625" hidden="1" customWidth="1"/>
    <col min="3" max="3" style="30620" width="10.57421875" hidden="1"/>
    <col min="4" max="4" style="30620" width="11.8515625" hidden="1" customWidth="1"/>
    <col min="5" max="5" style="30620" width="10.00390625" hidden="1" customWidth="1"/>
    <col min="6" max="6" style="30620" width="8.7109375" hidden="1" customWidth="1"/>
    <col min="7" max="7" style="30620" width="7.57421875" hidden="1" customWidth="1"/>
    <col min="8" max="8" style="30620" width="11.421875" hidden="1" customWidth="1"/>
    <col min="9" max="9" style="30620" width="14.140625" hidden="1" customWidth="1"/>
    <col min="10" max="10" style="30620" width="9.8515625" hidden="1" customWidth="1"/>
    <col min="11" max="11" style="30620" width="14.7109375" hidden="1" customWidth="1"/>
    <col min="12" max="12" style="31502" width="19.140625" hidden="1" customWidth="1"/>
    <col min="13" max="14" style="31503" width="12.28125" hidden="1" customWidth="1"/>
    <col min="15" max="15" style="31503" width="23.421875" hidden="1" customWidth="1"/>
    <col min="16" max="16" style="31504" width="3.00390625" customWidth="1"/>
    <col min="17" max="18" style="31505" width="3.00390625" customWidth="1"/>
    <col min="19" max="19" style="31506" width="12.00390625" customWidth="1"/>
    <col min="20" max="20" style="30541" width="35.00390625" customWidth="1"/>
    <col min="21" max="21" style="30541" width="0.140625" customWidth="1"/>
    <col min="22" max="24" style="30541" width="24.7109375" hidden="1" customWidth="1"/>
    <col min="25" max="25" style="30541" width="11.7109375" hidden="1" customWidth="1"/>
    <col min="26" max="26" style="30541" width="3.7109375" hidden="1" customWidth="1"/>
    <col min="27" max="27" style="30541" width="11.7109375" hidden="1" customWidth="1"/>
    <col min="28" max="28" style="30541" width="8.57421875" hidden="1" customWidth="1"/>
    <col min="29" max="29" style="30541" width="24.7109375" customWidth="1"/>
    <col min="30" max="31" style="30541" width="24.00390625" customWidth="1"/>
    <col min="32" max="32" style="30541" width="11.00390625" customWidth="1"/>
    <col min="33" max="33" style="30541" width="3.7109375" customWidth="1"/>
    <col min="34" max="34" style="30541" width="11.00390625" customWidth="1"/>
    <col min="35" max="35" style="30541" width="8.57421875" hidden="1" customWidth="1"/>
    <col min="36" max="36" style="30541" width="4.00390625" customWidth="1"/>
    <col min="37" max="37" style="30541" width="115.00390625" customWidth="1"/>
    <col min="38" max="42" style="30621" width="10.00390625" customWidth="1"/>
    <col min="43" max="43" style="30541" width="10.57421875" hidden="1"/>
  </cols>
  <sheetData>
    <row customHeight="1" ht="22.5" hidden="1">
      <c r="X1" s="611"/>
      <c r="Y1" s="611"/>
      <c r="AE1" s="611"/>
      <c r="AF1" s="611"/>
      <c r="AQ1" s="1439" t="s">
        <v>14</v>
      </c>
    </row>
    <row customHeight="1" ht="23.25" hidden="1">
      <c r="A2" s="1647"/>
      <c r="B2" s="1647"/>
      <c r="C2" s="1647"/>
      <c r="D2" s="1647"/>
      <c r="E2" s="2542">
        <v>1</v>
      </c>
      <c r="F2" s="1647"/>
      <c r="G2" s="1647"/>
      <c r="H2" s="1647"/>
      <c r="I2" s="1647"/>
      <c r="J2" s="1647"/>
      <c r="K2" s="1647"/>
      <c r="L2" s="1648"/>
      <c r="M2" s="1649"/>
      <c r="N2" s="1649"/>
      <c r="O2" s="1649"/>
      <c r="P2" s="645"/>
      <c r="Q2" s="644"/>
      <c r="R2" s="639"/>
      <c r="S2" s="1741">
        <f>INDEX(PT_DIFFERENTIATION_NUM_NTAR,MATCH(A2,PT_DIFFERENTIATION_NTAR_ID,0))</f>
      </c>
      <c r="T2" s="582" t="s">
        <v>153</v>
      </c>
      <c r="U2" s="584"/>
      <c r="V2" s="2526"/>
      <c r="W2" s="2527"/>
      <c r="X2" s="2527"/>
      <c r="Y2" s="2527"/>
      <c r="Z2" s="2527"/>
      <c r="AA2" s="2527"/>
      <c r="AB2" s="2528"/>
      <c r="AC2" s="2526">
        <f>INDEX(PT_DIFFERENTIATION_NTAR,MATCH(A2,PT_DIFFERENTIATION_NTAR_ID,0))</f>
      </c>
      <c r="AD2" s="2527"/>
      <c r="AE2" s="2527"/>
      <c r="AF2" s="2527"/>
      <c r="AG2" s="2527"/>
      <c r="AH2" s="2527"/>
      <c r="AI2" s="2527"/>
      <c r="AJ2" s="2528"/>
      <c r="AK2"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784"/>
      <c r="AN2" s="784" t="str">
        <f>IF(T2="","",T2)</f>
        <v>Наименование тарифа</v>
      </c>
      <c r="AO2" s="784"/>
      <c r="AP2" s="784"/>
      <c r="AQ2" s="1439">
        <v>0</v>
      </c>
    </row>
    <row customHeight="1" ht="23.25" hidden="1">
      <c r="A3" s="1647"/>
      <c r="B3" s="1647"/>
      <c r="C3" s="1647"/>
      <c r="D3" s="1647"/>
      <c r="E3" s="2543"/>
      <c r="F3" s="2542">
        <v>1</v>
      </c>
      <c r="G3" s="1647"/>
      <c r="H3" s="1647"/>
      <c r="I3" s="1647"/>
      <c r="J3" s="1647"/>
      <c r="K3" s="1647"/>
      <c r="L3" s="1648"/>
      <c r="M3" s="1649"/>
      <c r="N3" s="1649"/>
      <c r="O3" s="1649"/>
      <c r="P3" s="1737"/>
      <c r="Q3" s="636"/>
      <c r="R3" s="637"/>
      <c r="S3" s="1741">
        <f>INDEX(PT_DIFFERENTIATION_NUM_TER,MATCH(B3,PT_DIFFERENTIATION_TER_ID,0))</f>
      </c>
      <c r="T3" s="592" t="s">
        <v>457</v>
      </c>
      <c r="U3" s="584"/>
      <c r="V3" s="2526"/>
      <c r="W3" s="2527"/>
      <c r="X3" s="2527"/>
      <c r="Y3" s="2527"/>
      <c r="Z3" s="2527"/>
      <c r="AA3" s="2527"/>
      <c r="AB3" s="2528"/>
      <c r="AC3" s="2526">
        <f>INDEX(PT_DIFFERENTIATION_TER,MATCH(B3,PT_DIFFERENTIATION_TER_ID,0))</f>
      </c>
      <c r="AD3" s="2527"/>
      <c r="AE3" s="2527"/>
      <c r="AF3" s="2527"/>
      <c r="AG3" s="2527"/>
      <c r="AH3" s="2527"/>
      <c r="AI3" s="2527"/>
      <c r="AJ3" s="2528"/>
      <c r="AK3" s="1542" t="s">
        <v>458</v>
      </c>
      <c r="AM3" s="784"/>
      <c r="AN3" s="784" t="str">
        <f>IF(T3="","",T3)</f>
        <v>Территория действия тарифа</v>
      </c>
      <c r="AO3" s="784"/>
      <c r="AP3" s="784"/>
      <c r="AQ3" s="1439">
        <v>0</v>
      </c>
    </row>
    <row customHeight="1" ht="23.25" hidden="1">
      <c r="A4" s="1647"/>
      <c r="B4" s="1647"/>
      <c r="C4" s="1647"/>
      <c r="D4" s="1647"/>
      <c r="E4" s="2543"/>
      <c r="F4" s="2543"/>
      <c r="G4" s="2542">
        <v>1</v>
      </c>
      <c r="H4" s="1647"/>
      <c r="I4" s="1647"/>
      <c r="J4" s="1647"/>
      <c r="K4" s="1647"/>
      <c r="L4" s="1648"/>
      <c r="M4" s="1649"/>
      <c r="N4" s="1649"/>
      <c r="O4" s="1649"/>
      <c r="P4" s="638"/>
      <c r="Q4" s="636"/>
      <c r="R4" s="637"/>
      <c r="S4" s="1741">
        <f>INDEX(PT_DIFFERENTIATION_NUM_CS,MATCH(C4,PT_DIFFERENTIATION_CS_ID,0))</f>
      </c>
      <c r="T4" s="593" t="s">
        <v>553</v>
      </c>
      <c r="U4" s="584"/>
      <c r="V4" s="2526"/>
      <c r="W4" s="2527"/>
      <c r="X4" s="2527"/>
      <c r="Y4" s="2527"/>
      <c r="Z4" s="2527"/>
      <c r="AA4" s="2527"/>
      <c r="AB4" s="2528"/>
      <c r="AC4" s="2526">
        <f>INDEX(PT_DIFFERENTIATION_CS,MATCH(C4,PT_DIFFERENTIATION_CS_ID,0))</f>
      </c>
      <c r="AD4" s="2527"/>
      <c r="AE4" s="2527"/>
      <c r="AF4" s="2527"/>
      <c r="AG4" s="2527"/>
      <c r="AH4" s="2527"/>
      <c r="AI4" s="2527"/>
      <c r="AJ4" s="2528"/>
      <c r="AK4" s="1542" t="s">
        <v>554</v>
      </c>
      <c r="AM4" s="784"/>
      <c r="AN4" s="784" t="str">
        <f>IF(T4="","",T4)</f>
        <v>Наименование централизованной системы холодного водоснабжения</v>
      </c>
      <c r="AO4" s="784"/>
      <c r="AP4" s="784"/>
      <c r="AQ4" s="1439">
        <v>0</v>
      </c>
    </row>
    <row customHeight="1" ht="23.25" hidden="1">
      <c r="A5" s="1647"/>
      <c r="B5" s="1647"/>
      <c r="C5" s="1647"/>
      <c r="D5" s="1647"/>
      <c r="E5" s="2543"/>
      <c r="F5" s="2543"/>
      <c r="G5" s="2543"/>
      <c r="H5" s="2543"/>
      <c r="I5" s="2540">
        <f>S4&amp;".1"</f>
      </c>
      <c r="J5" s="1647"/>
      <c r="K5" s="1647"/>
      <c r="L5" s="1648"/>
      <c r="P5" s="2541">
        <v>1</v>
      </c>
      <c r="Q5" s="1734"/>
      <c r="R5" s="640"/>
      <c r="S5" s="1741">
        <f>$I5</f>
      </c>
      <c r="T5" s="569" t="s">
        <v>555</v>
      </c>
      <c r="U5" s="584"/>
      <c r="V5" s="2634"/>
      <c r="W5" s="2635"/>
      <c r="X5" s="2635"/>
      <c r="Y5" s="2635"/>
      <c r="Z5" s="2635"/>
      <c r="AA5" s="2635"/>
      <c r="AB5" s="2636"/>
      <c r="AC5" s="2637"/>
      <c r="AD5" s="2638"/>
      <c r="AE5" s="2638"/>
      <c r="AF5" s="2638"/>
      <c r="AG5" s="2638"/>
      <c r="AH5" s="2638"/>
      <c r="AI5" s="2638"/>
      <c r="AJ5" s="2639"/>
      <c r="AK5" s="1542" t="s">
        <v>556</v>
      </c>
      <c r="AM5" s="784"/>
      <c r="AN5" s="784" t="str">
        <f>IF(T5="","",T5)</f>
        <v>Наименование признака дифференциации</v>
      </c>
      <c r="AO5" s="784"/>
      <c r="AP5" s="784"/>
      <c r="AQ5" s="1439">
        <v>0</v>
      </c>
    </row>
    <row customHeight="1" ht="23.25" hidden="1">
      <c r="A6" s="1647"/>
      <c r="B6" s="1647"/>
      <c r="C6" s="1647"/>
      <c r="D6" s="1647"/>
      <c r="E6" s="2543"/>
      <c r="F6" s="2543"/>
      <c r="G6" s="2543"/>
      <c r="H6" s="2543"/>
      <c r="I6" s="2570"/>
      <c r="J6" s="2540">
        <f>I5&amp;".1"</f>
      </c>
      <c r="K6" s="1647"/>
      <c r="L6" s="1648" t="s">
        <v>466</v>
      </c>
      <c r="P6" s="2541"/>
      <c r="Q6" s="2541">
        <v>1</v>
      </c>
      <c r="R6" s="641"/>
      <c r="S6" s="1741">
        <f>$J6</f>
      </c>
      <c r="T6" s="570" t="s">
        <v>467</v>
      </c>
      <c r="U6" s="584"/>
      <c r="V6" s="2529"/>
      <c r="W6" s="2530"/>
      <c r="X6" s="2530"/>
      <c r="Y6" s="2530"/>
      <c r="Z6" s="2530"/>
      <c r="AA6" s="2530"/>
      <c r="AB6" s="2531"/>
      <c r="AC6" s="2529"/>
      <c r="AD6" s="2530"/>
      <c r="AE6" s="2530"/>
      <c r="AF6" s="2530"/>
      <c r="AG6" s="2530"/>
      <c r="AH6" s="2530"/>
      <c r="AI6" s="2530"/>
      <c r="AJ6" s="2531"/>
      <c r="AK6" s="1591" t="s">
        <v>557</v>
      </c>
      <c r="AM6" s="784"/>
      <c r="AN6" s="784" t="str">
        <f>IF(T6="","",T6)</f>
        <v>Группа потребителей</v>
      </c>
      <c r="AO6" s="784"/>
      <c r="AP6" s="784"/>
      <c r="AQ6" s="1439">
        <v>0</v>
      </c>
    </row>
    <row customHeight="1" ht="23.25" hidden="1">
      <c r="A7" s="1647"/>
      <c r="B7" s="1647"/>
      <c r="C7" s="1647"/>
      <c r="D7" s="1647"/>
      <c r="E7" s="2543"/>
      <c r="F7" s="2543"/>
      <c r="G7" s="2543"/>
      <c r="H7" s="2543"/>
      <c r="I7" s="2570"/>
      <c r="J7" s="2570"/>
      <c r="K7" s="2540">
        <f>J6&amp;".1"</f>
      </c>
      <c r="L7" s="1648"/>
      <c r="P7" s="2541"/>
      <c r="Q7" s="2541"/>
      <c r="R7" s="641">
        <v>1</v>
      </c>
      <c r="S7" s="1741">
        <f>$K7</f>
      </c>
      <c r="T7" s="1721"/>
      <c r="U7" s="584"/>
      <c r="V7" s="1035"/>
      <c r="W7" s="1035"/>
      <c r="X7" s="1541"/>
      <c r="Y7" s="2549"/>
      <c r="Z7" s="2391" t="s">
        <v>64</v>
      </c>
      <c r="AA7" s="2549"/>
      <c r="AB7" s="2391" t="s">
        <v>64</v>
      </c>
      <c r="AC7" s="1035"/>
      <c r="AD7" s="1035"/>
      <c r="AE7" s="1541"/>
      <c r="AF7" s="2549"/>
      <c r="AG7" s="2391" t="s">
        <v>64</v>
      </c>
      <c r="AH7" s="2571"/>
      <c r="AI7" s="2391" t="s">
        <v>64</v>
      </c>
      <c r="AJ7" s="1722"/>
      <c r="AK7" s="26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95">
        <f>STRCHECKDATE(V8:AJ8)</f>
      </c>
      <c r="AM7" s="784"/>
      <c r="AN7" s="784" t="str">
        <f>IF(T7="","",T7)</f>
        <v/>
      </c>
      <c r="AO7" s="784"/>
      <c r="AP7" s="784"/>
      <c r="AQ7" s="1439">
        <v>0</v>
      </c>
    </row>
    <row customHeight="1" ht="14.25" hidden="1">
      <c r="A8" s="1647"/>
      <c r="B8" s="1647"/>
      <c r="C8" s="1647"/>
      <c r="D8" s="1647"/>
      <c r="E8" s="2543"/>
      <c r="F8" s="2543"/>
      <c r="G8" s="2543"/>
      <c r="H8" s="2543"/>
      <c r="I8" s="2570"/>
      <c r="J8" s="2570"/>
      <c r="K8" s="2540"/>
      <c r="L8" s="1648"/>
      <c r="P8" s="2541"/>
      <c r="Q8" s="2541"/>
      <c r="R8" s="641"/>
      <c r="S8" s="1740"/>
      <c r="T8" s="584"/>
      <c r="U8" s="584"/>
      <c r="V8" s="609"/>
      <c r="W8" s="609"/>
      <c r="X8" s="612" t="str">
        <f>Y7&amp;"-"&amp;AA7</f>
        <v>-</v>
      </c>
      <c r="Y8" s="2550"/>
      <c r="Z8" s="2391"/>
      <c r="AA8" s="2550"/>
      <c r="AB8" s="2391"/>
      <c r="AC8" s="609"/>
      <c r="AD8" s="609"/>
      <c r="AE8" s="612" t="str">
        <f>AF7&amp;"-"&amp;AH7</f>
        <v>-</v>
      </c>
      <c r="AF8" s="2550"/>
      <c r="AG8" s="2391"/>
      <c r="AH8" s="2572"/>
      <c r="AI8" s="2391"/>
      <c r="AJ8" s="1723"/>
      <c r="AK8" s="2633"/>
      <c r="AM8" s="784"/>
      <c r="AN8" s="784" t="str">
        <f>IF(T8="","",T8)</f>
        <v/>
      </c>
      <c r="AO8" s="784"/>
      <c r="AP8" s="784"/>
      <c r="AQ8" s="1439">
        <v>0</v>
      </c>
    </row>
    <row customHeight="1" ht="21" hidden="1">
      <c r="A9" s="1647"/>
      <c r="B9" s="1647"/>
      <c r="C9" s="1647"/>
      <c r="D9" s="1647"/>
      <c r="E9" s="2543"/>
      <c r="F9" s="2543"/>
      <c r="G9" s="2543"/>
      <c r="H9" s="2543"/>
      <c r="I9" s="2570"/>
      <c r="J9" s="2540"/>
      <c r="K9" s="1647"/>
      <c r="L9" s="1648"/>
      <c r="P9" s="2541"/>
      <c r="Q9" s="2541"/>
      <c r="R9" s="640"/>
      <c r="S9" s="1562"/>
      <c r="T9" s="571" t="s">
        <v>558</v>
      </c>
      <c r="U9" s="651"/>
      <c r="V9" s="651"/>
      <c r="W9" s="651"/>
      <c r="X9" s="651"/>
      <c r="Y9" s="651"/>
      <c r="Z9" s="651"/>
      <c r="AA9" s="651"/>
      <c r="AB9" s="651"/>
      <c r="AC9" s="651"/>
      <c r="AD9" s="651"/>
      <c r="AE9" s="651"/>
      <c r="AF9" s="651"/>
      <c r="AG9" s="651"/>
      <c r="AH9" s="651"/>
      <c r="AI9" s="651"/>
      <c r="AJ9" s="651"/>
      <c r="AK9" s="1542" t="s">
        <v>559</v>
      </c>
      <c r="AM9" s="784"/>
      <c r="AN9" s="784" t="str">
        <f>IF(T9="","",T9)</f>
        <v>Добавить значение признака дифференциации</v>
      </c>
      <c r="AO9" s="784"/>
      <c r="AP9" s="784"/>
      <c r="AQ9" s="1439">
        <v>0</v>
      </c>
    </row>
    <row customHeight="1" ht="21" hidden="1">
      <c r="A10" s="1647"/>
      <c r="B10" s="1647"/>
      <c r="C10" s="1647"/>
      <c r="D10" s="1647"/>
      <c r="E10" s="2543"/>
      <c r="F10" s="2543"/>
      <c r="G10" s="2543"/>
      <c r="H10" s="2543"/>
      <c r="I10" s="2540"/>
      <c r="J10" s="1647"/>
      <c r="K10" s="1647"/>
      <c r="L10" s="1648"/>
      <c r="P10" s="2541"/>
      <c r="Q10" s="1734"/>
      <c r="R10" s="640"/>
      <c r="S10" s="1562"/>
      <c r="T10" s="649" t="s">
        <v>472</v>
      </c>
      <c r="U10" s="651"/>
      <c r="V10" s="651"/>
      <c r="W10" s="651"/>
      <c r="X10" s="651"/>
      <c r="Y10" s="651"/>
      <c r="Z10" s="651"/>
      <c r="AA10" s="651"/>
      <c r="AB10" s="650"/>
      <c r="AC10" s="651"/>
      <c r="AD10" s="651"/>
      <c r="AE10" s="651"/>
      <c r="AF10" s="651"/>
      <c r="AG10" s="651"/>
      <c r="AH10" s="651"/>
      <c r="AI10" s="650"/>
      <c r="AJ10" s="651"/>
      <c r="AK10" s="1724"/>
      <c r="AM10" s="784"/>
      <c r="AN10" s="784" t="str">
        <f>IF(T10="","",T10)</f>
        <v>Добавить группу потребителей</v>
      </c>
      <c r="AO10" s="784"/>
      <c r="AP10" s="784"/>
      <c r="AQ10" s="1439">
        <v>0</v>
      </c>
    </row>
    <row customHeight="1" ht="21" hidden="1">
      <c r="A11" s="1647"/>
      <c r="B11" s="1647"/>
      <c r="C11" s="1647"/>
      <c r="D11" s="1647"/>
      <c r="E11" s="2543"/>
      <c r="F11" s="2543"/>
      <c r="G11" s="2543"/>
      <c r="H11" s="2542"/>
      <c r="I11" s="1647"/>
      <c r="J11" s="1647"/>
      <c r="K11" s="1647"/>
      <c r="L11" s="1648"/>
      <c r="M11" s="1649"/>
      <c r="N11" s="1649"/>
      <c r="O11" s="821"/>
      <c r="P11" s="644"/>
      <c r="Q11" s="659"/>
      <c r="R11" s="639"/>
      <c r="S11" s="1562"/>
      <c r="T11" s="656" t="s">
        <v>560</v>
      </c>
      <c r="U11" s="651"/>
      <c r="V11" s="651"/>
      <c r="W11" s="651"/>
      <c r="X11" s="651"/>
      <c r="Y11" s="651"/>
      <c r="Z11" s="651"/>
      <c r="AA11" s="651"/>
      <c r="AB11" s="650"/>
      <c r="AC11" s="651"/>
      <c r="AD11" s="651"/>
      <c r="AE11" s="651"/>
      <c r="AF11" s="651"/>
      <c r="AG11" s="651"/>
      <c r="AH11" s="651"/>
      <c r="AI11" s="650"/>
      <c r="AJ11" s="651"/>
      <c r="AK11" s="587"/>
      <c r="AM11" s="784"/>
      <c r="AN11" s="784" t="str">
        <f>IF(T11="","",T11)</f>
        <v>Добавить наименование признака дифференциации</v>
      </c>
      <c r="AO11" s="784"/>
      <c r="AP11" s="784"/>
      <c r="AQ11" s="1439">
        <v>0</v>
      </c>
    </row>
    <row s="30621" customFormat="1" customHeight="1" ht="14.25" hidden="1">
      <c r="A12" s="1627"/>
      <c r="B12" s="1627"/>
      <c r="C12" s="1598"/>
      <c r="D12" s="1598"/>
      <c r="E12" s="2543"/>
      <c r="F12" s="2542"/>
      <c r="G12" s="1598"/>
      <c r="H12" s="1598"/>
      <c r="I12" s="1598"/>
      <c r="J12" s="1598"/>
      <c r="K12" s="1598"/>
      <c r="L12" s="1742"/>
      <c r="M12" s="1605"/>
      <c r="N12" s="1605"/>
      <c r="P12" s="1600"/>
      <c r="Q12" s="1601"/>
      <c r="R12" s="1600"/>
      <c r="S12" s="1606"/>
      <c r="T12" s="1609" t="s">
        <v>214</v>
      </c>
      <c r="U12" s="1608"/>
      <c r="V12" s="1608"/>
      <c r="W12" s="1608"/>
      <c r="X12" s="1608"/>
      <c r="Y12" s="1608"/>
      <c r="Z12" s="1608"/>
      <c r="AA12" s="1608"/>
      <c r="AB12" s="1608"/>
      <c r="AC12" s="1608"/>
      <c r="AD12" s="1608"/>
      <c r="AE12" s="1608"/>
      <c r="AF12" s="1608"/>
      <c r="AG12" s="1608"/>
      <c r="AH12" s="1608"/>
      <c r="AI12" s="1608"/>
      <c r="AJ12" s="1608"/>
      <c r="AK12" s="1608"/>
      <c r="AM12" s="1073"/>
      <c r="AN12" s="1073" t="str">
        <f>IF(T12="","",T12)</f>
        <v>Добавить централизованную систему для дифференциации</v>
      </c>
      <c r="AO12" s="1073"/>
      <c r="AP12" s="1073"/>
      <c r="AQ12" s="802">
        <v>0</v>
      </c>
    </row>
    <row s="30621" customFormat="1" customHeight="1" ht="14.25" hidden="1">
      <c r="A13" s="1627"/>
      <c r="B13" s="1627"/>
      <c r="C13" s="1627"/>
      <c r="D13" s="1627"/>
      <c r="E13" s="2542"/>
      <c r="F13" s="1627"/>
      <c r="G13" s="1627"/>
      <c r="H13" s="1627"/>
      <c r="I13" s="1627"/>
      <c r="J13" s="1627"/>
      <c r="K13" s="1627"/>
      <c r="L13" s="1630"/>
      <c r="M13" s="1605"/>
      <c r="N13" s="1605"/>
      <c r="O13" s="802"/>
      <c r="P13" s="664"/>
      <c r="Q13" s="1628"/>
      <c r="R13" s="664"/>
      <c r="S13" s="1606"/>
      <c r="T13" s="1609" t="s">
        <v>230</v>
      </c>
      <c r="U13" s="1608"/>
      <c r="V13" s="1608"/>
      <c r="W13" s="1608"/>
      <c r="X13" s="1608"/>
      <c r="Y13" s="1608"/>
      <c r="Z13" s="1608"/>
      <c r="AA13" s="1608"/>
      <c r="AB13" s="1608"/>
      <c r="AC13" s="1608"/>
      <c r="AD13" s="1608"/>
      <c r="AE13" s="1608"/>
      <c r="AF13" s="1608"/>
      <c r="AG13" s="1608"/>
      <c r="AH13" s="1608"/>
      <c r="AI13" s="1608"/>
      <c r="AJ13" s="1608"/>
      <c r="AK13" s="1608"/>
      <c r="AM13" s="784"/>
      <c r="AN13" s="784" t="str">
        <f>IF(T13="","",T13)</f>
        <v>Добавить территорию для дифференциации</v>
      </c>
      <c r="AO13" s="784"/>
      <c r="AP13" s="784"/>
      <c r="AQ13" s="795">
        <v>0</v>
      </c>
    </row>
    <row customHeight="1" ht="14.25" hidden="1">
      <c r="AB14" s="611"/>
      <c r="AI14" s="611"/>
      <c r="AQ14" s="1439">
        <v>0</v>
      </c>
    </row>
    <row customHeight="1" ht="14.25" hidden="1">
      <c r="AC15" s="1644"/>
      <c r="AD15" s="1644"/>
      <c r="AE15" s="1645"/>
      <c r="AF15" s="2551"/>
      <c r="AG15" s="2552" t="s">
        <v>64</v>
      </c>
      <c r="AH15" s="2551"/>
      <c r="AI15" s="2552" t="s">
        <v>64</v>
      </c>
      <c r="AQ15" s="1439">
        <v>0</v>
      </c>
    </row>
    <row customHeight="1" ht="14.25" hidden="1">
      <c r="AC16" s="1644"/>
      <c r="AD16" s="1644"/>
      <c r="AE16" s="612" t="str">
        <f>AF15&amp;"-"&amp;AH15</f>
        <v>-</v>
      </c>
      <c r="AF16" s="2552"/>
      <c r="AG16" s="2552"/>
      <c r="AH16" s="2552"/>
      <c r="AI16" s="2552"/>
      <c r="AQ16" s="1439">
        <v>0</v>
      </c>
    </row>
    <row customHeight="1" ht="14.25" hidden="1">
      <c r="AI17" s="611"/>
      <c r="AQ17" s="1439">
        <v>0</v>
      </c>
    </row>
    <row s="30620" customFormat="1" customHeight="1" ht="22.5" hidden="1">
      <c r="L18" s="1731"/>
      <c r="M18" s="1646"/>
      <c r="N18" s="1646"/>
      <c r="O18" s="1651" t="s">
        <v>474</v>
      </c>
      <c r="P18" s="1646"/>
      <c r="Q18" s="1655"/>
      <c r="R18" s="1655"/>
      <c r="S18" s="1013"/>
      <c r="Y18" s="1651"/>
      <c r="AA18" s="1651"/>
      <c r="AB18" s="1650"/>
      <c r="AF18" s="1651"/>
      <c r="AH18" s="1651"/>
      <c r="AI18" s="1650"/>
      <c r="AL18" s="795"/>
      <c r="AM18" s="795"/>
      <c r="AN18" s="795"/>
      <c r="AO18" s="795"/>
      <c r="AP18" s="795"/>
      <c r="AQ18" s="1444">
        <v>0</v>
      </c>
    </row>
    <row s="30620" customFormat="1" customHeight="1" ht="14.25" hidden="1">
      <c r="L19" s="1731"/>
      <c r="M19" s="1646"/>
      <c r="N19" s="1646"/>
      <c r="O19" s="1646"/>
      <c r="P19" s="1646"/>
      <c r="Q19" s="1655"/>
      <c r="R19" s="1655"/>
      <c r="S19" s="1013"/>
      <c r="AB19" s="1650"/>
      <c r="AI19" s="1650"/>
      <c r="AL19" s="795"/>
      <c r="AM19" s="795"/>
      <c r="AN19" s="795"/>
      <c r="AO19" s="795"/>
      <c r="AP19" s="795"/>
      <c r="AQ19" s="1444">
        <v>0</v>
      </c>
    </row>
    <row s="30620" customFormat="1" customHeight="1" ht="12" hidden="1">
      <c r="L20" s="1731"/>
      <c r="M20" s="1646"/>
      <c r="N20" s="1646"/>
      <c r="O20" s="1648" t="s">
        <v>475</v>
      </c>
      <c r="P20" s="1646"/>
      <c r="Q20" s="1726"/>
      <c r="R20" s="1726"/>
      <c r="S20" s="1013"/>
      <c r="T20" s="1444" t="s">
        <v>476</v>
      </c>
      <c r="Z20" s="470" t="s">
        <v>477</v>
      </c>
      <c r="AB20" s="470" t="s">
        <v>478</v>
      </c>
      <c r="AC20" s="1444" t="s">
        <v>476</v>
      </c>
      <c r="AG20" s="470" t="s">
        <v>479</v>
      </c>
      <c r="AI20" s="470" t="s">
        <v>478</v>
      </c>
      <c r="AQ20" s="1444">
        <v>0</v>
      </c>
    </row>
    <row customHeight="1" ht="14.25" hidden="1">
      <c r="O21" s="1648"/>
      <c r="AQ21" s="1439">
        <v>0</v>
      </c>
    </row>
    <row customHeight="1" ht="14.25" hidden="1">
      <c r="O22" s="1648"/>
      <c r="AQ22" s="1439">
        <v>0</v>
      </c>
    </row>
    <row customHeight="1" ht="14.699999999999998">
      <c r="Q23" s="660"/>
      <c r="R23" s="660"/>
      <c r="S23" s="1559"/>
      <c r="T23" s="647"/>
      <c r="U23" s="647"/>
      <c r="V23" s="793"/>
      <c r="W23" s="793"/>
      <c r="X23" s="793"/>
      <c r="Y23" s="793"/>
      <c r="Z23" s="793"/>
      <c r="AA23" s="793"/>
      <c r="AB23" s="793"/>
      <c r="AC23" s="793"/>
      <c r="AD23" s="793"/>
      <c r="AE23" s="793"/>
      <c r="AF23" s="793"/>
      <c r="AG23" s="793"/>
      <c r="AH23" s="793"/>
      <c r="AI23" s="793"/>
      <c r="AQ23" s="1439">
        <v>14</v>
      </c>
    </row>
    <row customHeight="1" ht="14.699999999999998">
      <c r="Q24" s="660"/>
      <c r="R24" s="660"/>
      <c r="S24" s="2532"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532"/>
      <c r="U24" s="2532"/>
      <c r="V24" s="2532"/>
      <c r="W24" s="2532"/>
      <c r="X24" s="2532"/>
      <c r="Y24" s="2532"/>
      <c r="Z24" s="2532"/>
      <c r="AA24" s="2532"/>
      <c r="AB24" s="2532"/>
      <c r="AC24" s="2532"/>
      <c r="AD24" s="2532"/>
      <c r="AE24" s="2532"/>
      <c r="AF24" s="2532"/>
      <c r="AG24" s="2532"/>
      <c r="AH24" s="2532"/>
      <c r="AI24" s="1527"/>
      <c r="AQ24" s="1439">
        <v>14</v>
      </c>
    </row>
    <row customHeight="1" ht="14.699999999999998">
      <c r="Q25" s="660"/>
      <c r="R25" s="660"/>
      <c r="S25" s="2533" t="str">
        <f>IF(org=0,"Не определено",org)</f>
        <v>АО "ДГК"</v>
      </c>
      <c r="T25" s="2533"/>
      <c r="U25" s="2533"/>
      <c r="V25" s="2533"/>
      <c r="W25" s="2533"/>
      <c r="X25" s="2533"/>
      <c r="Y25" s="2533"/>
      <c r="Z25" s="2533"/>
      <c r="AA25" s="2533"/>
      <c r="AB25" s="2533"/>
      <c r="AC25" s="2533"/>
      <c r="AD25" s="2533"/>
      <c r="AE25" s="2533"/>
      <c r="AF25" s="2533"/>
      <c r="AG25" s="2533"/>
      <c r="AH25" s="2533"/>
      <c r="AI25" s="1527"/>
      <c r="AQ25" s="1439">
        <v>14</v>
      </c>
    </row>
    <row customHeight="1" ht="14.25">
      <c r="Q26" s="660"/>
      <c r="R26" s="660"/>
      <c r="S26" s="1559"/>
      <c r="T26" s="647"/>
      <c r="U26" s="647"/>
      <c r="V26" s="606"/>
      <c r="W26" s="606"/>
      <c r="X26" s="606"/>
      <c r="Y26" s="606"/>
      <c r="Z26" s="606"/>
      <c r="AA26" s="606"/>
      <c r="AB26" s="606"/>
      <c r="AC26" s="606"/>
      <c r="AD26" s="606"/>
      <c r="AE26" s="606"/>
      <c r="AF26" s="606"/>
      <c r="AG26" s="606"/>
      <c r="AH26" s="606"/>
      <c r="AI26" s="606"/>
      <c r="AJ26" s="793"/>
      <c r="AQ26" s="1439">
        <v>0</v>
      </c>
    </row>
    <row s="30764" customFormat="1" customHeight="1" ht="25.5">
      <c r="A27" s="1652"/>
      <c r="B27" s="1652"/>
      <c r="C27" s="1652"/>
      <c r="D27" s="1652"/>
      <c r="E27" s="1652"/>
      <c r="F27" s="1652"/>
      <c r="G27" s="1652"/>
      <c r="H27" s="1652"/>
      <c r="I27" s="1652"/>
      <c r="J27" s="1652"/>
      <c r="K27" s="1652"/>
      <c r="L27" s="1653"/>
      <c r="M27" s="1652"/>
      <c r="N27" s="1652"/>
      <c r="O27" s="1652"/>
      <c r="S27" s="2534" t="s">
        <v>42</v>
      </c>
      <c r="T27" s="2534"/>
      <c r="U27" s="1656"/>
      <c r="V27" s="2535" t="str">
        <f>IF(TITLE_NAME_OR_PR_CHANGE="",IF(TITLE_NAME_OR_PR="","",TITLE_NAME_OR_PR),TITLE_NAME_OR_PR_CHANGE)</f>
        <v>Комитет по ценам и тарифам Правительства Хабаровского края</v>
      </c>
      <c r="W27" s="2535"/>
      <c r="X27" s="2535"/>
      <c r="Y27" s="2535"/>
      <c r="Z27" s="2535"/>
      <c r="AA27" s="2535"/>
      <c r="AB27" s="610"/>
      <c r="AC27" s="2535" t="str">
        <f>IF(TITLE_NAME_OR_PR_CHANGE="",IF(TITLE_NAME_OR_PR="","",TITLE_NAME_OR_PR),TITLE_NAME_OR_PR_CHANGE)</f>
        <v>Комитет по ценам и тарифам Правительства Хабаровского края</v>
      </c>
      <c r="AD27" s="2535"/>
      <c r="AE27" s="2535"/>
      <c r="AF27" s="2535"/>
      <c r="AG27" s="2535"/>
      <c r="AH27" s="2535"/>
      <c r="AI27" s="610"/>
      <c r="AJ27" s="610"/>
      <c r="AK27" s="564"/>
      <c r="AL27" s="652"/>
      <c r="AM27" s="652"/>
      <c r="AN27" s="652"/>
      <c r="AO27" s="652"/>
      <c r="AP27" s="652"/>
      <c r="AQ27" s="702">
        <v>0</v>
      </c>
    </row>
    <row s="30764" customFormat="1" customHeight="1" ht="18.75">
      <c r="A28" s="1652"/>
      <c r="B28" s="1652"/>
      <c r="C28" s="1652"/>
      <c r="D28" s="1652"/>
      <c r="E28" s="1652"/>
      <c r="F28" s="1652"/>
      <c r="G28" s="1652"/>
      <c r="H28" s="1652"/>
      <c r="I28" s="1652"/>
      <c r="J28" s="1652"/>
      <c r="K28" s="1652"/>
      <c r="L28" s="1653"/>
      <c r="M28" s="1652"/>
      <c r="N28" s="1652"/>
      <c r="O28" s="1652"/>
      <c r="S28" s="2534" t="s">
        <v>480</v>
      </c>
      <c r="T28" s="2534"/>
      <c r="U28" s="1656"/>
      <c r="V28" s="2548" t="str">
        <f>IF(TITLE_DATE_PR_CHANGE="",IF(TITLE_DATE_PR="","",TITLE_DATE_PR),TITLE_DATE_PR_CHANGE)</f>
        <v>45645</v>
      </c>
      <c r="W28" s="2548"/>
      <c r="X28" s="2548"/>
      <c r="Y28" s="2548"/>
      <c r="Z28" s="2548"/>
      <c r="AA28" s="2548"/>
      <c r="AB28" s="610"/>
      <c r="AC28" s="2548" t="str">
        <f>IF(TITLE_DATE_PR_CHANGE="",IF(TITLE_DATE_PR="","",TITLE_DATE_PR),TITLE_DATE_PR_CHANGE)</f>
        <v>45645</v>
      </c>
      <c r="AD28" s="2548"/>
      <c r="AE28" s="2548"/>
      <c r="AF28" s="2548"/>
      <c r="AG28" s="2548"/>
      <c r="AH28" s="2548"/>
      <c r="AI28" s="610"/>
      <c r="AJ28" s="610"/>
      <c r="AK28" s="564"/>
      <c r="AL28" s="652"/>
      <c r="AM28" s="652"/>
      <c r="AN28" s="652"/>
      <c r="AO28" s="652"/>
      <c r="AP28" s="652"/>
      <c r="AQ28" s="702">
        <v>0</v>
      </c>
    </row>
    <row s="30764" customFormat="1" customHeight="1" ht="18.75">
      <c r="A29" s="1652"/>
      <c r="B29" s="1652"/>
      <c r="C29" s="1652"/>
      <c r="D29" s="1652"/>
      <c r="E29" s="1652"/>
      <c r="F29" s="1652"/>
      <c r="G29" s="1652"/>
      <c r="H29" s="1652"/>
      <c r="I29" s="1652"/>
      <c r="J29" s="1652"/>
      <c r="K29" s="1652"/>
      <c r="L29" s="1653"/>
      <c r="M29" s="1652"/>
      <c r="N29" s="1652"/>
      <c r="O29" s="1652"/>
      <c r="S29" s="2534" t="s">
        <v>481</v>
      </c>
      <c r="T29" s="2534"/>
      <c r="U29" s="1656"/>
      <c r="V29" s="2535" t="str">
        <f>IF(TITLE_NUMBER_PR_CHANGE="",IF(TITLE_NUMBER_PR="","",TITLE_NUMBER_PR),TITLE_NUMBER_PR_CHANGE)</f>
        <v>№ 40/8</v>
      </c>
      <c r="W29" s="2535"/>
      <c r="X29" s="2535"/>
      <c r="Y29" s="2535"/>
      <c r="Z29" s="2535"/>
      <c r="AA29" s="2535"/>
      <c r="AB29" s="610"/>
      <c r="AC29" s="2535" t="str">
        <f>IF(TITLE_NUMBER_PR_CHANGE="",IF(TITLE_NUMBER_PR="","",TITLE_NUMBER_PR),TITLE_NUMBER_PR_CHANGE)</f>
        <v>№ 40/8</v>
      </c>
      <c r="AD29" s="2535"/>
      <c r="AE29" s="2535"/>
      <c r="AF29" s="2535"/>
      <c r="AG29" s="2535"/>
      <c r="AH29" s="2535"/>
      <c r="AI29" s="610"/>
      <c r="AJ29" s="610"/>
      <c r="AK29" s="564"/>
      <c r="AL29" s="652"/>
      <c r="AM29" s="652"/>
      <c r="AN29" s="652"/>
      <c r="AO29" s="652"/>
      <c r="AP29" s="652"/>
      <c r="AQ29" s="702">
        <v>0</v>
      </c>
    </row>
    <row s="30764" customFormat="1" customHeight="1" ht="18.75">
      <c r="A30" s="1652"/>
      <c r="B30" s="1652"/>
      <c r="C30" s="1652"/>
      <c r="D30" s="1652"/>
      <c r="E30" s="1652"/>
      <c r="F30" s="1652"/>
      <c r="G30" s="1652"/>
      <c r="H30" s="1652"/>
      <c r="I30" s="1652"/>
      <c r="J30" s="1652"/>
      <c r="K30" s="1652"/>
      <c r="L30" s="1653"/>
      <c r="M30" s="1652"/>
      <c r="N30" s="1652"/>
      <c r="O30" s="1652"/>
      <c r="S30" s="2534" t="s">
        <v>44</v>
      </c>
      <c r="T30" s="2534"/>
      <c r="U30" s="1656"/>
      <c r="V30" s="2535" t="str">
        <f>IF(TITLE_IST_PUB_CHANGE="",IF(TITLE_IST_PUB="","",TITLE_IST_PUB),TITLE_IST_PUB_CHANGE)</f>
        <v>Официальный интернет - портал нормативных правовых актов Хабаровского края https://laws.khv.gov.ru/</v>
      </c>
      <c r="W30" s="2535"/>
      <c r="X30" s="2535"/>
      <c r="Y30" s="2535"/>
      <c r="Z30" s="2535"/>
      <c r="AA30" s="2535"/>
      <c r="AB30" s="610"/>
      <c r="AC30" s="2535" t="str">
        <f>IF(TITLE_IST_PUB_CHANGE="",IF(TITLE_IST_PUB="","",TITLE_IST_PUB),TITLE_IST_PUB_CHANGE)</f>
        <v>Официальный интернет - портал нормативных правовых актов Хабаровского края https://laws.khv.gov.ru/</v>
      </c>
      <c r="AD30" s="2535"/>
      <c r="AE30" s="2535"/>
      <c r="AF30" s="2535"/>
      <c r="AG30" s="2535"/>
      <c r="AH30" s="2535"/>
      <c r="AI30" s="610"/>
      <c r="AJ30" s="610"/>
      <c r="AK30" s="564"/>
      <c r="AL30" s="652"/>
      <c r="AM30" s="652"/>
      <c r="AN30" s="652"/>
      <c r="AO30" s="652"/>
      <c r="AP30" s="652"/>
      <c r="AQ30" s="702">
        <v>0</v>
      </c>
    </row>
    <row customHeight="1" ht="14.25" hidden="1">
      <c r="Q31" s="660"/>
      <c r="R31" s="660"/>
      <c r="S31" s="1559"/>
      <c r="T31" s="647"/>
      <c r="U31" s="647"/>
      <c r="V31" s="606"/>
      <c r="W31" s="606"/>
      <c r="X31" s="606"/>
      <c r="Y31" s="606"/>
      <c r="Z31" s="606"/>
      <c r="AA31" s="606"/>
      <c r="AB31" s="606"/>
      <c r="AC31" s="606"/>
      <c r="AD31" s="606"/>
      <c r="AE31" s="606"/>
      <c r="AF31" s="606"/>
      <c r="AG31" s="606"/>
      <c r="AH31" s="606"/>
      <c r="AI31" s="606"/>
      <c r="AJ31" s="793"/>
      <c r="AQ31" s="1439">
        <v>0</v>
      </c>
    </row>
    <row s="30764" customFormat="1" customHeight="1" ht="18.75" hidden="1">
      <c r="A32" s="1652"/>
      <c r="B32" s="1652"/>
      <c r="C32" s="1652"/>
      <c r="D32" s="1652"/>
      <c r="E32" s="1652"/>
      <c r="F32" s="1652"/>
      <c r="G32" s="1652"/>
      <c r="H32" s="1652"/>
      <c r="I32" s="1652"/>
      <c r="J32" s="1652"/>
      <c r="K32" s="1652"/>
      <c r="L32" s="1653"/>
      <c r="M32" s="1652"/>
      <c r="N32" s="1652"/>
      <c r="O32" s="1652"/>
      <c r="S32" s="2534" t="s">
        <v>482</v>
      </c>
      <c r="T32" s="2534"/>
      <c r="U32" s="1656"/>
      <c r="V32" s="2548" t="str">
        <f>IF(TITLE_DATE_PR_CHANGE="",IF(TITLE_DATE_PR="","",TITLE_DATE_PR),TITLE_DATE_PR_CHANGE)</f>
        <v>45645</v>
      </c>
      <c r="W32" s="2548"/>
      <c r="X32" s="2548"/>
      <c r="Y32" s="2548"/>
      <c r="Z32" s="2548"/>
      <c r="AA32" s="2548"/>
      <c r="AB32" s="610"/>
      <c r="AC32" s="2548" t="str">
        <f>IF(TITLE_DATE_PR_CHANGE="",IF(TITLE_DATE_PR="","",TITLE_DATE_PR),TITLE_DATE_PR_CHANGE)</f>
        <v>45645</v>
      </c>
      <c r="AD32" s="2548"/>
      <c r="AE32" s="2548"/>
      <c r="AF32" s="2548"/>
      <c r="AG32" s="2548"/>
      <c r="AH32" s="2548"/>
      <c r="AI32" s="610"/>
      <c r="AJ32" s="610"/>
      <c r="AK32" s="564"/>
      <c r="AL32" s="652"/>
      <c r="AM32" s="652"/>
      <c r="AN32" s="652"/>
      <c r="AO32" s="652"/>
      <c r="AP32" s="652"/>
      <c r="AQ32" s="702">
        <v>0</v>
      </c>
    </row>
    <row s="30764" customFormat="1" customHeight="1" ht="18.75" hidden="1">
      <c r="A33" s="1652"/>
      <c r="B33" s="1652"/>
      <c r="C33" s="1652"/>
      <c r="D33" s="1652"/>
      <c r="E33" s="1652"/>
      <c r="F33" s="1652"/>
      <c r="G33" s="1652"/>
      <c r="H33" s="1652"/>
      <c r="I33" s="1652"/>
      <c r="J33" s="1652"/>
      <c r="K33" s="1652"/>
      <c r="L33" s="1653"/>
      <c r="M33" s="1652"/>
      <c r="N33" s="1652"/>
      <c r="O33" s="1652"/>
      <c r="S33" s="2534" t="s">
        <v>483</v>
      </c>
      <c r="T33" s="2534"/>
      <c r="U33" s="1656"/>
      <c r="V33" s="2535" t="str">
        <f>IF(TITLE_NUMBER_PR_CHANGE="",IF(TITLE_NUMBER_PR="","",TITLE_NUMBER_PR),TITLE_NUMBER_PR_CHANGE)</f>
        <v>№ 40/8</v>
      </c>
      <c r="W33" s="2535"/>
      <c r="X33" s="2535"/>
      <c r="Y33" s="2535"/>
      <c r="Z33" s="2535"/>
      <c r="AA33" s="2535"/>
      <c r="AB33" s="610"/>
      <c r="AC33" s="2535" t="str">
        <f>IF(TITLE_NUMBER_PR_CHANGE="",IF(TITLE_NUMBER_PR="","",TITLE_NUMBER_PR),TITLE_NUMBER_PR_CHANGE)</f>
        <v>№ 40/8</v>
      </c>
      <c r="AD33" s="2535"/>
      <c r="AE33" s="2535"/>
      <c r="AF33" s="2535"/>
      <c r="AG33" s="2535"/>
      <c r="AH33" s="2535"/>
      <c r="AI33" s="610"/>
      <c r="AJ33" s="610"/>
      <c r="AK33" s="564"/>
      <c r="AL33" s="652"/>
      <c r="AM33" s="652"/>
      <c r="AN33" s="652"/>
      <c r="AO33" s="652"/>
      <c r="AP33" s="652"/>
      <c r="AQ33" s="702">
        <v>0</v>
      </c>
    </row>
    <row s="30764" customFormat="1" customHeight="1" ht="1.05">
      <c r="A34" s="1652"/>
      <c r="B34" s="1652"/>
      <c r="C34" s="1652"/>
      <c r="D34" s="1652"/>
      <c r="E34" s="1652"/>
      <c r="F34" s="1652"/>
      <c r="G34" s="1652"/>
      <c r="H34" s="1652"/>
      <c r="I34" s="1652"/>
      <c r="J34" s="1652"/>
      <c r="K34" s="1652"/>
      <c r="L34" s="1653"/>
      <c r="M34" s="1652"/>
      <c r="N34" s="1652"/>
      <c r="O34" s="1652"/>
      <c r="S34" s="607"/>
      <c r="T34" s="607"/>
      <c r="U34" s="1738"/>
      <c r="V34" s="610"/>
      <c r="W34" s="610"/>
      <c r="X34" s="610"/>
      <c r="Y34" s="610"/>
      <c r="Z34" s="610"/>
      <c r="AA34" s="610"/>
      <c r="AB34" s="562" t="s">
        <v>484</v>
      </c>
      <c r="AC34" s="610"/>
      <c r="AD34" s="610"/>
      <c r="AE34" s="610"/>
      <c r="AF34" s="610"/>
      <c r="AG34" s="610"/>
      <c r="AH34" s="610"/>
      <c r="AI34" s="562" t="s">
        <v>484</v>
      </c>
      <c r="AL34" s="652"/>
      <c r="AM34" s="652"/>
      <c r="AN34" s="652"/>
      <c r="AO34" s="652"/>
      <c r="AP34" s="652"/>
      <c r="AQ34" s="702">
        <v>1</v>
      </c>
    </row>
    <row customHeight="1" ht="14.699999999999998">
      <c r="Q35" s="660"/>
      <c r="R35" s="660"/>
      <c r="S35" s="1559"/>
      <c r="T35" s="647"/>
      <c r="U35" s="1528"/>
      <c r="V35" s="2536"/>
      <c r="W35" s="2536"/>
      <c r="X35" s="2536"/>
      <c r="Y35" s="2536"/>
      <c r="Z35" s="2536"/>
      <c r="AA35" s="2536"/>
      <c r="AB35" s="2536"/>
      <c r="AC35" s="2536"/>
      <c r="AD35" s="2536"/>
      <c r="AE35" s="2536"/>
      <c r="AF35" s="2536"/>
      <c r="AG35" s="2536"/>
      <c r="AH35" s="2536"/>
      <c r="AI35" s="2536"/>
      <c r="AQ35" s="1439">
        <v>14</v>
      </c>
    </row>
    <row customHeight="1" ht="14.699999999999998">
      <c r="Q36" s="660"/>
      <c r="R36" s="660"/>
      <c r="S36" s="2411" t="s">
        <v>360</v>
      </c>
      <c r="T36" s="2411"/>
      <c r="U36" s="2411"/>
      <c r="V36" s="2411"/>
      <c r="W36" s="2411"/>
      <c r="X36" s="2411"/>
      <c r="Y36" s="2411"/>
      <c r="Z36" s="2411"/>
      <c r="AA36" s="2411"/>
      <c r="AB36" s="2411"/>
      <c r="AC36" s="2411"/>
      <c r="AD36" s="2411"/>
      <c r="AE36" s="2411"/>
      <c r="AF36" s="2411"/>
      <c r="AG36" s="2411"/>
      <c r="AH36" s="2411"/>
      <c r="AI36" s="2411"/>
      <c r="AJ36" s="2411"/>
      <c r="AK36" s="2411" t="s">
        <v>361</v>
      </c>
      <c r="AQ36" s="1439">
        <v>14</v>
      </c>
    </row>
    <row customHeight="1" ht="14.699999999999998">
      <c r="Q37" s="660"/>
      <c r="R37" s="660"/>
      <c r="S37" s="2557" t="s">
        <v>91</v>
      </c>
      <c r="T37" s="2493" t="s">
        <v>485</v>
      </c>
      <c r="U37" s="585"/>
      <c r="V37" s="2558" t="s">
        <v>486</v>
      </c>
      <c r="W37" s="2559"/>
      <c r="X37" s="2559"/>
      <c r="Y37" s="2559"/>
      <c r="Z37" s="2559"/>
      <c r="AA37" s="2560"/>
      <c r="AB37" s="2561" t="s">
        <v>487</v>
      </c>
      <c r="AC37" s="2558" t="s">
        <v>486</v>
      </c>
      <c r="AD37" s="2559"/>
      <c r="AE37" s="2559"/>
      <c r="AF37" s="2559"/>
      <c r="AG37" s="2559"/>
      <c r="AH37" s="2560"/>
      <c r="AI37" s="2561" t="s">
        <v>488</v>
      </c>
      <c r="AJ37" s="2564" t="s">
        <v>489</v>
      </c>
      <c r="AK37" s="2411"/>
      <c r="AQ37" s="1439">
        <v>14</v>
      </c>
    </row>
    <row customHeight="1" ht="35.699999999999996">
      <c r="Q38" s="660"/>
      <c r="R38" s="660"/>
      <c r="S38" s="2557"/>
      <c r="T38" s="2493"/>
      <c r="U38" s="1315"/>
      <c r="V38" s="1736" t="s">
        <v>561</v>
      </c>
      <c r="W38" s="2546" t="s">
        <v>492</v>
      </c>
      <c r="X38" s="2547"/>
      <c r="Y38" s="2546" t="s">
        <v>493</v>
      </c>
      <c r="Z38" s="2553"/>
      <c r="AA38" s="2547"/>
      <c r="AB38" s="2562"/>
      <c r="AC38" s="1736" t="s">
        <v>561</v>
      </c>
      <c r="AD38" s="2546" t="s">
        <v>492</v>
      </c>
      <c r="AE38" s="2547"/>
      <c r="AF38" s="2546" t="s">
        <v>493</v>
      </c>
      <c r="AG38" s="2553"/>
      <c r="AH38" s="2547"/>
      <c r="AI38" s="2562"/>
      <c r="AJ38" s="2565"/>
      <c r="AK38" s="2411"/>
      <c r="AQ38" s="1439">
        <v>34</v>
      </c>
    </row>
    <row customHeight="1" ht="35.699999999999996">
      <c r="A39" s="1654"/>
      <c r="B39" s="1654" t="s">
        <v>165</v>
      </c>
      <c r="C39" s="1654" t="s">
        <v>166</v>
      </c>
      <c r="D39" s="1654" t="s">
        <v>167</v>
      </c>
      <c r="E39" s="1648" t="s">
        <v>494</v>
      </c>
      <c r="F39" s="1648" t="s">
        <v>495</v>
      </c>
      <c r="G39" s="1648" t="s">
        <v>496</v>
      </c>
      <c r="H39" s="1648"/>
      <c r="I39" s="1648" t="s">
        <v>562</v>
      </c>
      <c r="J39" s="1648" t="s">
        <v>499</v>
      </c>
      <c r="K39" s="1648" t="s">
        <v>563</v>
      </c>
      <c r="L39" s="1648" t="s">
        <v>475</v>
      </c>
      <c r="Q39" s="660"/>
      <c r="R39" s="660"/>
      <c r="S39" s="2557"/>
      <c r="T39" s="2493"/>
      <c r="U39" s="586"/>
      <c r="V39" s="1736" t="s">
        <v>564</v>
      </c>
      <c r="W39" s="1506" t="s">
        <v>565</v>
      </c>
      <c r="X39" s="1506" t="s">
        <v>566</v>
      </c>
      <c r="Y39" s="1739" t="s">
        <v>503</v>
      </c>
      <c r="Z39" s="2554" t="s">
        <v>504</v>
      </c>
      <c r="AA39" s="2555"/>
      <c r="AB39" s="2563"/>
      <c r="AC39" s="1736" t="s">
        <v>564</v>
      </c>
      <c r="AD39" s="1506" t="s">
        <v>565</v>
      </c>
      <c r="AE39" s="1506" t="s">
        <v>566</v>
      </c>
      <c r="AF39" s="1739" t="s">
        <v>503</v>
      </c>
      <c r="AG39" s="2554" t="s">
        <v>504</v>
      </c>
      <c r="AH39" s="2555"/>
      <c r="AI39" s="2563"/>
      <c r="AJ39" s="2566"/>
      <c r="AK39" s="2411"/>
      <c r="AQ39" s="1439">
        <v>34</v>
      </c>
    </row>
    <row s="31261" customFormat="1" customHeight="1" ht="0">
      <c r="A40" s="1654"/>
      <c r="B40" s="1654"/>
      <c r="C40" s="1654"/>
      <c r="D40" s="1654"/>
      <c r="E40" s="1654"/>
      <c r="F40" s="1654"/>
      <c r="G40" s="1654"/>
      <c r="H40" s="1654"/>
      <c r="I40" s="1654"/>
      <c r="J40" s="1654"/>
      <c r="K40" s="1654"/>
      <c r="L40" s="1648"/>
      <c r="M40" s="1646"/>
      <c r="N40" s="1646"/>
      <c r="O40" s="1646"/>
      <c r="P40" s="1530"/>
      <c r="Q40" s="1531"/>
      <c r="R40" s="1538">
        <v>1</v>
      </c>
      <c r="S40" s="1561" t="s">
        <v>141</v>
      </c>
      <c r="T40" s="1539" t="s">
        <v>105</v>
      </c>
      <c r="U40" s="1529" t="str">
        <f>OFFSET(U40,0,-1)</f>
        <v>2</v>
      </c>
      <c r="V40" s="1735">
        <f>OFFSET(V40,0,-1)+1</f>
        <v>3</v>
      </c>
      <c r="W40" s="1735">
        <f>OFFSET(W40,0,-1)+1</f>
        <v>4</v>
      </c>
      <c r="X40" s="1735">
        <f>OFFSET(X40,0,-1)+1</f>
        <v>5</v>
      </c>
      <c r="Y40" s="1735">
        <f>OFFSET(Y40,0,-1)+1</f>
        <v>6</v>
      </c>
      <c r="Z40" s="2556">
        <f>OFFSET(Z40,0,-1)+1</f>
        <v>7</v>
      </c>
      <c r="AA40" s="2556"/>
      <c r="AB40" s="1735">
        <f>OFFSET(AB40,0,-2)+1</f>
        <v>8</v>
      </c>
      <c r="AC40" s="1735">
        <f>OFFSET(AC40,0,-1)+1</f>
        <v>9</v>
      </c>
      <c r="AD40" s="1735">
        <f>OFFSET(AD40,0,-1)+1</f>
        <v>10</v>
      </c>
      <c r="AE40" s="1735">
        <f>OFFSET(AE40,0,-1)+1</f>
        <v>11</v>
      </c>
      <c r="AF40" s="1735">
        <f>OFFSET(AF40,0,-1)+1</f>
        <v>12</v>
      </c>
      <c r="AG40" s="2556">
        <f>OFFSET(AG40,0,-1)+1</f>
        <v>13</v>
      </c>
      <c r="AH40" s="2556"/>
      <c r="AI40" s="1735">
        <f>OFFSET(AI40,0,-2)+1</f>
        <v>14</v>
      </c>
      <c r="AJ40" s="1529">
        <f>OFFSET(AJ40,0,-1)</f>
        <v>14</v>
      </c>
      <c r="AK40" s="1735">
        <f>OFFSET(AK40,0,-1)+1</f>
        <v>15</v>
      </c>
      <c r="AL40" s="795"/>
      <c r="AM40" s="795"/>
      <c r="AN40" s="795"/>
      <c r="AO40" s="795"/>
      <c r="AP40" s="795"/>
      <c r="AQ40" s="780">
        <v>0</v>
      </c>
    </row>
    <row customHeight="1" ht="24">
      <c r="A41" s="1647" t="s">
        <v>296</v>
      </c>
      <c r="B41" s="1647"/>
      <c r="C41" s="1647"/>
      <c r="D41" s="1647"/>
      <c r="E41" s="2542">
        <v>1</v>
      </c>
      <c r="F41" s="1647"/>
      <c r="G41" s="1647"/>
      <c r="H41" s="1647"/>
      <c r="I41" s="1647"/>
      <c r="J41" s="1647"/>
      <c r="K41" s="1647"/>
      <c r="L41" s="1648"/>
      <c r="M41" s="1649"/>
      <c r="N41" s="1649"/>
      <c r="O41" s="1649"/>
      <c r="P41" s="645"/>
      <c r="Q41" s="644"/>
      <c r="R41" s="639"/>
      <c r="S41" s="1741">
        <f>INDEX(PT_DIFFERENTIATION_NUM_NTAR,MATCH(A41,PT_DIFFERENTIATION_NTAR_ID,0))</f>
        <v>0</v>
      </c>
      <c r="T41" s="582" t="s">
        <v>153</v>
      </c>
      <c r="U41" s="584"/>
      <c r="V41" s="2526"/>
      <c r="W41" s="2527"/>
      <c r="X41" s="2527"/>
      <c r="Y41" s="2527"/>
      <c r="Z41" s="2527"/>
      <c r="AA41" s="2527"/>
      <c r="AB41" s="2528"/>
      <c r="AC41" s="2526" t="str">
        <f>INDEX(PT_DIFFERENTIATION_NTAR,MATCH(A41,PT_DIFFERENTIATION_NTAR_ID,0))</f>
        <v/>
      </c>
      <c r="AD41" s="2527"/>
      <c r="AE41" s="2527"/>
      <c r="AF41" s="2527"/>
      <c r="AG41" s="2527"/>
      <c r="AH41" s="2527"/>
      <c r="AI41" s="2527"/>
      <c r="AJ41" s="2528"/>
      <c r="AK41"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784"/>
      <c r="AN41" s="784" t="str">
        <f>IF(T41="","",T41)</f>
        <v>Наименование тарифа</v>
      </c>
      <c r="AO41" s="784"/>
      <c r="AP41" s="784"/>
      <c r="AQ41" s="1439">
        <v>23</v>
      </c>
    </row>
    <row customHeight="1" ht="24">
      <c r="A42" s="1647" t="s">
        <v>296</v>
      </c>
      <c r="B42" s="1647" t="s">
        <v>297</v>
      </c>
      <c r="C42" s="1647"/>
      <c r="D42" s="1647"/>
      <c r="E42" s="2543"/>
      <c r="F42" s="2542">
        <v>1</v>
      </c>
      <c r="G42" s="1647"/>
      <c r="H42" s="1647"/>
      <c r="I42" s="1647"/>
      <c r="J42" s="1647"/>
      <c r="K42" s="1647"/>
      <c r="L42" s="1648"/>
      <c r="M42" s="1649"/>
      <c r="N42" s="1649"/>
      <c r="O42" s="1649"/>
      <c r="P42" s="1737"/>
      <c r="Q42" s="636"/>
      <c r="R42" s="637"/>
      <c r="S42" s="1741" t="str">
        <f>INDEX(PT_DIFFERENTIATION_NUM_TER,MATCH(B42,PT_DIFFERENTIATION_TER_ID,0))</f>
        <v>.</v>
      </c>
      <c r="T42" s="592" t="s">
        <v>457</v>
      </c>
      <c r="U42" s="584"/>
      <c r="V42" s="2526"/>
      <c r="W42" s="2527"/>
      <c r="X42" s="2527"/>
      <c r="Y42" s="2527"/>
      <c r="Z42" s="2527"/>
      <c r="AA42" s="2527"/>
      <c r="AB42" s="2528"/>
      <c r="AC42" s="2526" t="str">
        <f>INDEX(PT_DIFFERENTIATION_TER,MATCH(B42,PT_DIFFERENTIATION_TER_ID,0))</f>
        <v/>
      </c>
      <c r="AD42" s="2527"/>
      <c r="AE42" s="2527"/>
      <c r="AF42" s="2527"/>
      <c r="AG42" s="2527"/>
      <c r="AH42" s="2527"/>
      <c r="AI42" s="2527"/>
      <c r="AJ42" s="2528"/>
      <c r="AK42" s="1542" t="s">
        <v>458</v>
      </c>
      <c r="AM42" s="784"/>
      <c r="AN42" s="784" t="str">
        <f>IF(T42="","",T42)</f>
        <v>Территория действия тарифа</v>
      </c>
      <c r="AO42" s="784"/>
      <c r="AP42" s="784"/>
      <c r="AQ42" s="1439">
        <v>23</v>
      </c>
    </row>
    <row customHeight="1" ht="24">
      <c r="A43" s="1647" t="s">
        <v>296</v>
      </c>
      <c r="B43" s="1647" t="s">
        <v>297</v>
      </c>
      <c r="C43" s="1647" t="s">
        <v>298</v>
      </c>
      <c r="D43" s="1647"/>
      <c r="E43" s="2543"/>
      <c r="F43" s="2543"/>
      <c r="G43" s="2542">
        <v>1</v>
      </c>
      <c r="H43" s="1647"/>
      <c r="I43" s="1647"/>
      <c r="J43" s="1647"/>
      <c r="K43" s="1647"/>
      <c r="L43" s="1648"/>
      <c r="M43" s="1649"/>
      <c r="N43" s="1649"/>
      <c r="O43" s="1649"/>
      <c r="P43" s="638"/>
      <c r="Q43" s="636"/>
      <c r="R43" s="637"/>
      <c r="S43" s="1741" t="str">
        <f>INDEX(PT_DIFFERENTIATION_NUM_CS,MATCH(C43,PT_DIFFERENTIATION_CS_ID,0))</f>
        <v>..</v>
      </c>
      <c r="T43" s="593" t="s">
        <v>553</v>
      </c>
      <c r="U43" s="584"/>
      <c r="V43" s="2526"/>
      <c r="W43" s="2527"/>
      <c r="X43" s="2527"/>
      <c r="Y43" s="2527"/>
      <c r="Z43" s="2527"/>
      <c r="AA43" s="2527"/>
      <c r="AB43" s="2528"/>
      <c r="AC43" s="2526" t="str">
        <f>INDEX(PT_DIFFERENTIATION_CS,MATCH(C43,PT_DIFFERENTIATION_CS_ID,0))</f>
        <v/>
      </c>
      <c r="AD43" s="2527"/>
      <c r="AE43" s="2527"/>
      <c r="AF43" s="2527"/>
      <c r="AG43" s="2527"/>
      <c r="AH43" s="2527"/>
      <c r="AI43" s="2527"/>
      <c r="AJ43" s="2528"/>
      <c r="AK43" s="1542" t="s">
        <v>554</v>
      </c>
      <c r="AM43" s="784"/>
      <c r="AN43" s="784" t="str">
        <f>IF(T43="","",T43)</f>
        <v>Наименование централизованной системы холодного водоснабжения</v>
      </c>
      <c r="AO43" s="784"/>
      <c r="AP43" s="784"/>
      <c r="AQ43" s="1439">
        <v>23</v>
      </c>
    </row>
    <row customHeight="1" ht="24">
      <c r="A44" s="1647" t="s">
        <v>296</v>
      </c>
      <c r="B44" s="1647" t="s">
        <v>297</v>
      </c>
      <c r="C44" s="1647" t="s">
        <v>298</v>
      </c>
      <c r="D44" s="1647" t="s">
        <v>569</v>
      </c>
      <c r="E44" s="2543"/>
      <c r="F44" s="2543"/>
      <c r="G44" s="2543"/>
      <c r="H44" s="2543"/>
      <c r="I44" s="2540" t="str">
        <f>S43&amp;".1"</f>
        <v>...1</v>
      </c>
      <c r="J44" s="1647"/>
      <c r="K44" s="1647"/>
      <c r="L44" s="1648"/>
      <c r="P44" s="2541">
        <v>1</v>
      </c>
      <c r="Q44" s="1734"/>
      <c r="R44" s="640"/>
      <c r="S44" s="1741" t="str">
        <f>$I44</f>
        <v>...1</v>
      </c>
      <c r="T44" s="569" t="s">
        <v>555</v>
      </c>
      <c r="U44" s="584"/>
      <c r="V44" s="2634"/>
      <c r="W44" s="2635"/>
      <c r="X44" s="2635"/>
      <c r="Y44" s="2635"/>
      <c r="Z44" s="2635"/>
      <c r="AA44" s="2635"/>
      <c r="AB44" s="2636"/>
      <c r="AC44" s="2637"/>
      <c r="AD44" s="2638"/>
      <c r="AE44" s="2638"/>
      <c r="AF44" s="2638"/>
      <c r="AG44" s="2638"/>
      <c r="AH44" s="2638"/>
      <c r="AI44" s="2638"/>
      <c r="AJ44" s="2639"/>
      <c r="AK44" s="1542" t="s">
        <v>556</v>
      </c>
      <c r="AM44" s="784"/>
      <c r="AN44" s="784" t="str">
        <f>IF(T44="","",T44)</f>
        <v>Наименование признака дифференциации</v>
      </c>
      <c r="AO44" s="784"/>
      <c r="AP44" s="784"/>
      <c r="AQ44" s="1439">
        <v>23</v>
      </c>
    </row>
    <row customHeight="1" ht="24">
      <c r="A45" s="1647" t="s">
        <v>296</v>
      </c>
      <c r="B45" s="1647" t="s">
        <v>297</v>
      </c>
      <c r="C45" s="1647" t="s">
        <v>298</v>
      </c>
      <c r="D45" s="1647" t="s">
        <v>569</v>
      </c>
      <c r="E45" s="2543"/>
      <c r="F45" s="2543"/>
      <c r="G45" s="2543"/>
      <c r="H45" s="2543"/>
      <c r="I45" s="2570"/>
      <c r="J45" s="2540" t="str">
        <f>I44&amp;".1"</f>
        <v>...1.1</v>
      </c>
      <c r="K45" s="1647"/>
      <c r="L45" s="1648" t="s">
        <v>466</v>
      </c>
      <c r="P45" s="2541"/>
      <c r="Q45" s="2541">
        <v>1</v>
      </c>
      <c r="R45" s="641"/>
      <c r="S45" s="1741" t="str">
        <f>$J45</f>
        <v>...1.1</v>
      </c>
      <c r="T45" s="570" t="s">
        <v>467</v>
      </c>
      <c r="U45" s="584"/>
      <c r="V45" s="2529"/>
      <c r="W45" s="2530"/>
      <c r="X45" s="2530"/>
      <c r="Y45" s="2530"/>
      <c r="Z45" s="2530"/>
      <c r="AA45" s="2530"/>
      <c r="AB45" s="2531"/>
      <c r="AC45" s="2529"/>
      <c r="AD45" s="2530"/>
      <c r="AE45" s="2530"/>
      <c r="AF45" s="2530"/>
      <c r="AG45" s="2530"/>
      <c r="AH45" s="2530"/>
      <c r="AI45" s="2530"/>
      <c r="AJ45" s="2531"/>
      <c r="AK45" s="1591" t="s">
        <v>557</v>
      </c>
      <c r="AM45" s="784"/>
      <c r="AN45" s="784" t="str">
        <f>IF(T45="","",T45)</f>
        <v>Группа потребителей</v>
      </c>
      <c r="AO45" s="784"/>
      <c r="AP45" s="784"/>
      <c r="AQ45" s="1439">
        <v>23</v>
      </c>
    </row>
    <row customHeight="1" ht="24">
      <c r="A46" s="1647" t="s">
        <v>296</v>
      </c>
      <c r="B46" s="1647" t="s">
        <v>297</v>
      </c>
      <c r="C46" s="1647" t="s">
        <v>298</v>
      </c>
      <c r="D46" s="1647" t="s">
        <v>569</v>
      </c>
      <c r="E46" s="2543"/>
      <c r="F46" s="2543"/>
      <c r="G46" s="2543"/>
      <c r="H46" s="2543"/>
      <c r="I46" s="2570"/>
      <c r="J46" s="2570"/>
      <c r="K46" s="2540" t="str">
        <f>J45&amp;".1"</f>
        <v>...1.1.1</v>
      </c>
      <c r="L46" s="1648"/>
      <c r="P46" s="2541"/>
      <c r="Q46" s="2541"/>
      <c r="R46" s="641">
        <v>1</v>
      </c>
      <c r="S46" s="1741" t="str">
        <f>$K46</f>
        <v>...1.1.1</v>
      </c>
      <c r="T46" s="1721"/>
      <c r="U46" s="584"/>
      <c r="V46" s="1035"/>
      <c r="W46" s="1035"/>
      <c r="X46" s="1541"/>
      <c r="Y46" s="2549"/>
      <c r="Z46" s="2391" t="s">
        <v>64</v>
      </c>
      <c r="AA46" s="2549"/>
      <c r="AB46" s="2391" t="s">
        <v>64</v>
      </c>
      <c r="AC46" s="1035"/>
      <c r="AD46" s="1035"/>
      <c r="AE46" s="1541"/>
      <c r="AF46" s="2549"/>
      <c r="AG46" s="2391" t="s">
        <v>64</v>
      </c>
      <c r="AH46" s="2571"/>
      <c r="AI46" s="2391" t="s">
        <v>64</v>
      </c>
      <c r="AJ46" s="1722"/>
      <c r="AK46" s="26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95">
        <f>STRCHECKDATE(V47:AJ47)</f>
      </c>
      <c r="AM46" s="784"/>
      <c r="AN46" s="784" t="str">
        <f>IF(T46="","",T46)</f>
        <v/>
      </c>
      <c r="AO46" s="784"/>
      <c r="AP46" s="784"/>
      <c r="AQ46" s="1439">
        <v>23</v>
      </c>
    </row>
    <row customHeight="1" ht="0">
      <c r="A47" s="1647" t="s">
        <v>296</v>
      </c>
      <c r="B47" s="1647" t="s">
        <v>297</v>
      </c>
      <c r="C47" s="1647" t="s">
        <v>298</v>
      </c>
      <c r="D47" s="1647" t="s">
        <v>569</v>
      </c>
      <c r="E47" s="2543"/>
      <c r="F47" s="2543"/>
      <c r="G47" s="2543"/>
      <c r="H47" s="2543"/>
      <c r="I47" s="2570"/>
      <c r="J47" s="2570"/>
      <c r="K47" s="2540"/>
      <c r="L47" s="1648"/>
      <c r="P47" s="2541"/>
      <c r="Q47" s="2541"/>
      <c r="R47" s="641"/>
      <c r="S47" s="1740"/>
      <c r="T47" s="584"/>
      <c r="U47" s="584"/>
      <c r="V47" s="609"/>
      <c r="W47" s="609"/>
      <c r="X47" s="612" t="str">
        <f>Y46&amp;"-"&amp;AA46</f>
        <v>-</v>
      </c>
      <c r="Y47" s="2550"/>
      <c r="Z47" s="2391"/>
      <c r="AA47" s="2550"/>
      <c r="AB47" s="2391"/>
      <c r="AC47" s="609"/>
      <c r="AD47" s="609"/>
      <c r="AE47" s="612" t="str">
        <f>AF46&amp;"-"&amp;AH46</f>
        <v>-</v>
      </c>
      <c r="AF47" s="2550"/>
      <c r="AG47" s="2391"/>
      <c r="AH47" s="2572"/>
      <c r="AI47" s="2391"/>
      <c r="AJ47" s="1723"/>
      <c r="AK47" s="2633"/>
      <c r="AM47" s="784"/>
      <c r="AN47" s="784" t="str">
        <f>IF(T47="","",T47)</f>
        <v/>
      </c>
      <c r="AO47" s="784"/>
      <c r="AP47" s="784"/>
      <c r="AQ47" s="1439">
        <v>0</v>
      </c>
    </row>
    <row customHeight="1" ht="21">
      <c r="A48" s="1647" t="s">
        <v>296</v>
      </c>
      <c r="B48" s="1647" t="s">
        <v>297</v>
      </c>
      <c r="C48" s="1647" t="s">
        <v>298</v>
      </c>
      <c r="D48" s="1647" t="s">
        <v>569</v>
      </c>
      <c r="E48" s="2543"/>
      <c r="F48" s="2543"/>
      <c r="G48" s="2543"/>
      <c r="H48" s="2543"/>
      <c r="I48" s="2570"/>
      <c r="J48" s="2540"/>
      <c r="K48" s="1647"/>
      <c r="L48" s="1648"/>
      <c r="P48" s="2541"/>
      <c r="Q48" s="2541"/>
      <c r="R48" s="640"/>
      <c r="S48" s="1562"/>
      <c r="T48" s="571" t="s">
        <v>558</v>
      </c>
      <c r="U48" s="651"/>
      <c r="V48" s="651"/>
      <c r="W48" s="651"/>
      <c r="X48" s="651"/>
      <c r="Y48" s="651"/>
      <c r="Z48" s="651"/>
      <c r="AA48" s="651"/>
      <c r="AB48" s="651"/>
      <c r="AC48" s="651"/>
      <c r="AD48" s="651"/>
      <c r="AE48" s="651"/>
      <c r="AF48" s="651"/>
      <c r="AG48" s="651"/>
      <c r="AH48" s="651"/>
      <c r="AI48" s="651"/>
      <c r="AJ48" s="651"/>
      <c r="AK48" s="1542" t="s">
        <v>559</v>
      </c>
      <c r="AM48" s="784"/>
      <c r="AN48" s="784" t="str">
        <f>IF(T48="","",T48)</f>
        <v>Добавить значение признака дифференциации</v>
      </c>
      <c r="AO48" s="784"/>
      <c r="AP48" s="784"/>
      <c r="AQ48" s="1439">
        <v>20</v>
      </c>
    </row>
    <row customHeight="1" ht="22.049999999999997">
      <c r="A49" s="1647" t="s">
        <v>296</v>
      </c>
      <c r="B49" s="1647" t="s">
        <v>297</v>
      </c>
      <c r="C49" s="1647" t="s">
        <v>298</v>
      </c>
      <c r="D49" s="1647" t="s">
        <v>569</v>
      </c>
      <c r="E49" s="2543"/>
      <c r="F49" s="2543"/>
      <c r="G49" s="2543"/>
      <c r="H49" s="2543"/>
      <c r="I49" s="2540"/>
      <c r="J49" s="1647"/>
      <c r="K49" s="1647"/>
      <c r="L49" s="1648"/>
      <c r="P49" s="2541"/>
      <c r="Q49" s="1734"/>
      <c r="R49" s="640"/>
      <c r="S49" s="1562"/>
      <c r="T49" s="649" t="s">
        <v>472</v>
      </c>
      <c r="U49" s="651"/>
      <c r="V49" s="651"/>
      <c r="W49" s="651"/>
      <c r="X49" s="651"/>
      <c r="Y49" s="651"/>
      <c r="Z49" s="651"/>
      <c r="AA49" s="651"/>
      <c r="AB49" s="650"/>
      <c r="AC49" s="651"/>
      <c r="AD49" s="651"/>
      <c r="AE49" s="651"/>
      <c r="AF49" s="651"/>
      <c r="AG49" s="651"/>
      <c r="AH49" s="651"/>
      <c r="AI49" s="650"/>
      <c r="AJ49" s="651"/>
      <c r="AK49" s="1724"/>
      <c r="AM49" s="784"/>
      <c r="AN49" s="784" t="str">
        <f>IF(T49="","",T49)</f>
        <v>Добавить группу потребителей</v>
      </c>
      <c r="AO49" s="784"/>
      <c r="AP49" s="784"/>
      <c r="AQ49" s="1439">
        <v>21</v>
      </c>
    </row>
    <row customHeight="1" ht="22.049999999999997">
      <c r="A50" s="1647" t="s">
        <v>296</v>
      </c>
      <c r="B50" s="1647" t="s">
        <v>297</v>
      </c>
      <c r="C50" s="1647" t="s">
        <v>298</v>
      </c>
      <c r="D50" s="1647" t="s">
        <v>569</v>
      </c>
      <c r="E50" s="2543"/>
      <c r="F50" s="2543"/>
      <c r="G50" s="2543"/>
      <c r="H50" s="2542"/>
      <c r="I50" s="1647"/>
      <c r="J50" s="1647"/>
      <c r="K50" s="1647"/>
      <c r="L50" s="1648"/>
      <c r="M50" s="1649"/>
      <c r="N50" s="1649"/>
      <c r="O50" s="821"/>
      <c r="P50" s="644"/>
      <c r="Q50" s="659"/>
      <c r="R50" s="639"/>
      <c r="S50" s="1562"/>
      <c r="T50" s="656" t="s">
        <v>560</v>
      </c>
      <c r="U50" s="651"/>
      <c r="V50" s="651"/>
      <c r="W50" s="651"/>
      <c r="X50" s="651"/>
      <c r="Y50" s="651"/>
      <c r="Z50" s="651"/>
      <c r="AA50" s="651"/>
      <c r="AB50" s="650"/>
      <c r="AC50" s="651"/>
      <c r="AD50" s="651"/>
      <c r="AE50" s="651"/>
      <c r="AF50" s="651"/>
      <c r="AG50" s="651"/>
      <c r="AH50" s="651"/>
      <c r="AI50" s="650"/>
      <c r="AJ50" s="651"/>
      <c r="AK50" s="587"/>
      <c r="AM50" s="784"/>
      <c r="AN50" s="784" t="str">
        <f>IF(T50="","",T50)</f>
        <v>Добавить наименование признака дифференциации</v>
      </c>
      <c r="AO50" s="784"/>
      <c r="AP50" s="784"/>
      <c r="AQ50" s="1439">
        <v>21</v>
      </c>
    </row>
    <row s="30621" customFormat="1" customHeight="1" ht="0">
      <c r="A51" s="1627" t="s">
        <v>296</v>
      </c>
      <c r="B51" s="1627" t="s">
        <v>297</v>
      </c>
      <c r="C51" s="1598"/>
      <c r="D51" s="1598"/>
      <c r="E51" s="2543"/>
      <c r="F51" s="2542"/>
      <c r="G51" s="1598"/>
      <c r="H51" s="1598"/>
      <c r="I51" s="1598"/>
      <c r="J51" s="1598"/>
      <c r="K51" s="1598"/>
      <c r="L51" s="1742"/>
      <c r="M51" s="1605"/>
      <c r="N51" s="1605"/>
      <c r="P51" s="1600"/>
      <c r="Q51" s="1601"/>
      <c r="R51" s="1600"/>
      <c r="S51" s="1606"/>
      <c r="T51" s="1609" t="s">
        <v>214</v>
      </c>
      <c r="U51" s="1608"/>
      <c r="V51" s="1608"/>
      <c r="W51" s="1608"/>
      <c r="X51" s="1608"/>
      <c r="Y51" s="1608"/>
      <c r="Z51" s="1608"/>
      <c r="AA51" s="1608"/>
      <c r="AB51" s="1608"/>
      <c r="AC51" s="1608"/>
      <c r="AD51" s="1608"/>
      <c r="AE51" s="1608"/>
      <c r="AF51" s="1608"/>
      <c r="AG51" s="1608"/>
      <c r="AH51" s="1608"/>
      <c r="AI51" s="1608"/>
      <c r="AJ51" s="1608"/>
      <c r="AK51" s="1608"/>
      <c r="AM51" s="1073"/>
      <c r="AN51" s="1073" t="str">
        <f>IF(T51="","",T51)</f>
        <v>Добавить централизованную систему для дифференциации</v>
      </c>
      <c r="AO51" s="1073"/>
      <c r="AP51" s="1073"/>
      <c r="AQ51" s="802">
        <v>0</v>
      </c>
    </row>
    <row s="30621" customFormat="1" customHeight="1" ht="0">
      <c r="A52" s="1627" t="s">
        <v>296</v>
      </c>
      <c r="B52" s="1627"/>
      <c r="C52" s="1627"/>
      <c r="D52" s="1627"/>
      <c r="E52" s="2542"/>
      <c r="F52" s="1627"/>
      <c r="G52" s="1627"/>
      <c r="H52" s="1627"/>
      <c r="I52" s="1627"/>
      <c r="J52" s="1627"/>
      <c r="K52" s="1627"/>
      <c r="L52" s="1630"/>
      <c r="M52" s="1605"/>
      <c r="N52" s="1605"/>
      <c r="O52" s="802"/>
      <c r="P52" s="664"/>
      <c r="Q52" s="1628"/>
      <c r="R52" s="664"/>
      <c r="S52" s="1606"/>
      <c r="T52" s="1609" t="s">
        <v>230</v>
      </c>
      <c r="U52" s="1608"/>
      <c r="V52" s="1608"/>
      <c r="W52" s="1608"/>
      <c r="X52" s="1608"/>
      <c r="Y52" s="1608"/>
      <c r="Z52" s="1608"/>
      <c r="AA52" s="1608"/>
      <c r="AB52" s="1608"/>
      <c r="AC52" s="1608"/>
      <c r="AD52" s="1608"/>
      <c r="AE52" s="1608"/>
      <c r="AF52" s="1608"/>
      <c r="AG52" s="1608"/>
      <c r="AH52" s="1608"/>
      <c r="AI52" s="1608"/>
      <c r="AJ52" s="1608"/>
      <c r="AK52" s="1608"/>
      <c r="AM52" s="784"/>
      <c r="AN52" s="784" t="str">
        <f>IF(T52="","",T52)</f>
        <v>Добавить территорию для дифференциации</v>
      </c>
      <c r="AO52" s="784"/>
      <c r="AP52" s="784"/>
      <c r="AQ52" s="795">
        <v>0</v>
      </c>
    </row>
    <row s="30621" customFormat="1" customHeight="1" ht="0">
      <c r="A53" s="1598"/>
      <c r="B53" s="1598"/>
      <c r="C53" s="1598"/>
      <c r="D53" s="1598"/>
      <c r="E53" s="1627"/>
      <c r="F53" s="1598"/>
      <c r="G53" s="1598"/>
      <c r="H53" s="1598"/>
      <c r="I53" s="1598"/>
      <c r="J53" s="1598"/>
      <c r="K53" s="1598"/>
      <c r="L53" s="1742"/>
      <c r="M53" s="1605"/>
      <c r="N53" s="1605"/>
      <c r="P53" s="1600"/>
      <c r="Q53" s="1601"/>
      <c r="R53" s="1600"/>
      <c r="S53" s="1606"/>
      <c r="T53" s="1609" t="s">
        <v>239</v>
      </c>
      <c r="U53" s="1608"/>
      <c r="V53" s="1608"/>
      <c r="W53" s="1608"/>
      <c r="X53" s="1608"/>
      <c r="Y53" s="1608"/>
      <c r="Z53" s="1608"/>
      <c r="AA53" s="1608"/>
      <c r="AB53" s="1608"/>
      <c r="AC53" s="1608"/>
      <c r="AD53" s="1608"/>
      <c r="AE53" s="1608"/>
      <c r="AF53" s="1608"/>
      <c r="AG53" s="1608"/>
      <c r="AH53" s="1608"/>
      <c r="AI53" s="1608"/>
      <c r="AJ53" s="1608"/>
      <c r="AK53" s="1608"/>
      <c r="AM53" s="1073"/>
      <c r="AN53" s="1073" t="str">
        <f>IF(T53="","",T53)</f>
        <v>Добавить наименование тарифа</v>
      </c>
      <c r="AO53" s="1073"/>
      <c r="AP53" s="1073"/>
      <c r="AQ53" s="802">
        <v>0</v>
      </c>
    </row>
    <row customHeight="1" ht="11.549999999999999">
      <c r="M54" s="1444"/>
      <c r="N54" s="1444"/>
      <c r="O54" s="821"/>
      <c r="P54" s="1439"/>
      <c r="Q54" s="1439"/>
      <c r="R54" s="1439"/>
      <c r="S54" s="1439"/>
      <c r="AL54" s="1439"/>
      <c r="AM54" s="1439"/>
      <c r="AN54" s="1439"/>
      <c r="AO54" s="1439"/>
      <c r="AP54" s="1439"/>
      <c r="AQ54" s="1439">
        <v>11</v>
      </c>
    </row>
    <row customHeight="1" ht="14.699999999999998">
      <c r="O55" s="821"/>
      <c r="S55" s="1537"/>
      <c r="T55" s="2569"/>
      <c r="U55" s="2569"/>
      <c r="V55" s="2569"/>
      <c r="W55" s="2569"/>
      <c r="X55" s="2569"/>
      <c r="Y55" s="2569"/>
      <c r="Z55" s="2569"/>
      <c r="AA55" s="2569"/>
      <c r="AB55" s="2569"/>
      <c r="AC55" s="2569"/>
      <c r="AD55" s="2569"/>
      <c r="AE55" s="2569"/>
      <c r="AF55" s="2569"/>
      <c r="AG55" s="2569"/>
      <c r="AH55" s="2569"/>
      <c r="AI55" s="2569"/>
      <c r="AJ55" s="2569"/>
      <c r="AK55" s="2569"/>
      <c r="AQ55" s="1439">
        <v>14</v>
      </c>
    </row>
    <row customHeight="1" ht="14.699999999999998">
      <c r="O56" s="821"/>
      <c r="AQ56" s="1439">
        <v>14</v>
      </c>
    </row>
    <row customHeight="1" ht="14.699999999999998">
      <c r="O57" s="821"/>
      <c r="S57" s="1537"/>
      <c r="T57" s="2569"/>
      <c r="U57" s="2569"/>
      <c r="V57" s="2569"/>
      <c r="W57" s="2569"/>
      <c r="X57" s="2569"/>
      <c r="Y57" s="2569"/>
      <c r="Z57" s="2569"/>
      <c r="AA57" s="2569"/>
      <c r="AB57" s="2569"/>
      <c r="AC57" s="2569"/>
      <c r="AD57" s="2569"/>
      <c r="AE57" s="2569"/>
      <c r="AF57" s="2569"/>
      <c r="AG57" s="2569"/>
      <c r="AH57" s="2569"/>
      <c r="AI57" s="2569"/>
      <c r="AJ57" s="2569"/>
      <c r="AK57" s="2569"/>
      <c r="AQ57" s="1439">
        <v>14</v>
      </c>
    </row>
    <row customHeight="1" ht="22.5" hidden="1">
      <c r="A58" s="1444" t="s">
        <v>85</v>
      </c>
      <c r="B58" s="1444">
        <v>0</v>
      </c>
      <c r="C58" s="1444">
        <v>0</v>
      </c>
      <c r="D58" s="1444">
        <v>0</v>
      </c>
      <c r="E58" s="1444">
        <v>0</v>
      </c>
      <c r="F58" s="1444">
        <v>0</v>
      </c>
      <c r="G58" s="1444">
        <v>0</v>
      </c>
      <c r="H58" s="1444">
        <v>0</v>
      </c>
      <c r="I58" s="1444">
        <v>0</v>
      </c>
      <c r="J58" s="1444">
        <v>0</v>
      </c>
      <c r="K58" s="1444">
        <v>0</v>
      </c>
      <c r="L58" s="1731">
        <v>0</v>
      </c>
      <c r="M58" s="1646">
        <v>0</v>
      </c>
      <c r="N58" s="1646">
        <v>0</v>
      </c>
      <c r="O58" s="1646">
        <v>0</v>
      </c>
      <c r="P58" s="1730">
        <v>3</v>
      </c>
      <c r="Q58" s="628">
        <v>3</v>
      </c>
      <c r="R58" s="628">
        <v>3</v>
      </c>
      <c r="S58" s="865">
        <v>12</v>
      </c>
      <c r="T58" s="1439">
        <v>35</v>
      </c>
      <c r="U58" s="1439">
        <v>0</v>
      </c>
      <c r="V58" s="1439">
        <v>0</v>
      </c>
      <c r="W58" s="1439">
        <v>0</v>
      </c>
      <c r="X58" s="1439">
        <v>0</v>
      </c>
      <c r="Y58" s="1439">
        <v>0</v>
      </c>
      <c r="Z58" s="1439">
        <v>0</v>
      </c>
      <c r="AA58" s="1439">
        <v>0</v>
      </c>
      <c r="AB58" s="1439">
        <v>0</v>
      </c>
      <c r="AC58" s="1439">
        <v>24</v>
      </c>
      <c r="AD58" s="1439">
        <v>24</v>
      </c>
      <c r="AE58" s="1439">
        <v>24</v>
      </c>
      <c r="AF58" s="1439">
        <v>11</v>
      </c>
      <c r="AG58" s="1439">
        <v>3</v>
      </c>
      <c r="AH58" s="1439">
        <v>11</v>
      </c>
      <c r="AI58" s="1439">
        <v>0</v>
      </c>
      <c r="AJ58" s="1439">
        <v>4</v>
      </c>
      <c r="AK58" s="1439">
        <v>115</v>
      </c>
      <c r="AL58" s="795">
        <v>10</v>
      </c>
      <c r="AM58" s="795">
        <v>10</v>
      </c>
      <c r="AN58" s="795">
        <v>10</v>
      </c>
      <c r="AO58" s="795">
        <v>10</v>
      </c>
      <c r="AP58" s="795">
        <v>10</v>
      </c>
      <c r="AQ58" s="1439">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336E91-96B6-EBC3-A7DF-BA979818C3BA}"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30620" width="10.57421875" hidden="1"/>
    <col min="2" max="2" style="30620" width="11.00390625" hidden="1" customWidth="1"/>
    <col min="3" max="3" style="30620" width="10.57421875" hidden="1"/>
    <col min="4" max="4" style="30620" width="11.8515625" hidden="1" customWidth="1"/>
    <col min="5" max="5" style="30620" width="10.00390625" hidden="1" customWidth="1"/>
    <col min="6" max="6" style="30620" width="8.7109375" hidden="1" customWidth="1"/>
    <col min="7" max="7" style="30620" width="7.57421875" hidden="1" customWidth="1"/>
    <col min="8" max="8" style="30620" width="11.421875" hidden="1" customWidth="1"/>
    <col min="9" max="9" style="30620" width="14.140625" hidden="1" customWidth="1"/>
    <col min="10" max="10" style="30620" width="9.8515625" hidden="1" customWidth="1"/>
    <col min="11" max="11" style="30620" width="14.7109375" hidden="1" customWidth="1"/>
    <col min="12" max="12" style="31502" width="19.140625" hidden="1" customWidth="1"/>
    <col min="13" max="14" style="31503" width="12.28125" hidden="1" customWidth="1"/>
    <col min="15" max="15" style="31503" width="23.421875" hidden="1" customWidth="1"/>
    <col min="16" max="16" style="31504" width="3.00390625" customWidth="1"/>
    <col min="17" max="18" style="31505" width="3.00390625" customWidth="1"/>
    <col min="19" max="19" style="31506" width="12.00390625" customWidth="1"/>
    <col min="20" max="20" style="30541" width="35.00390625" customWidth="1"/>
    <col min="21" max="21" style="30541" width="0.140625" customWidth="1"/>
    <col min="22" max="24" style="30541" width="24.7109375" hidden="1" customWidth="1"/>
    <col min="25" max="25" style="30541" width="11.7109375" hidden="1" customWidth="1"/>
    <col min="26" max="26" style="30541" width="3.7109375" hidden="1" customWidth="1"/>
    <col min="27" max="27" style="30541" width="11.7109375" hidden="1" customWidth="1"/>
    <col min="28" max="28" style="30541" width="8.57421875" hidden="1" customWidth="1"/>
    <col min="29" max="29" style="30541" width="24.7109375" customWidth="1"/>
    <col min="30" max="31" style="30541" width="24.00390625" customWidth="1"/>
    <col min="32" max="32" style="30541" width="11.00390625" customWidth="1"/>
    <col min="33" max="33" style="30541" width="3.7109375" customWidth="1"/>
    <col min="34" max="34" style="30541" width="11.00390625" customWidth="1"/>
    <col min="35" max="35" style="30541" width="8.57421875" hidden="1" customWidth="1"/>
    <col min="36" max="36" style="30541" width="4.00390625" customWidth="1"/>
    <col min="37" max="37" style="30541" width="115.00390625" customWidth="1"/>
    <col min="38" max="42" style="30621" width="10.00390625" customWidth="1"/>
    <col min="43" max="43" style="30541" width="10.57421875" hidden="1"/>
  </cols>
  <sheetData>
    <row customHeight="1" ht="22.5" hidden="1">
      <c r="X1" s="611"/>
      <c r="Y1" s="611"/>
      <c r="AE1" s="611"/>
      <c r="AF1" s="611"/>
      <c r="AQ1" s="1439" t="s">
        <v>14</v>
      </c>
    </row>
    <row customHeight="1" ht="23.25" hidden="1">
      <c r="A2" s="1647"/>
      <c r="B2" s="1647"/>
      <c r="C2" s="1647"/>
      <c r="D2" s="1647"/>
      <c r="E2" s="2542">
        <v>1</v>
      </c>
      <c r="F2" s="1647"/>
      <c r="G2" s="1647"/>
      <c r="H2" s="1647"/>
      <c r="I2" s="1647"/>
      <c r="J2" s="1647"/>
      <c r="K2" s="1647"/>
      <c r="L2" s="1648"/>
      <c r="M2" s="1649"/>
      <c r="N2" s="1649"/>
      <c r="O2" s="1649"/>
      <c r="P2" s="645"/>
      <c r="Q2" s="644"/>
      <c r="R2" s="639"/>
      <c r="S2" s="1741">
        <f>INDEX(PT_DIFFERENTIATION_NUM_NTAR,MATCH(A2,PT_DIFFERENTIATION_NTAR_ID,0))</f>
      </c>
      <c r="T2" s="582" t="s">
        <v>153</v>
      </c>
      <c r="U2" s="584"/>
      <c r="V2" s="2526"/>
      <c r="W2" s="2527"/>
      <c r="X2" s="2527"/>
      <c r="Y2" s="2527"/>
      <c r="Z2" s="2527"/>
      <c r="AA2" s="2527"/>
      <c r="AB2" s="2528"/>
      <c r="AC2" s="2526">
        <f>INDEX(PT_DIFFERENTIATION_NTAR,MATCH(A2,PT_DIFFERENTIATION_NTAR_ID,0))</f>
      </c>
      <c r="AD2" s="2527"/>
      <c r="AE2" s="2527"/>
      <c r="AF2" s="2527"/>
      <c r="AG2" s="2527"/>
      <c r="AH2" s="2527"/>
      <c r="AI2" s="2527"/>
      <c r="AJ2" s="2528"/>
      <c r="AK2"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784"/>
      <c r="AN2" s="784" t="str">
        <f>IF(T2="","",T2)</f>
        <v>Наименование тарифа</v>
      </c>
      <c r="AO2" s="784"/>
      <c r="AP2" s="784"/>
      <c r="AQ2" s="1439">
        <v>0</v>
      </c>
    </row>
    <row customHeight="1" ht="23.25" hidden="1">
      <c r="A3" s="1647"/>
      <c r="B3" s="1647"/>
      <c r="C3" s="1647"/>
      <c r="D3" s="1647"/>
      <c r="E3" s="2543"/>
      <c r="F3" s="2542">
        <v>1</v>
      </c>
      <c r="G3" s="1647"/>
      <c r="H3" s="1647"/>
      <c r="I3" s="1647"/>
      <c r="J3" s="1647"/>
      <c r="K3" s="1647"/>
      <c r="L3" s="1648"/>
      <c r="M3" s="1649"/>
      <c r="N3" s="1649"/>
      <c r="O3" s="1649"/>
      <c r="P3" s="1737"/>
      <c r="Q3" s="636"/>
      <c r="R3" s="637"/>
      <c r="S3" s="1741">
        <f>INDEX(PT_DIFFERENTIATION_NUM_TER,MATCH(B3,PT_DIFFERENTIATION_TER_ID,0))</f>
      </c>
      <c r="T3" s="592" t="s">
        <v>457</v>
      </c>
      <c r="U3" s="584"/>
      <c r="V3" s="2526"/>
      <c r="W3" s="2527"/>
      <c r="X3" s="2527"/>
      <c r="Y3" s="2527"/>
      <c r="Z3" s="2527"/>
      <c r="AA3" s="2527"/>
      <c r="AB3" s="2528"/>
      <c r="AC3" s="2526">
        <f>INDEX(PT_DIFFERENTIATION_TER,MATCH(B3,PT_DIFFERENTIATION_TER_ID,0))</f>
      </c>
      <c r="AD3" s="2527"/>
      <c r="AE3" s="2527"/>
      <c r="AF3" s="2527"/>
      <c r="AG3" s="2527"/>
      <c r="AH3" s="2527"/>
      <c r="AI3" s="2527"/>
      <c r="AJ3" s="2528"/>
      <c r="AK3" s="1542" t="s">
        <v>458</v>
      </c>
      <c r="AM3" s="784"/>
      <c r="AN3" s="784" t="str">
        <f>IF(T3="","",T3)</f>
        <v>Территория действия тарифа</v>
      </c>
      <c r="AO3" s="784"/>
      <c r="AP3" s="784"/>
      <c r="AQ3" s="1439">
        <v>0</v>
      </c>
    </row>
    <row customHeight="1" ht="23.25" hidden="1">
      <c r="A4" s="1647"/>
      <c r="B4" s="1647"/>
      <c r="C4" s="1647"/>
      <c r="D4" s="1647"/>
      <c r="E4" s="2543"/>
      <c r="F4" s="2543"/>
      <c r="G4" s="2542">
        <v>1</v>
      </c>
      <c r="H4" s="1647"/>
      <c r="I4" s="1647"/>
      <c r="J4" s="1647"/>
      <c r="K4" s="1647"/>
      <c r="L4" s="1648"/>
      <c r="M4" s="1649"/>
      <c r="N4" s="1649"/>
      <c r="O4" s="1649"/>
      <c r="P4" s="638"/>
      <c r="Q4" s="636"/>
      <c r="R4" s="637"/>
      <c r="S4" s="1741">
        <f>INDEX(PT_DIFFERENTIATION_NUM_CS,MATCH(C4,PT_DIFFERENTIATION_CS_ID,0))</f>
      </c>
      <c r="T4" s="593" t="s">
        <v>553</v>
      </c>
      <c r="U4" s="584"/>
      <c r="V4" s="2526"/>
      <c r="W4" s="2527"/>
      <c r="X4" s="2527"/>
      <c r="Y4" s="2527"/>
      <c r="Z4" s="2527"/>
      <c r="AA4" s="2527"/>
      <c r="AB4" s="2528"/>
      <c r="AC4" s="2526">
        <f>INDEX(PT_DIFFERENTIATION_CS,MATCH(C4,PT_DIFFERENTIATION_CS_ID,0))</f>
      </c>
      <c r="AD4" s="2527"/>
      <c r="AE4" s="2527"/>
      <c r="AF4" s="2527"/>
      <c r="AG4" s="2527"/>
      <c r="AH4" s="2527"/>
      <c r="AI4" s="2527"/>
      <c r="AJ4" s="2528"/>
      <c r="AK4" s="1542" t="s">
        <v>554</v>
      </c>
      <c r="AM4" s="784"/>
      <c r="AN4" s="784" t="str">
        <f>IF(T4="","",T4)</f>
        <v>Наименование централизованной системы холодного водоснабжения</v>
      </c>
      <c r="AO4" s="784"/>
      <c r="AP4" s="784"/>
      <c r="AQ4" s="1439">
        <v>0</v>
      </c>
    </row>
    <row customHeight="1" ht="23.25" hidden="1">
      <c r="A5" s="1647"/>
      <c r="B5" s="1647"/>
      <c r="C5" s="1647"/>
      <c r="D5" s="1647"/>
      <c r="E5" s="2543"/>
      <c r="F5" s="2543"/>
      <c r="G5" s="2543"/>
      <c r="H5" s="2543"/>
      <c r="I5" s="2540">
        <f>S4&amp;".1"</f>
      </c>
      <c r="J5" s="1647"/>
      <c r="K5" s="1647"/>
      <c r="L5" s="1648"/>
      <c r="P5" s="2541">
        <v>1</v>
      </c>
      <c r="Q5" s="1734"/>
      <c r="R5" s="640"/>
      <c r="S5" s="1741">
        <f>$I5</f>
      </c>
      <c r="T5" s="569" t="s">
        <v>555</v>
      </c>
      <c r="U5" s="584"/>
      <c r="V5" s="2634"/>
      <c r="W5" s="2635"/>
      <c r="X5" s="2635"/>
      <c r="Y5" s="2635"/>
      <c r="Z5" s="2635"/>
      <c r="AA5" s="2635"/>
      <c r="AB5" s="2636"/>
      <c r="AC5" s="2637"/>
      <c r="AD5" s="2638"/>
      <c r="AE5" s="2638"/>
      <c r="AF5" s="2638"/>
      <c r="AG5" s="2638"/>
      <c r="AH5" s="2638"/>
      <c r="AI5" s="2638"/>
      <c r="AJ5" s="2639"/>
      <c r="AK5" s="1542" t="s">
        <v>556</v>
      </c>
      <c r="AM5" s="784"/>
      <c r="AN5" s="784" t="str">
        <f>IF(T5="","",T5)</f>
        <v>Наименование признака дифференциации</v>
      </c>
      <c r="AO5" s="784"/>
      <c r="AP5" s="784"/>
      <c r="AQ5" s="1439">
        <v>0</v>
      </c>
    </row>
    <row customHeight="1" ht="23.25" hidden="1">
      <c r="A6" s="1647"/>
      <c r="B6" s="1647"/>
      <c r="C6" s="1647"/>
      <c r="D6" s="1647"/>
      <c r="E6" s="2543"/>
      <c r="F6" s="2543"/>
      <c r="G6" s="2543"/>
      <c r="H6" s="2543"/>
      <c r="I6" s="2570"/>
      <c r="J6" s="2540">
        <f>I5&amp;".1"</f>
      </c>
      <c r="K6" s="1647"/>
      <c r="L6" s="1648" t="s">
        <v>466</v>
      </c>
      <c r="P6" s="2541"/>
      <c r="Q6" s="2541">
        <v>1</v>
      </c>
      <c r="R6" s="641"/>
      <c r="S6" s="1741">
        <f>$J6</f>
      </c>
      <c r="T6" s="570" t="s">
        <v>467</v>
      </c>
      <c r="U6" s="584"/>
      <c r="V6" s="2529"/>
      <c r="W6" s="2530"/>
      <c r="X6" s="2530"/>
      <c r="Y6" s="2530"/>
      <c r="Z6" s="2530"/>
      <c r="AA6" s="2530"/>
      <c r="AB6" s="2531"/>
      <c r="AC6" s="2529"/>
      <c r="AD6" s="2530"/>
      <c r="AE6" s="2530"/>
      <c r="AF6" s="2530"/>
      <c r="AG6" s="2530"/>
      <c r="AH6" s="2530"/>
      <c r="AI6" s="2530"/>
      <c r="AJ6" s="2531"/>
      <c r="AK6" s="1591" t="s">
        <v>557</v>
      </c>
      <c r="AM6" s="784"/>
      <c r="AN6" s="784" t="str">
        <f>IF(T6="","",T6)</f>
        <v>Группа потребителей</v>
      </c>
      <c r="AO6" s="784"/>
      <c r="AP6" s="784"/>
      <c r="AQ6" s="1439">
        <v>0</v>
      </c>
    </row>
    <row customHeight="1" ht="23.25" hidden="1">
      <c r="A7" s="1647"/>
      <c r="B7" s="1647"/>
      <c r="C7" s="1647"/>
      <c r="D7" s="1647"/>
      <c r="E7" s="2543"/>
      <c r="F7" s="2543"/>
      <c r="G7" s="2543"/>
      <c r="H7" s="2543"/>
      <c r="I7" s="2570"/>
      <c r="J7" s="2570"/>
      <c r="K7" s="2540">
        <f>J6&amp;".1"</f>
      </c>
      <c r="L7" s="1648"/>
      <c r="P7" s="2541"/>
      <c r="Q7" s="2541"/>
      <c r="R7" s="641">
        <v>1</v>
      </c>
      <c r="S7" s="1741">
        <f>$K7</f>
      </c>
      <c r="T7" s="1721"/>
      <c r="U7" s="584"/>
      <c r="V7" s="1035"/>
      <c r="W7" s="1035"/>
      <c r="X7" s="1541"/>
      <c r="Y7" s="2549"/>
      <c r="Z7" s="2391" t="s">
        <v>64</v>
      </c>
      <c r="AA7" s="2549"/>
      <c r="AB7" s="2391" t="s">
        <v>64</v>
      </c>
      <c r="AC7" s="1035"/>
      <c r="AD7" s="1035"/>
      <c r="AE7" s="1541"/>
      <c r="AF7" s="2549"/>
      <c r="AG7" s="2391" t="s">
        <v>64</v>
      </c>
      <c r="AH7" s="2571"/>
      <c r="AI7" s="2391" t="s">
        <v>64</v>
      </c>
      <c r="AJ7" s="1722"/>
      <c r="AK7" s="26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95">
        <f>STRCHECKDATE(V8:AJ8)</f>
      </c>
      <c r="AM7" s="784"/>
      <c r="AN7" s="784" t="str">
        <f>IF(T7="","",T7)</f>
        <v/>
      </c>
      <c r="AO7" s="784"/>
      <c r="AP7" s="784"/>
      <c r="AQ7" s="1439">
        <v>0</v>
      </c>
    </row>
    <row customHeight="1" ht="14.25" hidden="1">
      <c r="A8" s="1647"/>
      <c r="B8" s="1647"/>
      <c r="C8" s="1647"/>
      <c r="D8" s="1647"/>
      <c r="E8" s="2543"/>
      <c r="F8" s="2543"/>
      <c r="G8" s="2543"/>
      <c r="H8" s="2543"/>
      <c r="I8" s="2570"/>
      <c r="J8" s="2570"/>
      <c r="K8" s="2540"/>
      <c r="L8" s="1648"/>
      <c r="P8" s="2541"/>
      <c r="Q8" s="2541"/>
      <c r="R8" s="641"/>
      <c r="S8" s="1740"/>
      <c r="T8" s="584"/>
      <c r="U8" s="584"/>
      <c r="V8" s="609"/>
      <c r="W8" s="609"/>
      <c r="X8" s="612" t="str">
        <f>Y7&amp;"-"&amp;AA7</f>
        <v>-</v>
      </c>
      <c r="Y8" s="2550"/>
      <c r="Z8" s="2391"/>
      <c r="AA8" s="2550"/>
      <c r="AB8" s="2391"/>
      <c r="AC8" s="609"/>
      <c r="AD8" s="609"/>
      <c r="AE8" s="612" t="str">
        <f>AF7&amp;"-"&amp;AH7</f>
        <v>-</v>
      </c>
      <c r="AF8" s="2550"/>
      <c r="AG8" s="2391"/>
      <c r="AH8" s="2572"/>
      <c r="AI8" s="2391"/>
      <c r="AJ8" s="1723"/>
      <c r="AK8" s="2633"/>
      <c r="AM8" s="784"/>
      <c r="AN8" s="784" t="str">
        <f>IF(T8="","",T8)</f>
        <v/>
      </c>
      <c r="AO8" s="784"/>
      <c r="AP8" s="784"/>
      <c r="AQ8" s="1439">
        <v>0</v>
      </c>
    </row>
    <row customHeight="1" ht="21" hidden="1">
      <c r="A9" s="1647"/>
      <c r="B9" s="1647"/>
      <c r="C9" s="1647"/>
      <c r="D9" s="1647"/>
      <c r="E9" s="2543"/>
      <c r="F9" s="2543"/>
      <c r="G9" s="2543"/>
      <c r="H9" s="2543"/>
      <c r="I9" s="2570"/>
      <c r="J9" s="2540"/>
      <c r="K9" s="1647"/>
      <c r="L9" s="1648"/>
      <c r="P9" s="2541"/>
      <c r="Q9" s="2541"/>
      <c r="R9" s="640"/>
      <c r="S9" s="1562"/>
      <c r="T9" s="571" t="s">
        <v>558</v>
      </c>
      <c r="U9" s="651"/>
      <c r="V9" s="651"/>
      <c r="W9" s="651"/>
      <c r="X9" s="651"/>
      <c r="Y9" s="651"/>
      <c r="Z9" s="651"/>
      <c r="AA9" s="651"/>
      <c r="AB9" s="651"/>
      <c r="AC9" s="651"/>
      <c r="AD9" s="651"/>
      <c r="AE9" s="651"/>
      <c r="AF9" s="651"/>
      <c r="AG9" s="651"/>
      <c r="AH9" s="651"/>
      <c r="AI9" s="651"/>
      <c r="AJ9" s="651"/>
      <c r="AK9" s="1542" t="s">
        <v>559</v>
      </c>
      <c r="AM9" s="784"/>
      <c r="AN9" s="784" t="str">
        <f>IF(T9="","",T9)</f>
        <v>Добавить значение признака дифференциации</v>
      </c>
      <c r="AO9" s="784"/>
      <c r="AP9" s="784"/>
      <c r="AQ9" s="1439">
        <v>0</v>
      </c>
    </row>
    <row customHeight="1" ht="21" hidden="1">
      <c r="A10" s="1647"/>
      <c r="B10" s="1647"/>
      <c r="C10" s="1647"/>
      <c r="D10" s="1647"/>
      <c r="E10" s="2543"/>
      <c r="F10" s="2543"/>
      <c r="G10" s="2543"/>
      <c r="H10" s="2543"/>
      <c r="I10" s="2540"/>
      <c r="J10" s="1647"/>
      <c r="K10" s="1647"/>
      <c r="L10" s="1648"/>
      <c r="P10" s="2541"/>
      <c r="Q10" s="1734"/>
      <c r="R10" s="640"/>
      <c r="S10" s="1562"/>
      <c r="T10" s="649" t="s">
        <v>472</v>
      </c>
      <c r="U10" s="651"/>
      <c r="V10" s="651"/>
      <c r="W10" s="651"/>
      <c r="X10" s="651"/>
      <c r="Y10" s="651"/>
      <c r="Z10" s="651"/>
      <c r="AA10" s="651"/>
      <c r="AB10" s="650"/>
      <c r="AC10" s="651"/>
      <c r="AD10" s="651"/>
      <c r="AE10" s="651"/>
      <c r="AF10" s="651"/>
      <c r="AG10" s="651"/>
      <c r="AH10" s="651"/>
      <c r="AI10" s="650"/>
      <c r="AJ10" s="651"/>
      <c r="AK10" s="1724"/>
      <c r="AM10" s="784"/>
      <c r="AN10" s="784" t="str">
        <f>IF(T10="","",T10)</f>
        <v>Добавить группу потребителей</v>
      </c>
      <c r="AO10" s="784"/>
      <c r="AP10" s="784"/>
      <c r="AQ10" s="1439">
        <v>0</v>
      </c>
    </row>
    <row customHeight="1" ht="21" hidden="1">
      <c r="A11" s="1647"/>
      <c r="B11" s="1647"/>
      <c r="C11" s="1647"/>
      <c r="D11" s="1647"/>
      <c r="E11" s="2543"/>
      <c r="F11" s="2543"/>
      <c r="G11" s="2543"/>
      <c r="H11" s="2542"/>
      <c r="I11" s="1647"/>
      <c r="J11" s="1647"/>
      <c r="K11" s="1647"/>
      <c r="L11" s="1648"/>
      <c r="M11" s="1649"/>
      <c r="N11" s="1649"/>
      <c r="O11" s="821"/>
      <c r="P11" s="644"/>
      <c r="Q11" s="659"/>
      <c r="R11" s="639"/>
      <c r="S11" s="1562"/>
      <c r="T11" s="656" t="s">
        <v>560</v>
      </c>
      <c r="U11" s="651"/>
      <c r="V11" s="651"/>
      <c r="W11" s="651"/>
      <c r="X11" s="651"/>
      <c r="Y11" s="651"/>
      <c r="Z11" s="651"/>
      <c r="AA11" s="651"/>
      <c r="AB11" s="650"/>
      <c r="AC11" s="651"/>
      <c r="AD11" s="651"/>
      <c r="AE11" s="651"/>
      <c r="AF11" s="651"/>
      <c r="AG11" s="651"/>
      <c r="AH11" s="651"/>
      <c r="AI11" s="650"/>
      <c r="AJ11" s="651"/>
      <c r="AK11" s="587"/>
      <c r="AM11" s="784"/>
      <c r="AN11" s="784" t="str">
        <f>IF(T11="","",T11)</f>
        <v>Добавить наименование признака дифференциации</v>
      </c>
      <c r="AO11" s="784"/>
      <c r="AP11" s="784"/>
      <c r="AQ11" s="1439">
        <v>0</v>
      </c>
    </row>
    <row s="30621" customFormat="1" customHeight="1" ht="14.25" hidden="1">
      <c r="A12" s="1627"/>
      <c r="B12" s="1627"/>
      <c r="C12" s="1598"/>
      <c r="D12" s="1598"/>
      <c r="E12" s="2543"/>
      <c r="F12" s="2542"/>
      <c r="G12" s="1598"/>
      <c r="H12" s="1598"/>
      <c r="I12" s="1598"/>
      <c r="J12" s="1598"/>
      <c r="K12" s="1598"/>
      <c r="L12" s="1742"/>
      <c r="M12" s="1605"/>
      <c r="N12" s="1605"/>
      <c r="P12" s="1600"/>
      <c r="Q12" s="1601"/>
      <c r="R12" s="1600"/>
      <c r="S12" s="1606"/>
      <c r="T12" s="1609" t="s">
        <v>214</v>
      </c>
      <c r="U12" s="1608"/>
      <c r="V12" s="1608"/>
      <c r="W12" s="1608"/>
      <c r="X12" s="1608"/>
      <c r="Y12" s="1608"/>
      <c r="Z12" s="1608"/>
      <c r="AA12" s="1608"/>
      <c r="AB12" s="1608"/>
      <c r="AC12" s="1608"/>
      <c r="AD12" s="1608"/>
      <c r="AE12" s="1608"/>
      <c r="AF12" s="1608"/>
      <c r="AG12" s="1608"/>
      <c r="AH12" s="1608"/>
      <c r="AI12" s="1608"/>
      <c r="AJ12" s="1608"/>
      <c r="AK12" s="1608"/>
      <c r="AM12" s="1073"/>
      <c r="AN12" s="1073" t="str">
        <f>IF(T12="","",T12)</f>
        <v>Добавить централизованную систему для дифференциации</v>
      </c>
      <c r="AO12" s="1073"/>
      <c r="AP12" s="1073"/>
      <c r="AQ12" s="802">
        <v>0</v>
      </c>
    </row>
    <row s="30621" customFormat="1" customHeight="1" ht="14.25" hidden="1">
      <c r="A13" s="1627"/>
      <c r="B13" s="1627"/>
      <c r="C13" s="1627"/>
      <c r="D13" s="1627"/>
      <c r="E13" s="2542"/>
      <c r="F13" s="1627"/>
      <c r="G13" s="1627"/>
      <c r="H13" s="1627"/>
      <c r="I13" s="1627"/>
      <c r="J13" s="1627"/>
      <c r="K13" s="1627"/>
      <c r="L13" s="1630"/>
      <c r="M13" s="1605"/>
      <c r="N13" s="1605"/>
      <c r="O13" s="802"/>
      <c r="P13" s="664"/>
      <c r="Q13" s="1628"/>
      <c r="R13" s="664"/>
      <c r="S13" s="1606"/>
      <c r="T13" s="1609" t="s">
        <v>230</v>
      </c>
      <c r="U13" s="1608"/>
      <c r="V13" s="1608"/>
      <c r="W13" s="1608"/>
      <c r="X13" s="1608"/>
      <c r="Y13" s="1608"/>
      <c r="Z13" s="1608"/>
      <c r="AA13" s="1608"/>
      <c r="AB13" s="1608"/>
      <c r="AC13" s="1608"/>
      <c r="AD13" s="1608"/>
      <c r="AE13" s="1608"/>
      <c r="AF13" s="1608"/>
      <c r="AG13" s="1608"/>
      <c r="AH13" s="1608"/>
      <c r="AI13" s="1608"/>
      <c r="AJ13" s="1608"/>
      <c r="AK13" s="1608"/>
      <c r="AM13" s="784"/>
      <c r="AN13" s="784" t="str">
        <f>IF(T13="","",T13)</f>
        <v>Добавить территорию для дифференциации</v>
      </c>
      <c r="AO13" s="784"/>
      <c r="AP13" s="784"/>
      <c r="AQ13" s="795">
        <v>0</v>
      </c>
    </row>
    <row customHeight="1" ht="14.25" hidden="1">
      <c r="AB14" s="611"/>
      <c r="AI14" s="611"/>
      <c r="AQ14" s="1439">
        <v>0</v>
      </c>
    </row>
    <row customHeight="1" ht="14.25" hidden="1">
      <c r="AC15" s="1644"/>
      <c r="AD15" s="1644"/>
      <c r="AE15" s="1645"/>
      <c r="AF15" s="2551"/>
      <c r="AG15" s="2552" t="s">
        <v>64</v>
      </c>
      <c r="AH15" s="2551"/>
      <c r="AI15" s="2552" t="s">
        <v>64</v>
      </c>
      <c r="AQ15" s="1439">
        <v>0</v>
      </c>
    </row>
    <row customHeight="1" ht="14.25" hidden="1">
      <c r="AC16" s="1644"/>
      <c r="AD16" s="1644"/>
      <c r="AE16" s="612" t="str">
        <f>AF15&amp;"-"&amp;AH15</f>
        <v>-</v>
      </c>
      <c r="AF16" s="2552"/>
      <c r="AG16" s="2552"/>
      <c r="AH16" s="2552"/>
      <c r="AI16" s="2552"/>
      <c r="AQ16" s="1439">
        <v>0</v>
      </c>
    </row>
    <row customHeight="1" ht="14.25" hidden="1">
      <c r="AI17" s="611"/>
      <c r="AQ17" s="1439">
        <v>0</v>
      </c>
    </row>
    <row s="30620" customFormat="1" customHeight="1" ht="22.5" hidden="1">
      <c r="L18" s="1731"/>
      <c r="M18" s="1646"/>
      <c r="N18" s="1646"/>
      <c r="O18" s="1651" t="s">
        <v>474</v>
      </c>
      <c r="P18" s="1646"/>
      <c r="Q18" s="1655"/>
      <c r="R18" s="1655"/>
      <c r="S18" s="1013"/>
      <c r="Y18" s="1651"/>
      <c r="AA18" s="1651"/>
      <c r="AB18" s="1650"/>
      <c r="AF18" s="1651"/>
      <c r="AH18" s="1651"/>
      <c r="AI18" s="1650"/>
      <c r="AL18" s="795"/>
      <c r="AM18" s="795"/>
      <c r="AN18" s="795"/>
      <c r="AO18" s="795"/>
      <c r="AP18" s="795"/>
      <c r="AQ18" s="1444">
        <v>0</v>
      </c>
    </row>
    <row s="30620" customFormat="1" customHeight="1" ht="14.25" hidden="1">
      <c r="L19" s="1731"/>
      <c r="M19" s="1646"/>
      <c r="N19" s="1646"/>
      <c r="O19" s="1646"/>
      <c r="P19" s="1646"/>
      <c r="Q19" s="1655"/>
      <c r="R19" s="1655"/>
      <c r="S19" s="1013"/>
      <c r="AB19" s="1650"/>
      <c r="AI19" s="1650"/>
      <c r="AL19" s="795"/>
      <c r="AM19" s="795"/>
      <c r="AN19" s="795"/>
      <c r="AO19" s="795"/>
      <c r="AP19" s="795"/>
      <c r="AQ19" s="1444">
        <v>0</v>
      </c>
    </row>
    <row s="30620" customFormat="1" customHeight="1" ht="12" hidden="1">
      <c r="L20" s="1731"/>
      <c r="M20" s="1646"/>
      <c r="N20" s="1646"/>
      <c r="O20" s="1648" t="s">
        <v>475</v>
      </c>
      <c r="P20" s="1646"/>
      <c r="Q20" s="1726"/>
      <c r="R20" s="1726"/>
      <c r="S20" s="1013"/>
      <c r="T20" s="1444" t="s">
        <v>476</v>
      </c>
      <c r="Z20" s="470" t="s">
        <v>477</v>
      </c>
      <c r="AB20" s="470" t="s">
        <v>478</v>
      </c>
      <c r="AC20" s="1444" t="s">
        <v>476</v>
      </c>
      <c r="AG20" s="470" t="s">
        <v>479</v>
      </c>
      <c r="AI20" s="470" t="s">
        <v>478</v>
      </c>
      <c r="AQ20" s="1444">
        <v>0</v>
      </c>
    </row>
    <row customHeight="1" ht="14.25" hidden="1">
      <c r="O21" s="1648"/>
      <c r="AQ21" s="1439">
        <v>0</v>
      </c>
    </row>
    <row customHeight="1" ht="14.25" hidden="1">
      <c r="O22" s="1648"/>
      <c r="AQ22" s="1439">
        <v>0</v>
      </c>
    </row>
    <row customHeight="1" ht="14.699999999999998">
      <c r="Q23" s="660"/>
      <c r="R23" s="660"/>
      <c r="S23" s="1559"/>
      <c r="T23" s="647"/>
      <c r="U23" s="647"/>
      <c r="V23" s="793"/>
      <c r="W23" s="793"/>
      <c r="X23" s="793"/>
      <c r="Y23" s="793"/>
      <c r="Z23" s="793"/>
      <c r="AA23" s="793"/>
      <c r="AB23" s="793"/>
      <c r="AC23" s="793"/>
      <c r="AD23" s="793"/>
      <c r="AE23" s="793"/>
      <c r="AF23" s="793"/>
      <c r="AG23" s="793"/>
      <c r="AH23" s="793"/>
      <c r="AI23" s="793"/>
      <c r="AQ23" s="1439">
        <v>14</v>
      </c>
    </row>
    <row customHeight="1" ht="14.699999999999998">
      <c r="Q24" s="660"/>
      <c r="R24" s="660"/>
      <c r="S24" s="2532"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532"/>
      <c r="U24" s="2532"/>
      <c r="V24" s="2532"/>
      <c r="W24" s="2532"/>
      <c r="X24" s="2532"/>
      <c r="Y24" s="2532"/>
      <c r="Z24" s="2532"/>
      <c r="AA24" s="2532"/>
      <c r="AB24" s="2532"/>
      <c r="AC24" s="2532"/>
      <c r="AD24" s="2532"/>
      <c r="AE24" s="2532"/>
      <c r="AF24" s="2532"/>
      <c r="AG24" s="2532"/>
      <c r="AH24" s="2532"/>
      <c r="AI24" s="1527"/>
      <c r="AQ24" s="1439">
        <v>14</v>
      </c>
    </row>
    <row customHeight="1" ht="14.699999999999998">
      <c r="Q25" s="660"/>
      <c r="R25" s="660"/>
      <c r="S25" s="2533" t="str">
        <f>IF(org=0,"Не определено",org)</f>
        <v>АО "ДГК"</v>
      </c>
      <c r="T25" s="2533"/>
      <c r="U25" s="2533"/>
      <c r="V25" s="2533"/>
      <c r="W25" s="2533"/>
      <c r="X25" s="2533"/>
      <c r="Y25" s="2533"/>
      <c r="Z25" s="2533"/>
      <c r="AA25" s="2533"/>
      <c r="AB25" s="2533"/>
      <c r="AC25" s="2533"/>
      <c r="AD25" s="2533"/>
      <c r="AE25" s="2533"/>
      <c r="AF25" s="2533"/>
      <c r="AG25" s="2533"/>
      <c r="AH25" s="2533"/>
      <c r="AI25" s="1527"/>
      <c r="AQ25" s="1439">
        <v>14</v>
      </c>
    </row>
    <row customHeight="1" ht="14.25">
      <c r="Q26" s="660"/>
      <c r="R26" s="660"/>
      <c r="S26" s="1559"/>
      <c r="T26" s="647"/>
      <c r="U26" s="647"/>
      <c r="V26" s="606"/>
      <c r="W26" s="606"/>
      <c r="X26" s="606"/>
      <c r="Y26" s="606"/>
      <c r="Z26" s="606"/>
      <c r="AA26" s="606"/>
      <c r="AB26" s="606"/>
      <c r="AC26" s="606"/>
      <c r="AD26" s="606"/>
      <c r="AE26" s="606"/>
      <c r="AF26" s="606"/>
      <c r="AG26" s="606"/>
      <c r="AH26" s="606"/>
      <c r="AI26" s="606"/>
      <c r="AJ26" s="793"/>
      <c r="AQ26" s="1439">
        <v>0</v>
      </c>
    </row>
    <row s="30764" customFormat="1" customHeight="1" ht="25.5">
      <c r="A27" s="1652"/>
      <c r="B27" s="1652"/>
      <c r="C27" s="1652"/>
      <c r="D27" s="1652"/>
      <c r="E27" s="1652"/>
      <c r="F27" s="1652"/>
      <c r="G27" s="1652"/>
      <c r="H27" s="1652"/>
      <c r="I27" s="1652"/>
      <c r="J27" s="1652"/>
      <c r="K27" s="1652"/>
      <c r="L27" s="1653"/>
      <c r="M27" s="1652"/>
      <c r="N27" s="1652"/>
      <c r="O27" s="1652"/>
      <c r="S27" s="2534" t="s">
        <v>42</v>
      </c>
      <c r="T27" s="2534"/>
      <c r="U27" s="1656"/>
      <c r="V27" s="2535" t="str">
        <f>IF(TITLE_NAME_OR_PR_CHANGE="",IF(TITLE_NAME_OR_PR="","",TITLE_NAME_OR_PR),TITLE_NAME_OR_PR_CHANGE)</f>
        <v>Комитет по ценам и тарифам Правительства Хабаровского края</v>
      </c>
      <c r="W27" s="2535"/>
      <c r="X27" s="2535"/>
      <c r="Y27" s="2535"/>
      <c r="Z27" s="2535"/>
      <c r="AA27" s="2535"/>
      <c r="AB27" s="610"/>
      <c r="AC27" s="2535" t="str">
        <f>IF(TITLE_NAME_OR_PR_CHANGE="",IF(TITLE_NAME_OR_PR="","",TITLE_NAME_OR_PR),TITLE_NAME_OR_PR_CHANGE)</f>
        <v>Комитет по ценам и тарифам Правительства Хабаровского края</v>
      </c>
      <c r="AD27" s="2535"/>
      <c r="AE27" s="2535"/>
      <c r="AF27" s="2535"/>
      <c r="AG27" s="2535"/>
      <c r="AH27" s="2535"/>
      <c r="AI27" s="610"/>
      <c r="AJ27" s="610"/>
      <c r="AK27" s="564"/>
      <c r="AL27" s="652"/>
      <c r="AM27" s="652"/>
      <c r="AN27" s="652"/>
      <c r="AO27" s="652"/>
      <c r="AP27" s="652"/>
      <c r="AQ27" s="702">
        <v>0</v>
      </c>
    </row>
    <row s="30764" customFormat="1" customHeight="1" ht="18.75">
      <c r="A28" s="1652"/>
      <c r="B28" s="1652"/>
      <c r="C28" s="1652"/>
      <c r="D28" s="1652"/>
      <c r="E28" s="1652"/>
      <c r="F28" s="1652"/>
      <c r="G28" s="1652"/>
      <c r="H28" s="1652"/>
      <c r="I28" s="1652"/>
      <c r="J28" s="1652"/>
      <c r="K28" s="1652"/>
      <c r="L28" s="1653"/>
      <c r="M28" s="1652"/>
      <c r="N28" s="1652"/>
      <c r="O28" s="1652"/>
      <c r="S28" s="2534" t="s">
        <v>480</v>
      </c>
      <c r="T28" s="2534"/>
      <c r="U28" s="1656"/>
      <c r="V28" s="2548" t="str">
        <f>IF(TITLE_DATE_PR_CHANGE="",IF(TITLE_DATE_PR="","",TITLE_DATE_PR),TITLE_DATE_PR_CHANGE)</f>
        <v>45645</v>
      </c>
      <c r="W28" s="2548"/>
      <c r="X28" s="2548"/>
      <c r="Y28" s="2548"/>
      <c r="Z28" s="2548"/>
      <c r="AA28" s="2548"/>
      <c r="AB28" s="610"/>
      <c r="AC28" s="2548" t="str">
        <f>IF(TITLE_DATE_PR_CHANGE="",IF(TITLE_DATE_PR="","",TITLE_DATE_PR),TITLE_DATE_PR_CHANGE)</f>
        <v>45645</v>
      </c>
      <c r="AD28" s="2548"/>
      <c r="AE28" s="2548"/>
      <c r="AF28" s="2548"/>
      <c r="AG28" s="2548"/>
      <c r="AH28" s="2548"/>
      <c r="AI28" s="610"/>
      <c r="AJ28" s="610"/>
      <c r="AK28" s="564"/>
      <c r="AL28" s="652"/>
      <c r="AM28" s="652"/>
      <c r="AN28" s="652"/>
      <c r="AO28" s="652"/>
      <c r="AP28" s="652"/>
      <c r="AQ28" s="702">
        <v>0</v>
      </c>
    </row>
    <row s="30764" customFormat="1" customHeight="1" ht="18.75">
      <c r="A29" s="1652"/>
      <c r="B29" s="1652"/>
      <c r="C29" s="1652"/>
      <c r="D29" s="1652"/>
      <c r="E29" s="1652"/>
      <c r="F29" s="1652"/>
      <c r="G29" s="1652"/>
      <c r="H29" s="1652"/>
      <c r="I29" s="1652"/>
      <c r="J29" s="1652"/>
      <c r="K29" s="1652"/>
      <c r="L29" s="1653"/>
      <c r="M29" s="1652"/>
      <c r="N29" s="1652"/>
      <c r="O29" s="1652"/>
      <c r="S29" s="2534" t="s">
        <v>481</v>
      </c>
      <c r="T29" s="2534"/>
      <c r="U29" s="1656"/>
      <c r="V29" s="2535" t="str">
        <f>IF(TITLE_NUMBER_PR_CHANGE="",IF(TITLE_NUMBER_PR="","",TITLE_NUMBER_PR),TITLE_NUMBER_PR_CHANGE)</f>
        <v>№ 40/8</v>
      </c>
      <c r="W29" s="2535"/>
      <c r="X29" s="2535"/>
      <c r="Y29" s="2535"/>
      <c r="Z29" s="2535"/>
      <c r="AA29" s="2535"/>
      <c r="AB29" s="610"/>
      <c r="AC29" s="2535" t="str">
        <f>IF(TITLE_NUMBER_PR_CHANGE="",IF(TITLE_NUMBER_PR="","",TITLE_NUMBER_PR),TITLE_NUMBER_PR_CHANGE)</f>
        <v>№ 40/8</v>
      </c>
      <c r="AD29" s="2535"/>
      <c r="AE29" s="2535"/>
      <c r="AF29" s="2535"/>
      <c r="AG29" s="2535"/>
      <c r="AH29" s="2535"/>
      <c r="AI29" s="610"/>
      <c r="AJ29" s="610"/>
      <c r="AK29" s="564"/>
      <c r="AL29" s="652"/>
      <c r="AM29" s="652"/>
      <c r="AN29" s="652"/>
      <c r="AO29" s="652"/>
      <c r="AP29" s="652"/>
      <c r="AQ29" s="702">
        <v>0</v>
      </c>
    </row>
    <row s="30764" customFormat="1" customHeight="1" ht="18.75">
      <c r="A30" s="1652"/>
      <c r="B30" s="1652"/>
      <c r="C30" s="1652"/>
      <c r="D30" s="1652"/>
      <c r="E30" s="1652"/>
      <c r="F30" s="1652"/>
      <c r="G30" s="1652"/>
      <c r="H30" s="1652"/>
      <c r="I30" s="1652"/>
      <c r="J30" s="1652"/>
      <c r="K30" s="1652"/>
      <c r="L30" s="1653"/>
      <c r="M30" s="1652"/>
      <c r="N30" s="1652"/>
      <c r="O30" s="1652"/>
      <c r="S30" s="2534" t="s">
        <v>44</v>
      </c>
      <c r="T30" s="2534"/>
      <c r="U30" s="1656"/>
      <c r="V30" s="2535" t="str">
        <f>IF(TITLE_IST_PUB_CHANGE="",IF(TITLE_IST_PUB="","",TITLE_IST_PUB),TITLE_IST_PUB_CHANGE)</f>
        <v>Официальный интернет - портал нормативных правовых актов Хабаровского края https://laws.khv.gov.ru/</v>
      </c>
      <c r="W30" s="2535"/>
      <c r="X30" s="2535"/>
      <c r="Y30" s="2535"/>
      <c r="Z30" s="2535"/>
      <c r="AA30" s="2535"/>
      <c r="AB30" s="610"/>
      <c r="AC30" s="2535" t="str">
        <f>IF(TITLE_IST_PUB_CHANGE="",IF(TITLE_IST_PUB="","",TITLE_IST_PUB),TITLE_IST_PUB_CHANGE)</f>
        <v>Официальный интернет - портал нормативных правовых актов Хабаровского края https://laws.khv.gov.ru/</v>
      </c>
      <c r="AD30" s="2535"/>
      <c r="AE30" s="2535"/>
      <c r="AF30" s="2535"/>
      <c r="AG30" s="2535"/>
      <c r="AH30" s="2535"/>
      <c r="AI30" s="610"/>
      <c r="AJ30" s="610"/>
      <c r="AK30" s="564"/>
      <c r="AL30" s="652"/>
      <c r="AM30" s="652"/>
      <c r="AN30" s="652"/>
      <c r="AO30" s="652"/>
      <c r="AP30" s="652"/>
      <c r="AQ30" s="702">
        <v>0</v>
      </c>
    </row>
    <row customHeight="1" ht="14.25" hidden="1">
      <c r="Q31" s="660"/>
      <c r="R31" s="660"/>
      <c r="S31" s="1559"/>
      <c r="T31" s="647"/>
      <c r="U31" s="647"/>
      <c r="V31" s="606"/>
      <c r="W31" s="606"/>
      <c r="X31" s="606"/>
      <c r="Y31" s="606"/>
      <c r="Z31" s="606"/>
      <c r="AA31" s="606"/>
      <c r="AB31" s="606"/>
      <c r="AC31" s="606"/>
      <c r="AD31" s="606"/>
      <c r="AE31" s="606"/>
      <c r="AF31" s="606"/>
      <c r="AG31" s="606"/>
      <c r="AH31" s="606"/>
      <c r="AI31" s="606"/>
      <c r="AJ31" s="793"/>
      <c r="AQ31" s="1439">
        <v>0</v>
      </c>
    </row>
    <row s="30764" customFormat="1" customHeight="1" ht="18.75" hidden="1">
      <c r="A32" s="1652"/>
      <c r="B32" s="1652"/>
      <c r="C32" s="1652"/>
      <c r="D32" s="1652"/>
      <c r="E32" s="1652"/>
      <c r="F32" s="1652"/>
      <c r="G32" s="1652"/>
      <c r="H32" s="1652"/>
      <c r="I32" s="1652"/>
      <c r="J32" s="1652"/>
      <c r="K32" s="1652"/>
      <c r="L32" s="1653"/>
      <c r="M32" s="1652"/>
      <c r="N32" s="1652"/>
      <c r="O32" s="1652"/>
      <c r="S32" s="2534" t="s">
        <v>482</v>
      </c>
      <c r="T32" s="2534"/>
      <c r="U32" s="1656"/>
      <c r="V32" s="2548" t="str">
        <f>IF(TITLE_DATE_PR_CHANGE="",IF(TITLE_DATE_PR="","",TITLE_DATE_PR),TITLE_DATE_PR_CHANGE)</f>
        <v>45645</v>
      </c>
      <c r="W32" s="2548"/>
      <c r="X32" s="2548"/>
      <c r="Y32" s="2548"/>
      <c r="Z32" s="2548"/>
      <c r="AA32" s="2548"/>
      <c r="AB32" s="610"/>
      <c r="AC32" s="2548" t="str">
        <f>IF(TITLE_DATE_PR_CHANGE="",IF(TITLE_DATE_PR="","",TITLE_DATE_PR),TITLE_DATE_PR_CHANGE)</f>
        <v>45645</v>
      </c>
      <c r="AD32" s="2548"/>
      <c r="AE32" s="2548"/>
      <c r="AF32" s="2548"/>
      <c r="AG32" s="2548"/>
      <c r="AH32" s="2548"/>
      <c r="AI32" s="610"/>
      <c r="AJ32" s="610"/>
      <c r="AK32" s="564"/>
      <c r="AL32" s="652"/>
      <c r="AM32" s="652"/>
      <c r="AN32" s="652"/>
      <c r="AO32" s="652"/>
      <c r="AP32" s="652"/>
      <c r="AQ32" s="702">
        <v>0</v>
      </c>
    </row>
    <row s="30764" customFormat="1" customHeight="1" ht="18.75" hidden="1">
      <c r="A33" s="1652"/>
      <c r="B33" s="1652"/>
      <c r="C33" s="1652"/>
      <c r="D33" s="1652"/>
      <c r="E33" s="1652"/>
      <c r="F33" s="1652"/>
      <c r="G33" s="1652"/>
      <c r="H33" s="1652"/>
      <c r="I33" s="1652"/>
      <c r="J33" s="1652"/>
      <c r="K33" s="1652"/>
      <c r="L33" s="1653"/>
      <c r="M33" s="1652"/>
      <c r="N33" s="1652"/>
      <c r="O33" s="1652"/>
      <c r="S33" s="2534" t="s">
        <v>483</v>
      </c>
      <c r="T33" s="2534"/>
      <c r="U33" s="1656"/>
      <c r="V33" s="2535" t="str">
        <f>IF(TITLE_NUMBER_PR_CHANGE="",IF(TITLE_NUMBER_PR="","",TITLE_NUMBER_PR),TITLE_NUMBER_PR_CHANGE)</f>
        <v>№ 40/8</v>
      </c>
      <c r="W33" s="2535"/>
      <c r="X33" s="2535"/>
      <c r="Y33" s="2535"/>
      <c r="Z33" s="2535"/>
      <c r="AA33" s="2535"/>
      <c r="AB33" s="610"/>
      <c r="AC33" s="2535" t="str">
        <f>IF(TITLE_NUMBER_PR_CHANGE="",IF(TITLE_NUMBER_PR="","",TITLE_NUMBER_PR),TITLE_NUMBER_PR_CHANGE)</f>
        <v>№ 40/8</v>
      </c>
      <c r="AD33" s="2535"/>
      <c r="AE33" s="2535"/>
      <c r="AF33" s="2535"/>
      <c r="AG33" s="2535"/>
      <c r="AH33" s="2535"/>
      <c r="AI33" s="610"/>
      <c r="AJ33" s="610"/>
      <c r="AK33" s="564"/>
      <c r="AL33" s="652"/>
      <c r="AM33" s="652"/>
      <c r="AN33" s="652"/>
      <c r="AO33" s="652"/>
      <c r="AP33" s="652"/>
      <c r="AQ33" s="702">
        <v>0</v>
      </c>
    </row>
    <row s="30764" customFormat="1" customHeight="1" ht="1.05">
      <c r="A34" s="1652"/>
      <c r="B34" s="1652"/>
      <c r="C34" s="1652"/>
      <c r="D34" s="1652"/>
      <c r="E34" s="1652"/>
      <c r="F34" s="1652"/>
      <c r="G34" s="1652"/>
      <c r="H34" s="1652"/>
      <c r="I34" s="1652"/>
      <c r="J34" s="1652"/>
      <c r="K34" s="1652"/>
      <c r="L34" s="1653"/>
      <c r="M34" s="1652"/>
      <c r="N34" s="1652"/>
      <c r="O34" s="1652"/>
      <c r="S34" s="607"/>
      <c r="T34" s="607"/>
      <c r="U34" s="1738"/>
      <c r="V34" s="610"/>
      <c r="W34" s="610"/>
      <c r="X34" s="610"/>
      <c r="Y34" s="610"/>
      <c r="Z34" s="610"/>
      <c r="AA34" s="610"/>
      <c r="AB34" s="562" t="s">
        <v>484</v>
      </c>
      <c r="AC34" s="610"/>
      <c r="AD34" s="610"/>
      <c r="AE34" s="610"/>
      <c r="AF34" s="610"/>
      <c r="AG34" s="610"/>
      <c r="AH34" s="610"/>
      <c r="AI34" s="562" t="s">
        <v>484</v>
      </c>
      <c r="AL34" s="652"/>
      <c r="AM34" s="652"/>
      <c r="AN34" s="652"/>
      <c r="AO34" s="652"/>
      <c r="AP34" s="652"/>
      <c r="AQ34" s="702">
        <v>1</v>
      </c>
    </row>
    <row customHeight="1" ht="14.699999999999998">
      <c r="Q35" s="660"/>
      <c r="R35" s="660"/>
      <c r="S35" s="1559"/>
      <c r="T35" s="647"/>
      <c r="U35" s="1528"/>
      <c r="V35" s="2536"/>
      <c r="W35" s="2536"/>
      <c r="X35" s="2536"/>
      <c r="Y35" s="2536"/>
      <c r="Z35" s="2536"/>
      <c r="AA35" s="2536"/>
      <c r="AB35" s="2536"/>
      <c r="AC35" s="2536"/>
      <c r="AD35" s="2536"/>
      <c r="AE35" s="2536"/>
      <c r="AF35" s="2536"/>
      <c r="AG35" s="2536"/>
      <c r="AH35" s="2536"/>
      <c r="AI35" s="2536"/>
      <c r="AQ35" s="1439">
        <v>14</v>
      </c>
    </row>
    <row customHeight="1" ht="14.699999999999998">
      <c r="Q36" s="660"/>
      <c r="R36" s="660"/>
      <c r="S36" s="2411" t="s">
        <v>360</v>
      </c>
      <c r="T36" s="2411"/>
      <c r="U36" s="2411"/>
      <c r="V36" s="2411"/>
      <c r="W36" s="2411"/>
      <c r="X36" s="2411"/>
      <c r="Y36" s="2411"/>
      <c r="Z36" s="2411"/>
      <c r="AA36" s="2411"/>
      <c r="AB36" s="2411"/>
      <c r="AC36" s="2411"/>
      <c r="AD36" s="2411"/>
      <c r="AE36" s="2411"/>
      <c r="AF36" s="2411"/>
      <c r="AG36" s="2411"/>
      <c r="AH36" s="2411"/>
      <c r="AI36" s="2411"/>
      <c r="AJ36" s="2411"/>
      <c r="AK36" s="2411" t="s">
        <v>361</v>
      </c>
      <c r="AQ36" s="1439">
        <v>14</v>
      </c>
    </row>
    <row customHeight="1" ht="14.699999999999998">
      <c r="Q37" s="660"/>
      <c r="R37" s="660"/>
      <c r="S37" s="2557" t="s">
        <v>91</v>
      </c>
      <c r="T37" s="2493" t="s">
        <v>485</v>
      </c>
      <c r="U37" s="585"/>
      <c r="V37" s="2558" t="s">
        <v>486</v>
      </c>
      <c r="W37" s="2559"/>
      <c r="X37" s="2559"/>
      <c r="Y37" s="2559"/>
      <c r="Z37" s="2559"/>
      <c r="AA37" s="2560"/>
      <c r="AB37" s="2561" t="s">
        <v>487</v>
      </c>
      <c r="AC37" s="2558" t="s">
        <v>486</v>
      </c>
      <c r="AD37" s="2559"/>
      <c r="AE37" s="2559"/>
      <c r="AF37" s="2559"/>
      <c r="AG37" s="2559"/>
      <c r="AH37" s="2560"/>
      <c r="AI37" s="2561" t="s">
        <v>488</v>
      </c>
      <c r="AJ37" s="2564" t="s">
        <v>489</v>
      </c>
      <c r="AK37" s="2411"/>
      <c r="AQ37" s="1439">
        <v>14</v>
      </c>
    </row>
    <row customHeight="1" ht="35.699999999999996">
      <c r="Q38" s="660"/>
      <c r="R38" s="660"/>
      <c r="S38" s="2557"/>
      <c r="T38" s="2493"/>
      <c r="U38" s="1315"/>
      <c r="V38" s="1736" t="s">
        <v>561</v>
      </c>
      <c r="W38" s="2546" t="s">
        <v>492</v>
      </c>
      <c r="X38" s="2547"/>
      <c r="Y38" s="2546" t="s">
        <v>493</v>
      </c>
      <c r="Z38" s="2553"/>
      <c r="AA38" s="2547"/>
      <c r="AB38" s="2562"/>
      <c r="AC38" s="1736" t="s">
        <v>561</v>
      </c>
      <c r="AD38" s="2546" t="s">
        <v>492</v>
      </c>
      <c r="AE38" s="2547"/>
      <c r="AF38" s="2546" t="s">
        <v>493</v>
      </c>
      <c r="AG38" s="2553"/>
      <c r="AH38" s="2547"/>
      <c r="AI38" s="2562"/>
      <c r="AJ38" s="2565"/>
      <c r="AK38" s="2411"/>
      <c r="AQ38" s="1439">
        <v>34</v>
      </c>
    </row>
    <row customHeight="1" ht="35.699999999999996">
      <c r="A39" s="1654"/>
      <c r="B39" s="1654" t="s">
        <v>165</v>
      </c>
      <c r="C39" s="1654" t="s">
        <v>166</v>
      </c>
      <c r="D39" s="1654" t="s">
        <v>167</v>
      </c>
      <c r="E39" s="1648" t="s">
        <v>494</v>
      </c>
      <c r="F39" s="1648" t="s">
        <v>495</v>
      </c>
      <c r="G39" s="1648" t="s">
        <v>496</v>
      </c>
      <c r="H39" s="1648"/>
      <c r="I39" s="1648" t="s">
        <v>562</v>
      </c>
      <c r="J39" s="1648" t="s">
        <v>499</v>
      </c>
      <c r="K39" s="1648" t="s">
        <v>563</v>
      </c>
      <c r="L39" s="1648" t="s">
        <v>475</v>
      </c>
      <c r="Q39" s="660"/>
      <c r="R39" s="660"/>
      <c r="S39" s="2557"/>
      <c r="T39" s="2493"/>
      <c r="U39" s="586"/>
      <c r="V39" s="1736" t="s">
        <v>564</v>
      </c>
      <c r="W39" s="1506" t="s">
        <v>565</v>
      </c>
      <c r="X39" s="1506" t="s">
        <v>566</v>
      </c>
      <c r="Y39" s="1739" t="s">
        <v>503</v>
      </c>
      <c r="Z39" s="2554" t="s">
        <v>504</v>
      </c>
      <c r="AA39" s="2555"/>
      <c r="AB39" s="2563"/>
      <c r="AC39" s="1736" t="s">
        <v>564</v>
      </c>
      <c r="AD39" s="1506" t="s">
        <v>565</v>
      </c>
      <c r="AE39" s="1506" t="s">
        <v>566</v>
      </c>
      <c r="AF39" s="1739" t="s">
        <v>503</v>
      </c>
      <c r="AG39" s="2554" t="s">
        <v>504</v>
      </c>
      <c r="AH39" s="2555"/>
      <c r="AI39" s="2563"/>
      <c r="AJ39" s="2566"/>
      <c r="AK39" s="2411"/>
      <c r="AQ39" s="1439">
        <v>34</v>
      </c>
    </row>
    <row s="31261" customFormat="1" customHeight="1" ht="0">
      <c r="A40" s="1654"/>
      <c r="B40" s="1654"/>
      <c r="C40" s="1654"/>
      <c r="D40" s="1654"/>
      <c r="E40" s="1654"/>
      <c r="F40" s="1654"/>
      <c r="G40" s="1654"/>
      <c r="H40" s="1654"/>
      <c r="I40" s="1654"/>
      <c r="J40" s="1654"/>
      <c r="K40" s="1654"/>
      <c r="L40" s="1648"/>
      <c r="M40" s="1646"/>
      <c r="N40" s="1646"/>
      <c r="O40" s="1646"/>
      <c r="P40" s="1530"/>
      <c r="Q40" s="1531"/>
      <c r="R40" s="1538">
        <v>1</v>
      </c>
      <c r="S40" s="1561" t="s">
        <v>141</v>
      </c>
      <c r="T40" s="1539" t="s">
        <v>105</v>
      </c>
      <c r="U40" s="1529" t="str">
        <f>OFFSET(U40,0,-1)</f>
        <v>2</v>
      </c>
      <c r="V40" s="1735">
        <f>OFFSET(V40,0,-1)+1</f>
        <v>3</v>
      </c>
      <c r="W40" s="1735">
        <f>OFFSET(W40,0,-1)+1</f>
        <v>4</v>
      </c>
      <c r="X40" s="1735">
        <f>OFFSET(X40,0,-1)+1</f>
        <v>5</v>
      </c>
      <c r="Y40" s="1735">
        <f>OFFSET(Y40,0,-1)+1</f>
        <v>6</v>
      </c>
      <c r="Z40" s="2556">
        <f>OFFSET(Z40,0,-1)+1</f>
        <v>7</v>
      </c>
      <c r="AA40" s="2556"/>
      <c r="AB40" s="1735">
        <f>OFFSET(AB40,0,-2)+1</f>
        <v>8</v>
      </c>
      <c r="AC40" s="1735">
        <f>OFFSET(AC40,0,-1)+1</f>
        <v>9</v>
      </c>
      <c r="AD40" s="1735">
        <f>OFFSET(AD40,0,-1)+1</f>
        <v>10</v>
      </c>
      <c r="AE40" s="1735">
        <f>OFFSET(AE40,0,-1)+1</f>
        <v>11</v>
      </c>
      <c r="AF40" s="1735">
        <f>OFFSET(AF40,0,-1)+1</f>
        <v>12</v>
      </c>
      <c r="AG40" s="2556">
        <f>OFFSET(AG40,0,-1)+1</f>
        <v>13</v>
      </c>
      <c r="AH40" s="2556"/>
      <c r="AI40" s="1735">
        <f>OFFSET(AI40,0,-2)+1</f>
        <v>14</v>
      </c>
      <c r="AJ40" s="1529">
        <f>OFFSET(AJ40,0,-1)</f>
        <v>14</v>
      </c>
      <c r="AK40" s="1735">
        <f>OFFSET(AK40,0,-1)+1</f>
        <v>15</v>
      </c>
      <c r="AL40" s="795"/>
      <c r="AM40" s="795"/>
      <c r="AN40" s="795"/>
      <c r="AO40" s="795"/>
      <c r="AP40" s="795"/>
      <c r="AQ40" s="780">
        <v>0</v>
      </c>
    </row>
    <row customHeight="1" ht="24">
      <c r="A41" s="1647" t="s">
        <v>301</v>
      </c>
      <c r="B41" s="1647"/>
      <c r="C41" s="1647"/>
      <c r="D41" s="1647"/>
      <c r="E41" s="2542">
        <v>1</v>
      </c>
      <c r="F41" s="1647"/>
      <c r="G41" s="1647"/>
      <c r="H41" s="1647"/>
      <c r="I41" s="1647"/>
      <c r="J41" s="1647"/>
      <c r="K41" s="1647"/>
      <c r="L41" s="1648"/>
      <c r="M41" s="1649"/>
      <c r="N41" s="1649"/>
      <c r="O41" s="1649"/>
      <c r="P41" s="645"/>
      <c r="Q41" s="644"/>
      <c r="R41" s="639"/>
      <c r="S41" s="1741">
        <f>INDEX(PT_DIFFERENTIATION_NUM_NTAR,MATCH(A41,PT_DIFFERENTIATION_NTAR_ID,0))</f>
        <v>0</v>
      </c>
      <c r="T41" s="582" t="s">
        <v>153</v>
      </c>
      <c r="U41" s="584"/>
      <c r="V41" s="2526"/>
      <c r="W41" s="2527"/>
      <c r="X41" s="2527"/>
      <c r="Y41" s="2527"/>
      <c r="Z41" s="2527"/>
      <c r="AA41" s="2527"/>
      <c r="AB41" s="2528"/>
      <c r="AC41" s="2526" t="str">
        <f>INDEX(PT_DIFFERENTIATION_NTAR,MATCH(A41,PT_DIFFERENTIATION_NTAR_ID,0))</f>
        <v/>
      </c>
      <c r="AD41" s="2527"/>
      <c r="AE41" s="2527"/>
      <c r="AF41" s="2527"/>
      <c r="AG41" s="2527"/>
      <c r="AH41" s="2527"/>
      <c r="AI41" s="2527"/>
      <c r="AJ41" s="2528"/>
      <c r="AK41"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784"/>
      <c r="AN41" s="784" t="str">
        <f>IF(T41="","",T41)</f>
        <v>Наименование тарифа</v>
      </c>
      <c r="AO41" s="784"/>
      <c r="AP41" s="784"/>
      <c r="AQ41" s="1439">
        <v>23</v>
      </c>
    </row>
    <row customHeight="1" ht="24">
      <c r="A42" s="1647" t="s">
        <v>301</v>
      </c>
      <c r="B42" s="1647" t="s">
        <v>302</v>
      </c>
      <c r="C42" s="1647"/>
      <c r="D42" s="1647"/>
      <c r="E42" s="2543"/>
      <c r="F42" s="2542">
        <v>1</v>
      </c>
      <c r="G42" s="1647"/>
      <c r="H42" s="1647"/>
      <c r="I42" s="1647"/>
      <c r="J42" s="1647"/>
      <c r="K42" s="1647"/>
      <c r="L42" s="1648"/>
      <c r="M42" s="1649"/>
      <c r="N42" s="1649"/>
      <c r="O42" s="1649"/>
      <c r="P42" s="1737"/>
      <c r="Q42" s="636"/>
      <c r="R42" s="637"/>
      <c r="S42" s="1741" t="str">
        <f>INDEX(PT_DIFFERENTIATION_NUM_TER,MATCH(B42,PT_DIFFERENTIATION_TER_ID,0))</f>
        <v>.</v>
      </c>
      <c r="T42" s="592" t="s">
        <v>457</v>
      </c>
      <c r="U42" s="584"/>
      <c r="V42" s="2526"/>
      <c r="W42" s="2527"/>
      <c r="X42" s="2527"/>
      <c r="Y42" s="2527"/>
      <c r="Z42" s="2527"/>
      <c r="AA42" s="2527"/>
      <c r="AB42" s="2528"/>
      <c r="AC42" s="2526" t="str">
        <f>INDEX(PT_DIFFERENTIATION_TER,MATCH(B42,PT_DIFFERENTIATION_TER_ID,0))</f>
        <v/>
      </c>
      <c r="AD42" s="2527"/>
      <c r="AE42" s="2527"/>
      <c r="AF42" s="2527"/>
      <c r="AG42" s="2527"/>
      <c r="AH42" s="2527"/>
      <c r="AI42" s="2527"/>
      <c r="AJ42" s="2528"/>
      <c r="AK42" s="1542" t="s">
        <v>458</v>
      </c>
      <c r="AM42" s="784"/>
      <c r="AN42" s="784" t="str">
        <f>IF(T42="","",T42)</f>
        <v>Территория действия тарифа</v>
      </c>
      <c r="AO42" s="784"/>
      <c r="AP42" s="784"/>
      <c r="AQ42" s="1439">
        <v>23</v>
      </c>
    </row>
    <row customHeight="1" ht="24">
      <c r="A43" s="1647" t="s">
        <v>301</v>
      </c>
      <c r="B43" s="1647" t="s">
        <v>302</v>
      </c>
      <c r="C43" s="1647" t="s">
        <v>303</v>
      </c>
      <c r="D43" s="1647"/>
      <c r="E43" s="2543"/>
      <c r="F43" s="2543"/>
      <c r="G43" s="2542">
        <v>1</v>
      </c>
      <c r="H43" s="1647"/>
      <c r="I43" s="1647"/>
      <c r="J43" s="1647"/>
      <c r="K43" s="1647"/>
      <c r="L43" s="1648"/>
      <c r="M43" s="1649"/>
      <c r="N43" s="1649"/>
      <c r="O43" s="1649"/>
      <c r="P43" s="638"/>
      <c r="Q43" s="636"/>
      <c r="R43" s="637"/>
      <c r="S43" s="1741" t="str">
        <f>INDEX(PT_DIFFERENTIATION_NUM_CS,MATCH(C43,PT_DIFFERENTIATION_CS_ID,0))</f>
        <v>..</v>
      </c>
      <c r="T43" s="593" t="s">
        <v>553</v>
      </c>
      <c r="U43" s="584"/>
      <c r="V43" s="2526"/>
      <c r="W43" s="2527"/>
      <c r="X43" s="2527"/>
      <c r="Y43" s="2527"/>
      <c r="Z43" s="2527"/>
      <c r="AA43" s="2527"/>
      <c r="AB43" s="2528"/>
      <c r="AC43" s="2526" t="str">
        <f>INDEX(PT_DIFFERENTIATION_CS,MATCH(C43,PT_DIFFERENTIATION_CS_ID,0))</f>
        <v/>
      </c>
      <c r="AD43" s="2527"/>
      <c r="AE43" s="2527"/>
      <c r="AF43" s="2527"/>
      <c r="AG43" s="2527"/>
      <c r="AH43" s="2527"/>
      <c r="AI43" s="2527"/>
      <c r="AJ43" s="2528"/>
      <c r="AK43" s="1542" t="s">
        <v>554</v>
      </c>
      <c r="AM43" s="784"/>
      <c r="AN43" s="784" t="str">
        <f>IF(T43="","",T43)</f>
        <v>Наименование централизованной системы холодного водоснабжения</v>
      </c>
      <c r="AO43" s="784"/>
      <c r="AP43" s="784"/>
      <c r="AQ43" s="1439">
        <v>23</v>
      </c>
    </row>
    <row customHeight="1" ht="24">
      <c r="A44" s="1647" t="s">
        <v>301</v>
      </c>
      <c r="B44" s="1647" t="s">
        <v>302</v>
      </c>
      <c r="C44" s="1647" t="s">
        <v>303</v>
      </c>
      <c r="D44" s="1647" t="s">
        <v>570</v>
      </c>
      <c r="E44" s="2543"/>
      <c r="F44" s="2543"/>
      <c r="G44" s="2543"/>
      <c r="H44" s="2543"/>
      <c r="I44" s="2540" t="str">
        <f>S43&amp;".1"</f>
        <v>...1</v>
      </c>
      <c r="J44" s="1647"/>
      <c r="K44" s="1647"/>
      <c r="L44" s="1648"/>
      <c r="P44" s="2541">
        <v>1</v>
      </c>
      <c r="Q44" s="1734"/>
      <c r="R44" s="640"/>
      <c r="S44" s="1741" t="str">
        <f>$I44</f>
        <v>...1</v>
      </c>
      <c r="T44" s="569" t="s">
        <v>555</v>
      </c>
      <c r="U44" s="584"/>
      <c r="V44" s="2634"/>
      <c r="W44" s="2635"/>
      <c r="X44" s="2635"/>
      <c r="Y44" s="2635"/>
      <c r="Z44" s="2635"/>
      <c r="AA44" s="2635"/>
      <c r="AB44" s="2636"/>
      <c r="AC44" s="2637"/>
      <c r="AD44" s="2638"/>
      <c r="AE44" s="2638"/>
      <c r="AF44" s="2638"/>
      <c r="AG44" s="2638"/>
      <c r="AH44" s="2638"/>
      <c r="AI44" s="2638"/>
      <c r="AJ44" s="2639"/>
      <c r="AK44" s="1542" t="s">
        <v>556</v>
      </c>
      <c r="AM44" s="784"/>
      <c r="AN44" s="784" t="str">
        <f>IF(T44="","",T44)</f>
        <v>Наименование признака дифференциации</v>
      </c>
      <c r="AO44" s="784"/>
      <c r="AP44" s="784"/>
      <c r="AQ44" s="1439">
        <v>23</v>
      </c>
    </row>
    <row customHeight="1" ht="24">
      <c r="A45" s="1647" t="s">
        <v>301</v>
      </c>
      <c r="B45" s="1647" t="s">
        <v>302</v>
      </c>
      <c r="C45" s="1647" t="s">
        <v>303</v>
      </c>
      <c r="D45" s="1647" t="s">
        <v>570</v>
      </c>
      <c r="E45" s="2543"/>
      <c r="F45" s="2543"/>
      <c r="G45" s="2543"/>
      <c r="H45" s="2543"/>
      <c r="I45" s="2570"/>
      <c r="J45" s="2540" t="str">
        <f>I44&amp;".1"</f>
        <v>...1.1</v>
      </c>
      <c r="K45" s="1647"/>
      <c r="L45" s="1648" t="s">
        <v>466</v>
      </c>
      <c r="P45" s="2541"/>
      <c r="Q45" s="2541">
        <v>1</v>
      </c>
      <c r="R45" s="641"/>
      <c r="S45" s="1741" t="str">
        <f>$J45</f>
        <v>...1.1</v>
      </c>
      <c r="T45" s="570" t="s">
        <v>467</v>
      </c>
      <c r="U45" s="584"/>
      <c r="V45" s="2529"/>
      <c r="W45" s="2530"/>
      <c r="X45" s="2530"/>
      <c r="Y45" s="2530"/>
      <c r="Z45" s="2530"/>
      <c r="AA45" s="2530"/>
      <c r="AB45" s="2531"/>
      <c r="AC45" s="2529"/>
      <c r="AD45" s="2530"/>
      <c r="AE45" s="2530"/>
      <c r="AF45" s="2530"/>
      <c r="AG45" s="2530"/>
      <c r="AH45" s="2530"/>
      <c r="AI45" s="2530"/>
      <c r="AJ45" s="2531"/>
      <c r="AK45" s="1591" t="s">
        <v>557</v>
      </c>
      <c r="AM45" s="784"/>
      <c r="AN45" s="784" t="str">
        <f>IF(T45="","",T45)</f>
        <v>Группа потребителей</v>
      </c>
      <c r="AO45" s="784"/>
      <c r="AP45" s="784"/>
      <c r="AQ45" s="1439">
        <v>23</v>
      </c>
    </row>
    <row customHeight="1" ht="24">
      <c r="A46" s="1647" t="s">
        <v>301</v>
      </c>
      <c r="B46" s="1647" t="s">
        <v>302</v>
      </c>
      <c r="C46" s="1647" t="s">
        <v>303</v>
      </c>
      <c r="D46" s="1647" t="s">
        <v>570</v>
      </c>
      <c r="E46" s="2543"/>
      <c r="F46" s="2543"/>
      <c r="G46" s="2543"/>
      <c r="H46" s="2543"/>
      <c r="I46" s="2570"/>
      <c r="J46" s="2570"/>
      <c r="K46" s="2540" t="str">
        <f>J45&amp;".1"</f>
        <v>...1.1.1</v>
      </c>
      <c r="L46" s="1648"/>
      <c r="P46" s="2541"/>
      <c r="Q46" s="2541"/>
      <c r="R46" s="641">
        <v>1</v>
      </c>
      <c r="S46" s="1741" t="str">
        <f>$K46</f>
        <v>...1.1.1</v>
      </c>
      <c r="T46" s="1721"/>
      <c r="U46" s="584"/>
      <c r="V46" s="1035"/>
      <c r="W46" s="1035"/>
      <c r="X46" s="1541"/>
      <c r="Y46" s="2549"/>
      <c r="Z46" s="2391" t="s">
        <v>64</v>
      </c>
      <c r="AA46" s="2549"/>
      <c r="AB46" s="2391" t="s">
        <v>64</v>
      </c>
      <c r="AC46" s="1035"/>
      <c r="AD46" s="1035"/>
      <c r="AE46" s="1541"/>
      <c r="AF46" s="2549"/>
      <c r="AG46" s="2391" t="s">
        <v>64</v>
      </c>
      <c r="AH46" s="2571"/>
      <c r="AI46" s="2391" t="s">
        <v>64</v>
      </c>
      <c r="AJ46" s="1722"/>
      <c r="AK46" s="26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95">
        <f>STRCHECKDATE(V47:AJ47)</f>
      </c>
      <c r="AM46" s="784"/>
      <c r="AN46" s="784" t="str">
        <f>IF(T46="","",T46)</f>
        <v/>
      </c>
      <c r="AO46" s="784"/>
      <c r="AP46" s="784"/>
      <c r="AQ46" s="1439">
        <v>23</v>
      </c>
    </row>
    <row customHeight="1" ht="0">
      <c r="A47" s="1647" t="s">
        <v>301</v>
      </c>
      <c r="B47" s="1647" t="s">
        <v>302</v>
      </c>
      <c r="C47" s="1647" t="s">
        <v>303</v>
      </c>
      <c r="D47" s="1647" t="s">
        <v>570</v>
      </c>
      <c r="E47" s="2543"/>
      <c r="F47" s="2543"/>
      <c r="G47" s="2543"/>
      <c r="H47" s="2543"/>
      <c r="I47" s="2570"/>
      <c r="J47" s="2570"/>
      <c r="K47" s="2540"/>
      <c r="L47" s="1648"/>
      <c r="P47" s="2541"/>
      <c r="Q47" s="2541"/>
      <c r="R47" s="641"/>
      <c r="S47" s="1740"/>
      <c r="T47" s="584"/>
      <c r="U47" s="584"/>
      <c r="V47" s="609"/>
      <c r="W47" s="609"/>
      <c r="X47" s="612" t="str">
        <f>Y46&amp;"-"&amp;AA46</f>
        <v>-</v>
      </c>
      <c r="Y47" s="2550"/>
      <c r="Z47" s="2391"/>
      <c r="AA47" s="2550"/>
      <c r="AB47" s="2391"/>
      <c r="AC47" s="609"/>
      <c r="AD47" s="609"/>
      <c r="AE47" s="612" t="str">
        <f>AF46&amp;"-"&amp;AH46</f>
        <v>-</v>
      </c>
      <c r="AF47" s="2550"/>
      <c r="AG47" s="2391"/>
      <c r="AH47" s="2572"/>
      <c r="AI47" s="2391"/>
      <c r="AJ47" s="1723"/>
      <c r="AK47" s="2633"/>
      <c r="AM47" s="784"/>
      <c r="AN47" s="784" t="str">
        <f>IF(T47="","",T47)</f>
        <v/>
      </c>
      <c r="AO47" s="784"/>
      <c r="AP47" s="784"/>
      <c r="AQ47" s="1439">
        <v>0</v>
      </c>
    </row>
    <row customHeight="1" ht="21">
      <c r="A48" s="1647" t="s">
        <v>301</v>
      </c>
      <c r="B48" s="1647" t="s">
        <v>302</v>
      </c>
      <c r="C48" s="1647" t="s">
        <v>303</v>
      </c>
      <c r="D48" s="1647" t="s">
        <v>570</v>
      </c>
      <c r="E48" s="2543"/>
      <c r="F48" s="2543"/>
      <c r="G48" s="2543"/>
      <c r="H48" s="2543"/>
      <c r="I48" s="2570"/>
      <c r="J48" s="2540"/>
      <c r="K48" s="1647"/>
      <c r="L48" s="1648"/>
      <c r="P48" s="2541"/>
      <c r="Q48" s="2541"/>
      <c r="R48" s="640"/>
      <c r="S48" s="1562"/>
      <c r="T48" s="571" t="s">
        <v>558</v>
      </c>
      <c r="U48" s="651"/>
      <c r="V48" s="651"/>
      <c r="W48" s="651"/>
      <c r="X48" s="651"/>
      <c r="Y48" s="651"/>
      <c r="Z48" s="651"/>
      <c r="AA48" s="651"/>
      <c r="AB48" s="651"/>
      <c r="AC48" s="651"/>
      <c r="AD48" s="651"/>
      <c r="AE48" s="651"/>
      <c r="AF48" s="651"/>
      <c r="AG48" s="651"/>
      <c r="AH48" s="651"/>
      <c r="AI48" s="651"/>
      <c r="AJ48" s="651"/>
      <c r="AK48" s="1542" t="s">
        <v>559</v>
      </c>
      <c r="AM48" s="784"/>
      <c r="AN48" s="784" t="str">
        <f>IF(T48="","",T48)</f>
        <v>Добавить значение признака дифференциации</v>
      </c>
      <c r="AO48" s="784"/>
      <c r="AP48" s="784"/>
      <c r="AQ48" s="1439">
        <v>20</v>
      </c>
    </row>
    <row customHeight="1" ht="22.049999999999997">
      <c r="A49" s="1647" t="s">
        <v>301</v>
      </c>
      <c r="B49" s="1647" t="s">
        <v>302</v>
      </c>
      <c r="C49" s="1647" t="s">
        <v>303</v>
      </c>
      <c r="D49" s="1647" t="s">
        <v>570</v>
      </c>
      <c r="E49" s="2543"/>
      <c r="F49" s="2543"/>
      <c r="G49" s="2543"/>
      <c r="H49" s="2543"/>
      <c r="I49" s="2540"/>
      <c r="J49" s="1647"/>
      <c r="K49" s="1647"/>
      <c r="L49" s="1648"/>
      <c r="P49" s="2541"/>
      <c r="Q49" s="1734"/>
      <c r="R49" s="640"/>
      <c r="S49" s="1562"/>
      <c r="T49" s="649" t="s">
        <v>472</v>
      </c>
      <c r="U49" s="651"/>
      <c r="V49" s="651"/>
      <c r="W49" s="651"/>
      <c r="X49" s="651"/>
      <c r="Y49" s="651"/>
      <c r="Z49" s="651"/>
      <c r="AA49" s="651"/>
      <c r="AB49" s="650"/>
      <c r="AC49" s="651"/>
      <c r="AD49" s="651"/>
      <c r="AE49" s="651"/>
      <c r="AF49" s="651"/>
      <c r="AG49" s="651"/>
      <c r="AH49" s="651"/>
      <c r="AI49" s="650"/>
      <c r="AJ49" s="651"/>
      <c r="AK49" s="1724"/>
      <c r="AM49" s="784"/>
      <c r="AN49" s="784" t="str">
        <f>IF(T49="","",T49)</f>
        <v>Добавить группу потребителей</v>
      </c>
      <c r="AO49" s="784"/>
      <c r="AP49" s="784"/>
      <c r="AQ49" s="1439">
        <v>21</v>
      </c>
    </row>
    <row customHeight="1" ht="22.049999999999997">
      <c r="A50" s="1647" t="s">
        <v>301</v>
      </c>
      <c r="B50" s="1647" t="s">
        <v>302</v>
      </c>
      <c r="C50" s="1647" t="s">
        <v>303</v>
      </c>
      <c r="D50" s="1647" t="s">
        <v>570</v>
      </c>
      <c r="E50" s="2543"/>
      <c r="F50" s="2543"/>
      <c r="G50" s="2543"/>
      <c r="H50" s="2542"/>
      <c r="I50" s="1647"/>
      <c r="J50" s="1647"/>
      <c r="K50" s="1647"/>
      <c r="L50" s="1648"/>
      <c r="M50" s="1649"/>
      <c r="N50" s="1649"/>
      <c r="O50" s="821"/>
      <c r="P50" s="644"/>
      <c r="Q50" s="659"/>
      <c r="R50" s="639"/>
      <c r="S50" s="1562"/>
      <c r="T50" s="656" t="s">
        <v>560</v>
      </c>
      <c r="U50" s="651"/>
      <c r="V50" s="651"/>
      <c r="W50" s="651"/>
      <c r="X50" s="651"/>
      <c r="Y50" s="651"/>
      <c r="Z50" s="651"/>
      <c r="AA50" s="651"/>
      <c r="AB50" s="650"/>
      <c r="AC50" s="651"/>
      <c r="AD50" s="651"/>
      <c r="AE50" s="651"/>
      <c r="AF50" s="651"/>
      <c r="AG50" s="651"/>
      <c r="AH50" s="651"/>
      <c r="AI50" s="650"/>
      <c r="AJ50" s="651"/>
      <c r="AK50" s="587"/>
      <c r="AM50" s="784"/>
      <c r="AN50" s="784" t="str">
        <f>IF(T50="","",T50)</f>
        <v>Добавить наименование признака дифференциации</v>
      </c>
      <c r="AO50" s="784"/>
      <c r="AP50" s="784"/>
      <c r="AQ50" s="1439">
        <v>21</v>
      </c>
    </row>
    <row s="30621" customFormat="1" customHeight="1" ht="0">
      <c r="A51" s="1627" t="s">
        <v>301</v>
      </c>
      <c r="B51" s="1627" t="s">
        <v>302</v>
      </c>
      <c r="C51" s="1598"/>
      <c r="D51" s="1598"/>
      <c r="E51" s="2543"/>
      <c r="F51" s="2542"/>
      <c r="G51" s="1598"/>
      <c r="H51" s="1598"/>
      <c r="I51" s="1598"/>
      <c r="J51" s="1598"/>
      <c r="K51" s="1598"/>
      <c r="L51" s="1742"/>
      <c r="M51" s="1605"/>
      <c r="N51" s="1605"/>
      <c r="P51" s="1600"/>
      <c r="Q51" s="1601"/>
      <c r="R51" s="1600"/>
      <c r="S51" s="1606"/>
      <c r="T51" s="1609" t="s">
        <v>214</v>
      </c>
      <c r="U51" s="1608"/>
      <c r="V51" s="1608"/>
      <c r="W51" s="1608"/>
      <c r="X51" s="1608"/>
      <c r="Y51" s="1608"/>
      <c r="Z51" s="1608"/>
      <c r="AA51" s="1608"/>
      <c r="AB51" s="1608"/>
      <c r="AC51" s="1608"/>
      <c r="AD51" s="1608"/>
      <c r="AE51" s="1608"/>
      <c r="AF51" s="1608"/>
      <c r="AG51" s="1608"/>
      <c r="AH51" s="1608"/>
      <c r="AI51" s="1608"/>
      <c r="AJ51" s="1608"/>
      <c r="AK51" s="1608"/>
      <c r="AM51" s="1073"/>
      <c r="AN51" s="1073" t="str">
        <f>IF(T51="","",T51)</f>
        <v>Добавить централизованную систему для дифференциации</v>
      </c>
      <c r="AO51" s="1073"/>
      <c r="AP51" s="1073"/>
      <c r="AQ51" s="802">
        <v>0</v>
      </c>
    </row>
    <row s="30621" customFormat="1" customHeight="1" ht="0">
      <c r="A52" s="1627" t="s">
        <v>301</v>
      </c>
      <c r="B52" s="1627"/>
      <c r="C52" s="1627"/>
      <c r="D52" s="1627"/>
      <c r="E52" s="2542"/>
      <c r="F52" s="1627"/>
      <c r="G52" s="1627"/>
      <c r="H52" s="1627"/>
      <c r="I52" s="1627"/>
      <c r="J52" s="1627"/>
      <c r="K52" s="1627"/>
      <c r="L52" s="1630"/>
      <c r="M52" s="1605"/>
      <c r="N52" s="1605"/>
      <c r="O52" s="802"/>
      <c r="P52" s="664"/>
      <c r="Q52" s="1628"/>
      <c r="R52" s="664"/>
      <c r="S52" s="1606"/>
      <c r="T52" s="1609" t="s">
        <v>230</v>
      </c>
      <c r="U52" s="1608"/>
      <c r="V52" s="1608"/>
      <c r="W52" s="1608"/>
      <c r="X52" s="1608"/>
      <c r="Y52" s="1608"/>
      <c r="Z52" s="1608"/>
      <c r="AA52" s="1608"/>
      <c r="AB52" s="1608"/>
      <c r="AC52" s="1608"/>
      <c r="AD52" s="1608"/>
      <c r="AE52" s="1608"/>
      <c r="AF52" s="1608"/>
      <c r="AG52" s="1608"/>
      <c r="AH52" s="1608"/>
      <c r="AI52" s="1608"/>
      <c r="AJ52" s="1608"/>
      <c r="AK52" s="1608"/>
      <c r="AM52" s="784"/>
      <c r="AN52" s="784" t="str">
        <f>IF(T52="","",T52)</f>
        <v>Добавить территорию для дифференциации</v>
      </c>
      <c r="AO52" s="784"/>
      <c r="AP52" s="784"/>
      <c r="AQ52" s="795">
        <v>0</v>
      </c>
    </row>
    <row s="30621" customFormat="1" customHeight="1" ht="0">
      <c r="A53" s="1598"/>
      <c r="B53" s="1598"/>
      <c r="C53" s="1598"/>
      <c r="D53" s="1598"/>
      <c r="E53" s="1627"/>
      <c r="F53" s="1598"/>
      <c r="G53" s="1598"/>
      <c r="H53" s="1598"/>
      <c r="I53" s="1598"/>
      <c r="J53" s="1598"/>
      <c r="K53" s="1598"/>
      <c r="L53" s="1742"/>
      <c r="M53" s="1605"/>
      <c r="N53" s="1605"/>
      <c r="P53" s="1600"/>
      <c r="Q53" s="1601"/>
      <c r="R53" s="1600"/>
      <c r="S53" s="1606"/>
      <c r="T53" s="1609" t="s">
        <v>239</v>
      </c>
      <c r="U53" s="1608"/>
      <c r="V53" s="1608"/>
      <c r="W53" s="1608"/>
      <c r="X53" s="1608"/>
      <c r="Y53" s="1608"/>
      <c r="Z53" s="1608"/>
      <c r="AA53" s="1608"/>
      <c r="AB53" s="1608"/>
      <c r="AC53" s="1608"/>
      <c r="AD53" s="1608"/>
      <c r="AE53" s="1608"/>
      <c r="AF53" s="1608"/>
      <c r="AG53" s="1608"/>
      <c r="AH53" s="1608"/>
      <c r="AI53" s="1608"/>
      <c r="AJ53" s="1608"/>
      <c r="AK53" s="1608"/>
      <c r="AM53" s="1073"/>
      <c r="AN53" s="1073" t="str">
        <f>IF(T53="","",T53)</f>
        <v>Добавить наименование тарифа</v>
      </c>
      <c r="AO53" s="1073"/>
      <c r="AP53" s="1073"/>
      <c r="AQ53" s="802">
        <v>0</v>
      </c>
    </row>
    <row customHeight="1" ht="11.549999999999999">
      <c r="M54" s="1444"/>
      <c r="N54" s="1444"/>
      <c r="O54" s="821"/>
      <c r="P54" s="1439"/>
      <c r="Q54" s="1439"/>
      <c r="R54" s="1439"/>
      <c r="S54" s="1439"/>
      <c r="AL54" s="1439"/>
      <c r="AM54" s="1439"/>
      <c r="AN54" s="1439"/>
      <c r="AO54" s="1439"/>
      <c r="AP54" s="1439"/>
      <c r="AQ54" s="1439">
        <v>11</v>
      </c>
    </row>
    <row customHeight="1" ht="14.699999999999998">
      <c r="O55" s="821"/>
      <c r="S55" s="1537"/>
      <c r="T55" s="2569"/>
      <c r="U55" s="2569"/>
      <c r="V55" s="2569"/>
      <c r="W55" s="2569"/>
      <c r="X55" s="2569"/>
      <c r="Y55" s="2569"/>
      <c r="Z55" s="2569"/>
      <c r="AA55" s="2569"/>
      <c r="AB55" s="2569"/>
      <c r="AC55" s="2569"/>
      <c r="AD55" s="2569"/>
      <c r="AE55" s="2569"/>
      <c r="AF55" s="2569"/>
      <c r="AG55" s="2569"/>
      <c r="AH55" s="2569"/>
      <c r="AI55" s="2569"/>
      <c r="AJ55" s="2569"/>
      <c r="AK55" s="2569"/>
      <c r="AQ55" s="1439">
        <v>14</v>
      </c>
    </row>
    <row customHeight="1" ht="14.699999999999998">
      <c r="O56" s="821"/>
      <c r="AQ56" s="1439">
        <v>14</v>
      </c>
    </row>
    <row customHeight="1" ht="14.699999999999998">
      <c r="O57" s="821"/>
      <c r="S57" s="1537"/>
      <c r="T57" s="2569"/>
      <c r="U57" s="2569"/>
      <c r="V57" s="2569"/>
      <c r="W57" s="2569"/>
      <c r="X57" s="2569"/>
      <c r="Y57" s="2569"/>
      <c r="Z57" s="2569"/>
      <c r="AA57" s="2569"/>
      <c r="AB57" s="2569"/>
      <c r="AC57" s="2569"/>
      <c r="AD57" s="2569"/>
      <c r="AE57" s="2569"/>
      <c r="AF57" s="2569"/>
      <c r="AG57" s="2569"/>
      <c r="AH57" s="2569"/>
      <c r="AI57" s="2569"/>
      <c r="AJ57" s="2569"/>
      <c r="AK57" s="2569"/>
      <c r="AQ57" s="1439">
        <v>14</v>
      </c>
    </row>
    <row customHeight="1" ht="22.5" hidden="1">
      <c r="A58" s="1444" t="s">
        <v>85</v>
      </c>
      <c r="B58" s="1444">
        <v>0</v>
      </c>
      <c r="C58" s="1444">
        <v>0</v>
      </c>
      <c r="D58" s="1444">
        <v>0</v>
      </c>
      <c r="E58" s="1444">
        <v>0</v>
      </c>
      <c r="F58" s="1444">
        <v>0</v>
      </c>
      <c r="G58" s="1444">
        <v>0</v>
      </c>
      <c r="H58" s="1444">
        <v>0</v>
      </c>
      <c r="I58" s="1444">
        <v>0</v>
      </c>
      <c r="J58" s="1444">
        <v>0</v>
      </c>
      <c r="K58" s="1444">
        <v>0</v>
      </c>
      <c r="L58" s="1731">
        <v>0</v>
      </c>
      <c r="M58" s="1646">
        <v>0</v>
      </c>
      <c r="N58" s="1646">
        <v>0</v>
      </c>
      <c r="O58" s="1646">
        <v>0</v>
      </c>
      <c r="P58" s="1730">
        <v>3</v>
      </c>
      <c r="Q58" s="628">
        <v>3</v>
      </c>
      <c r="R58" s="628">
        <v>3</v>
      </c>
      <c r="S58" s="865">
        <v>12</v>
      </c>
      <c r="T58" s="1439">
        <v>35</v>
      </c>
      <c r="U58" s="1439">
        <v>0</v>
      </c>
      <c r="V58" s="1439">
        <v>0</v>
      </c>
      <c r="W58" s="1439">
        <v>0</v>
      </c>
      <c r="X58" s="1439">
        <v>0</v>
      </c>
      <c r="Y58" s="1439">
        <v>0</v>
      </c>
      <c r="Z58" s="1439">
        <v>0</v>
      </c>
      <c r="AA58" s="1439">
        <v>0</v>
      </c>
      <c r="AB58" s="1439">
        <v>0</v>
      </c>
      <c r="AC58" s="1439">
        <v>24</v>
      </c>
      <c r="AD58" s="1439">
        <v>24</v>
      </c>
      <c r="AE58" s="1439">
        <v>24</v>
      </c>
      <c r="AF58" s="1439">
        <v>11</v>
      </c>
      <c r="AG58" s="1439">
        <v>3</v>
      </c>
      <c r="AH58" s="1439">
        <v>11</v>
      </c>
      <c r="AI58" s="1439">
        <v>0</v>
      </c>
      <c r="AJ58" s="1439">
        <v>4</v>
      </c>
      <c r="AK58" s="1439">
        <v>115</v>
      </c>
      <c r="AL58" s="795">
        <v>10</v>
      </c>
      <c r="AM58" s="795">
        <v>10</v>
      </c>
      <c r="AN58" s="795">
        <v>10</v>
      </c>
      <c r="AO58" s="795">
        <v>10</v>
      </c>
      <c r="AP58" s="795">
        <v>10</v>
      </c>
      <c r="AQ58" s="1439">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6FB118-3D82-ECE2-1B06-F903BB93D68A}"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30541" width="10.140625" hidden="1" customWidth="1"/>
    <col min="4" max="4" style="30541" width="11.8515625" hidden="1" customWidth="1"/>
    <col min="5" max="11" style="30541" width="10.140625" hidden="1" customWidth="1"/>
    <col min="12" max="12" style="30618" width="10.140625" hidden="1" customWidth="1"/>
    <col min="13" max="15" style="31504" width="10.140625" hidden="1" customWidth="1"/>
    <col min="16" max="16" style="31503" width="3.00390625" customWidth="1"/>
    <col min="17" max="17" style="37299" width="3.00390625" customWidth="1"/>
    <col min="18" max="18" style="31505" width="3.00390625" customWidth="1"/>
    <col min="19" max="19" style="31506" width="12.00390625" customWidth="1"/>
    <col min="20" max="20" style="30541" width="31.00390625" customWidth="1"/>
    <col min="21" max="21" style="30541" width="0.140625" customWidth="1"/>
    <col min="22" max="23" style="30541" width="21.7109375" hidden="1" customWidth="1"/>
    <col min="24" max="24" style="30541" width="11.7109375" hidden="1" customWidth="1"/>
    <col min="25" max="25" style="30541" width="3.7109375" hidden="1" customWidth="1"/>
    <col min="26" max="26" style="30541" width="11.7109375" hidden="1" customWidth="1"/>
    <col min="27" max="27" style="30541" width="8.57421875" hidden="1" customWidth="1"/>
    <col min="28" max="28" style="30541" width="27.00390625" customWidth="1"/>
    <col min="29" max="29" style="30541" width="24.57421875" customWidth="1"/>
    <col min="30" max="31" style="30541" width="21.00390625" customWidth="1"/>
    <col min="32" max="32" style="30541" width="11.00390625" customWidth="1"/>
    <col min="33" max="33" style="30541" width="3.7109375" customWidth="1"/>
    <col min="34" max="34" style="30541" width="11.00390625" customWidth="1"/>
    <col min="35" max="35" style="30541" width="8.57421875" hidden="1" customWidth="1"/>
    <col min="36" max="36" style="30541" width="4.00390625" customWidth="1"/>
    <col min="37" max="37" style="30541" width="115.00390625" customWidth="1"/>
    <col min="38" max="42" style="30621" width="10.00390625" customWidth="1"/>
    <col min="43" max="43" style="30541" width="10.57421875" hidden="1"/>
  </cols>
  <sheetData>
    <row customHeight="1" ht="0.75" hidden="1">
      <c r="AQ1" s="1915" t="s">
        <v>14</v>
      </c>
    </row>
    <row customHeight="1" ht="21" hidden="1">
      <c r="A2" s="1551"/>
      <c r="B2" s="1551"/>
      <c r="C2" s="1551"/>
      <c r="D2" s="1551"/>
      <c r="E2" s="2573">
        <v>1</v>
      </c>
      <c r="F2" s="1551"/>
      <c r="G2" s="1551"/>
      <c r="H2" s="1551"/>
      <c r="I2" s="1551"/>
      <c r="J2" s="1551"/>
      <c r="K2" s="1551"/>
      <c r="L2" s="1594"/>
      <c r="M2" s="1894"/>
      <c r="N2" s="1894"/>
      <c r="O2" s="1894"/>
      <c r="P2" s="1693"/>
      <c r="Q2" s="1157"/>
      <c r="R2" s="639"/>
      <c r="S2" s="2242">
        <f>INDEX(PT_DIFFERENTIATION_NUM_NTAR,MATCH(A2,PT_DIFFERENTIATION_NTAR_ID,0))</f>
      </c>
      <c r="T2" s="1809" t="s">
        <v>153</v>
      </c>
      <c r="U2" s="584"/>
      <c r="V2" s="2527"/>
      <c r="W2" s="2527"/>
      <c r="X2" s="2527"/>
      <c r="Y2" s="2527"/>
      <c r="Z2" s="2527"/>
      <c r="AA2" s="2528"/>
      <c r="AB2" s="2236"/>
      <c r="AC2" s="2527">
        <f>INDEX(PT_DIFFERENTIATION_NTAR,MATCH(A2,PT_DIFFERENTIATION_NTAR_ID,0))</f>
      </c>
      <c r="AD2" s="2527"/>
      <c r="AE2" s="2527"/>
      <c r="AF2" s="2527"/>
      <c r="AG2" s="2527"/>
      <c r="AH2" s="2527"/>
      <c r="AI2" s="2527"/>
      <c r="AJ2" s="2528"/>
      <c r="AK2" s="1542" t="s">
        <v>456</v>
      </c>
      <c r="AM2" s="1908"/>
      <c r="AN2" s="1908" t="str">
        <f>IF(T2="","",T2)</f>
        <v>Наименование тарифа</v>
      </c>
      <c r="AO2" s="1908"/>
      <c r="AP2" s="1908"/>
      <c r="AQ2" s="1915">
        <v>0</v>
      </c>
    </row>
    <row customHeight="1" ht="21" hidden="1">
      <c r="A3" s="1551"/>
      <c r="B3" s="1551"/>
      <c r="C3" s="1551"/>
      <c r="D3" s="1551"/>
      <c r="E3" s="2574"/>
      <c r="F3" s="2573">
        <v>1</v>
      </c>
      <c r="G3" s="1551"/>
      <c r="H3" s="1551"/>
      <c r="I3" s="1551"/>
      <c r="J3" s="1551"/>
      <c r="K3" s="1551"/>
      <c r="L3" s="1594"/>
      <c r="M3" s="1894"/>
      <c r="N3" s="1894"/>
      <c r="O3" s="1894"/>
      <c r="P3" s="2253"/>
      <c r="Q3" s="1695"/>
      <c r="R3" s="637"/>
      <c r="S3" s="2242">
        <f>INDEX(PT_DIFFERENTIATION_NUM_TER,MATCH(B3,PT_DIFFERENTIATION_TER_ID,0))</f>
      </c>
      <c r="T3" s="1806" t="s">
        <v>457</v>
      </c>
      <c r="U3" s="584"/>
      <c r="V3" s="2527"/>
      <c r="W3" s="2527"/>
      <c r="X3" s="2527"/>
      <c r="Y3" s="2527"/>
      <c r="Z3" s="2527"/>
      <c r="AA3" s="2528"/>
      <c r="AB3" s="2236"/>
      <c r="AC3" s="2527">
        <f>INDEX(PT_DIFFERENTIATION_TER,MATCH(B3,PT_DIFFERENTIATION_TER_ID,0))</f>
      </c>
      <c r="AD3" s="2527"/>
      <c r="AE3" s="2527"/>
      <c r="AF3" s="2527"/>
      <c r="AG3" s="2527"/>
      <c r="AH3" s="2527"/>
      <c r="AI3" s="2527"/>
      <c r="AJ3" s="2528"/>
      <c r="AK3" s="1542" t="s">
        <v>458</v>
      </c>
      <c r="AM3" s="1908"/>
      <c r="AN3" s="1908" t="str">
        <f>IF(T3="","",T3)</f>
        <v>Территория действия тарифа</v>
      </c>
      <c r="AO3" s="1908"/>
      <c r="AP3" s="1908"/>
      <c r="AQ3" s="1915">
        <v>0</v>
      </c>
    </row>
    <row customHeight="1" ht="22.5" hidden="1">
      <c r="A4" s="1551"/>
      <c r="B4" s="1551"/>
      <c r="C4" s="1551"/>
      <c r="D4" s="1551"/>
      <c r="E4" s="2574"/>
      <c r="F4" s="2574"/>
      <c r="G4" s="2573">
        <v>1</v>
      </c>
      <c r="H4" s="1551"/>
      <c r="I4" s="1551"/>
      <c r="J4" s="1551"/>
      <c r="K4" s="1551"/>
      <c r="L4" s="1594"/>
      <c r="M4" s="1894"/>
      <c r="N4" s="1894"/>
      <c r="O4" s="1894"/>
      <c r="P4" s="1696"/>
      <c r="Q4" s="1695"/>
      <c r="R4" s="637"/>
      <c r="S4" s="2242">
        <f>INDEX(PT_DIFFERENTIATION_NUM_CS,MATCH(C4,PT_DIFFERENTIATION_CS_ID,0))</f>
      </c>
      <c r="T4" s="593" t="s">
        <v>459</v>
      </c>
      <c r="U4" s="584"/>
      <c r="V4" s="2527"/>
      <c r="W4" s="2527"/>
      <c r="X4" s="2527"/>
      <c r="Y4" s="2527"/>
      <c r="Z4" s="2527"/>
      <c r="AA4" s="2528"/>
      <c r="AB4" s="2236"/>
      <c r="AC4" s="2527">
        <f>INDEX(PT_DIFFERENTIATION_CS,MATCH(C4,PT_DIFFERENTIATION_CS_ID,0))</f>
      </c>
      <c r="AD4" s="2527"/>
      <c r="AE4" s="2527"/>
      <c r="AF4" s="2527"/>
      <c r="AG4" s="2527"/>
      <c r="AH4" s="2527"/>
      <c r="AI4" s="2527"/>
      <c r="AJ4" s="2528"/>
      <c r="AK4" s="1542" t="s">
        <v>460</v>
      </c>
      <c r="AM4" s="1908"/>
      <c r="AN4" s="1908" t="str">
        <f>IF(T4="","",T4)</f>
        <v>Наименование системы теплоснабжения </v>
      </c>
      <c r="AO4" s="1908"/>
      <c r="AP4" s="1908"/>
      <c r="AQ4" s="1915">
        <v>0</v>
      </c>
    </row>
    <row customHeight="1" ht="21" hidden="1">
      <c r="A5" s="1551"/>
      <c r="B5" s="1551"/>
      <c r="C5" s="1551"/>
      <c r="D5" s="1551"/>
      <c r="E5" s="2574"/>
      <c r="F5" s="2574"/>
      <c r="G5" s="2574"/>
      <c r="H5" s="2573">
        <v>1</v>
      </c>
      <c r="I5" s="1551"/>
      <c r="J5" s="1551"/>
      <c r="K5" s="1551"/>
      <c r="L5" s="1594"/>
      <c r="M5" s="1894"/>
      <c r="N5" s="1894"/>
      <c r="O5" s="1894"/>
      <c r="P5" s="1696"/>
      <c r="Q5" s="1695"/>
      <c r="R5" s="637"/>
      <c r="S5" s="2242">
        <f>INDEX(PT_DIFFERENTIATION_NUM_IST_TE,MATCH(D5,PT_DIFFERENTIATION_IST_TE_ID,0))</f>
      </c>
      <c r="T5" s="594" t="s">
        <v>461</v>
      </c>
      <c r="U5" s="584"/>
      <c r="V5" s="2527"/>
      <c r="W5" s="2527"/>
      <c r="X5" s="2527"/>
      <c r="Y5" s="2527"/>
      <c r="Z5" s="2527"/>
      <c r="AA5" s="2528"/>
      <c r="AB5" s="2236"/>
      <c r="AC5" s="2527">
        <f>INDEX(PT_DIFFERENTIATION_IST_TE,MATCH(D5,PT_DIFFERENTIATION_IST_TE_ID,0))</f>
      </c>
      <c r="AD5" s="2527"/>
      <c r="AE5" s="2527"/>
      <c r="AF5" s="2527"/>
      <c r="AG5" s="2527"/>
      <c r="AH5" s="2527"/>
      <c r="AI5" s="2527"/>
      <c r="AJ5" s="2528"/>
      <c r="AK5" s="1542" t="s">
        <v>462</v>
      </c>
      <c r="AM5" s="1908"/>
      <c r="AN5" s="1908" t="str">
        <f>IF(T5="","",T5)</f>
        <v>Источник тепловой энергии  </v>
      </c>
      <c r="AO5" s="1908"/>
      <c r="AP5" s="1908"/>
      <c r="AQ5" s="1915">
        <v>0</v>
      </c>
    </row>
    <row s="30621" customFormat="1" customHeight="1" ht="0.75" hidden="1">
      <c r="A6" s="1659"/>
      <c r="B6" s="1659"/>
      <c r="C6" s="1659"/>
      <c r="D6" s="1659"/>
      <c r="E6" s="2574"/>
      <c r="F6" s="2574"/>
      <c r="G6" s="2574"/>
      <c r="H6" s="2574"/>
      <c r="I6" s="2411">
        <f>S5&amp;".1"</f>
      </c>
      <c r="J6" s="1659"/>
      <c r="K6" s="1659"/>
      <c r="L6" s="1665" t="s">
        <v>463</v>
      </c>
      <c r="M6" s="1530"/>
      <c r="N6" s="1530"/>
      <c r="O6" s="1530"/>
      <c r="P6" s="2541">
        <v>1</v>
      </c>
      <c r="Q6" s="2238"/>
      <c r="R6" s="640"/>
      <c r="S6" s="1326"/>
      <c r="T6" s="1667"/>
      <c r="U6" s="1668"/>
      <c r="V6" s="2581"/>
      <c r="W6" s="2581"/>
      <c r="X6" s="2581"/>
      <c r="Y6" s="2581"/>
      <c r="Z6" s="2581"/>
      <c r="AA6" s="2582"/>
      <c r="AB6" s="2244"/>
      <c r="AC6" s="2581"/>
      <c r="AD6" s="2581"/>
      <c r="AE6" s="2581"/>
      <c r="AF6" s="2581"/>
      <c r="AG6" s="2581"/>
      <c r="AH6" s="2581"/>
      <c r="AI6" s="2581"/>
      <c r="AJ6" s="2582"/>
      <c r="AK6" s="1669"/>
      <c r="AM6" s="1908"/>
      <c r="AN6" s="1908" t="str">
        <f>IF(T6="","",T6)</f>
        <v/>
      </c>
      <c r="AO6" s="1908"/>
      <c r="AP6" s="1908"/>
      <c r="AQ6" s="1920">
        <v>0</v>
      </c>
    </row>
    <row s="30621" customFormat="1" customHeight="1" ht="0.75" hidden="1">
      <c r="A7" s="1659"/>
      <c r="B7" s="1659"/>
      <c r="C7" s="1659"/>
      <c r="D7" s="1659"/>
      <c r="E7" s="2574"/>
      <c r="F7" s="2574"/>
      <c r="G7" s="2574"/>
      <c r="H7" s="2574"/>
      <c r="I7" s="2385"/>
      <c r="J7" s="2411">
        <f>S5&amp;".1"</f>
      </c>
      <c r="K7" s="1659"/>
      <c r="L7" s="1665"/>
      <c r="M7" s="1530"/>
      <c r="N7" s="1530"/>
      <c r="O7" s="1530"/>
      <c r="P7" s="2541"/>
      <c r="Q7" s="2541">
        <v>1</v>
      </c>
      <c r="R7" s="641"/>
      <c r="S7" s="1326"/>
      <c r="T7" s="1683"/>
      <c r="U7" s="1668"/>
      <c r="V7" s="2581"/>
      <c r="W7" s="2581"/>
      <c r="X7" s="2581"/>
      <c r="Y7" s="2581"/>
      <c r="Z7" s="2581"/>
      <c r="AA7" s="2582"/>
      <c r="AB7" s="2244"/>
      <c r="AC7" s="2581"/>
      <c r="AD7" s="2581"/>
      <c r="AE7" s="2581"/>
      <c r="AF7" s="2581"/>
      <c r="AG7" s="2581"/>
      <c r="AH7" s="2581"/>
      <c r="AI7" s="2581"/>
      <c r="AJ7" s="2582"/>
      <c r="AK7" s="1669"/>
      <c r="AM7" s="1908"/>
      <c r="AN7" s="1908" t="str">
        <f>IF(T7="","",T7)</f>
        <v/>
      </c>
      <c r="AO7" s="1908"/>
      <c r="AP7" s="1908"/>
      <c r="AQ7" s="1920">
        <v>0</v>
      </c>
    </row>
    <row customHeight="1" ht="21" hidden="1">
      <c r="A8" s="1551"/>
      <c r="B8" s="1551"/>
      <c r="C8" s="1551"/>
      <c r="D8" s="1551"/>
      <c r="E8" s="2574"/>
      <c r="F8" s="2574"/>
      <c r="G8" s="2574"/>
      <c r="H8" s="2574"/>
      <c r="I8" s="2385"/>
      <c r="J8" s="2385"/>
      <c r="K8" s="2275">
        <f>S5&amp;".1"</f>
      </c>
      <c r="L8" s="1594"/>
      <c r="P8" s="2541"/>
      <c r="Q8" s="2541"/>
      <c r="R8" s="2279">
        <v>1</v>
      </c>
      <c r="S8" s="2277">
        <f>$K8</f>
      </c>
      <c r="T8" s="2278"/>
      <c r="U8" s="584"/>
      <c r="V8" s="1035"/>
      <c r="W8" s="1541"/>
      <c r="X8" s="2276"/>
      <c r="Y8" s="2274" t="s">
        <v>64</v>
      </c>
      <c r="Z8" s="2276"/>
      <c r="AA8" s="2274" t="s">
        <v>64</v>
      </c>
      <c r="AB8" s="2280"/>
      <c r="AC8" s="2281" t="s">
        <v>28</v>
      </c>
      <c r="AD8" s="1035"/>
      <c r="AE8" s="1541"/>
      <c r="AF8" s="2239"/>
      <c r="AG8" s="2226" t="s">
        <v>64</v>
      </c>
      <c r="AH8" s="2239"/>
      <c r="AI8" s="2226" t="s">
        <v>64</v>
      </c>
      <c r="AJ8" s="1632"/>
      <c r="AK8" s="2537" t="s">
        <v>536</v>
      </c>
      <c r="AL8" s="1920">
        <f>STRCHECKDATE(#REF!)</f>
      </c>
      <c r="AM8" s="1908"/>
      <c r="AN8" s="1908" t="str">
        <f>IF(T8="","",T8)</f>
        <v/>
      </c>
      <c r="AO8" s="1908"/>
      <c r="AP8" s="1908"/>
      <c r="AQ8" s="1915">
        <v>0</v>
      </c>
    </row>
    <row customHeight="1" ht="11.25" hidden="1">
      <c r="A9" s="1551"/>
      <c r="B9" s="1551"/>
      <c r="C9" s="1551"/>
      <c r="D9" s="1551"/>
      <c r="E9" s="2574"/>
      <c r="F9" s="2574"/>
      <c r="G9" s="2574"/>
      <c r="H9" s="2574"/>
      <c r="I9" s="2385"/>
      <c r="J9" s="2411"/>
      <c r="K9" s="1551"/>
      <c r="L9" s="1594"/>
      <c r="P9" s="2541"/>
      <c r="Q9" s="2541"/>
      <c r="R9" s="640"/>
      <c r="S9" s="1562"/>
      <c r="T9" s="571" t="s">
        <v>540</v>
      </c>
      <c r="U9" s="884"/>
      <c r="V9" s="884"/>
      <c r="W9" s="884"/>
      <c r="X9" s="884"/>
      <c r="Y9" s="884"/>
      <c r="Z9" s="884"/>
      <c r="AA9" s="884"/>
      <c r="AB9" s="884"/>
      <c r="AC9" s="884"/>
      <c r="AD9" s="884"/>
      <c r="AE9" s="884"/>
      <c r="AF9" s="884"/>
      <c r="AG9" s="884"/>
      <c r="AH9" s="884"/>
      <c r="AI9" s="884"/>
      <c r="AJ9" s="608"/>
      <c r="AK9" s="2539"/>
      <c r="AM9" s="1908"/>
      <c r="AN9" s="1908" t="str">
        <f>IF(T9="","",T9)</f>
        <v>Добавить строку</v>
      </c>
      <c r="AO9" s="1908"/>
      <c r="AP9" s="1908"/>
      <c r="AQ9" s="1915">
        <v>0</v>
      </c>
    </row>
    <row s="30621" customFormat="1" customHeight="1" ht="0.75" hidden="1">
      <c r="A10" s="1659"/>
      <c r="B10" s="1659"/>
      <c r="C10" s="1659"/>
      <c r="D10" s="1659"/>
      <c r="E10" s="2574"/>
      <c r="F10" s="2574"/>
      <c r="G10" s="2574"/>
      <c r="H10" s="2574"/>
      <c r="I10" s="2411"/>
      <c r="J10" s="1659"/>
      <c r="K10" s="1659"/>
      <c r="L10" s="1665"/>
      <c r="M10" s="1530"/>
      <c r="N10" s="1530"/>
      <c r="O10" s="1530"/>
      <c r="P10" s="2541"/>
      <c r="Q10" s="2238"/>
      <c r="R10" s="640"/>
      <c r="S10" s="1670"/>
      <c r="T10" s="1671"/>
      <c r="U10" s="1672"/>
      <c r="V10" s="1672"/>
      <c r="W10" s="1672"/>
      <c r="X10" s="1672"/>
      <c r="Y10" s="1672"/>
      <c r="Z10" s="1672"/>
      <c r="AA10" s="1672"/>
      <c r="AB10" s="1672"/>
      <c r="AC10" s="1672"/>
      <c r="AD10" s="1672"/>
      <c r="AE10" s="1672"/>
      <c r="AF10" s="1672"/>
      <c r="AG10" s="1672"/>
      <c r="AH10" s="1672"/>
      <c r="AI10" s="1672"/>
      <c r="AJ10" s="1672"/>
      <c r="AK10" s="1673"/>
      <c r="AM10" s="1908"/>
      <c r="AN10" s="1908" t="str">
        <f>IF(T10="","",T10)</f>
        <v/>
      </c>
      <c r="AO10" s="1908"/>
      <c r="AP10" s="1908"/>
      <c r="AQ10" s="1920">
        <v>0</v>
      </c>
    </row>
    <row s="30621" customFormat="1" customHeight="1" ht="0.75" hidden="1">
      <c r="A11" s="1659"/>
      <c r="B11" s="1659"/>
      <c r="C11" s="1659"/>
      <c r="D11" s="1659"/>
      <c r="E11" s="2574"/>
      <c r="F11" s="2574"/>
      <c r="G11" s="2574"/>
      <c r="H11" s="2573"/>
      <c r="I11" s="1659"/>
      <c r="J11" s="1659"/>
      <c r="K11" s="1659"/>
      <c r="L11" s="1665"/>
      <c r="M11" s="1662"/>
      <c r="N11" s="1662"/>
      <c r="O11" s="635"/>
      <c r="P11" s="664"/>
      <c r="Q11" s="1628"/>
      <c r="R11" s="1685"/>
      <c r="S11" s="1670"/>
      <c r="T11" s="1671"/>
      <c r="U11" s="1672"/>
      <c r="V11" s="1672"/>
      <c r="W11" s="1672"/>
      <c r="X11" s="1672"/>
      <c r="Y11" s="1672"/>
      <c r="Z11" s="1672"/>
      <c r="AA11" s="1672"/>
      <c r="AB11" s="1672"/>
      <c r="AC11" s="1672"/>
      <c r="AD11" s="1672"/>
      <c r="AE11" s="1672"/>
      <c r="AF11" s="1672"/>
      <c r="AG11" s="1672"/>
      <c r="AH11" s="1672"/>
      <c r="AI11" s="1672"/>
      <c r="AJ11" s="1672"/>
      <c r="AK11" s="1673"/>
      <c r="AM11" s="1908"/>
      <c r="AN11" s="1908" t="str">
        <f>IF(T11="","",T11)</f>
        <v/>
      </c>
      <c r="AO11" s="1908"/>
      <c r="AP11" s="1908"/>
      <c r="AQ11" s="1920">
        <v>0</v>
      </c>
    </row>
    <row s="30621" customFormat="1" customHeight="1" ht="0.75" hidden="1">
      <c r="A12" s="1659"/>
      <c r="B12" s="1659"/>
      <c r="C12" s="1659"/>
      <c r="D12" s="1658"/>
      <c r="E12" s="2574"/>
      <c r="F12" s="2574"/>
      <c r="G12" s="2573"/>
      <c r="H12" s="1658"/>
      <c r="I12" s="1658"/>
      <c r="J12" s="1658"/>
      <c r="K12" s="1658"/>
      <c r="L12" s="1661"/>
      <c r="M12" s="1662"/>
      <c r="N12" s="1662"/>
      <c r="O12" s="635"/>
      <c r="P12" s="1600"/>
      <c r="Q12" s="1601"/>
      <c r="R12" s="1600"/>
      <c r="S12" s="1606"/>
      <c r="T12" s="1609" t="s">
        <v>213</v>
      </c>
      <c r="U12" s="1608"/>
      <c r="V12" s="1608"/>
      <c r="W12" s="1608"/>
      <c r="X12" s="1608"/>
      <c r="Y12" s="1608"/>
      <c r="Z12" s="1608"/>
      <c r="AA12" s="1608"/>
      <c r="AB12" s="1608"/>
      <c r="AC12" s="1608"/>
      <c r="AD12" s="1608"/>
      <c r="AE12" s="1608"/>
      <c r="AF12" s="1608"/>
      <c r="AG12" s="1608"/>
      <c r="AH12" s="1608"/>
      <c r="AI12" s="1608"/>
      <c r="AJ12" s="1608"/>
      <c r="AK12" s="1608"/>
      <c r="AM12" s="1535"/>
      <c r="AN12" s="1535" t="str">
        <f>IF(T12="","",T12)</f>
        <v>Добавить источник для дифференциации</v>
      </c>
      <c r="AO12" s="1535"/>
      <c r="AP12" s="1535"/>
      <c r="AQ12" s="1926">
        <v>0</v>
      </c>
    </row>
    <row s="30621" customFormat="1" customHeight="1" ht="0.75" hidden="1">
      <c r="A13" s="1659"/>
      <c r="B13" s="1659"/>
      <c r="C13" s="1658"/>
      <c r="D13" s="1658"/>
      <c r="E13" s="2574"/>
      <c r="F13" s="2573"/>
      <c r="G13" s="1658"/>
      <c r="H13" s="1658"/>
      <c r="I13" s="1658"/>
      <c r="J13" s="1658"/>
      <c r="K13" s="1658"/>
      <c r="L13" s="1661"/>
      <c r="M13" s="1663"/>
      <c r="N13" s="1663"/>
      <c r="O13" s="635"/>
      <c r="P13" s="1600"/>
      <c r="Q13" s="1601"/>
      <c r="R13" s="1600"/>
      <c r="S13" s="1606"/>
      <c r="T13" s="1609" t="s">
        <v>214</v>
      </c>
      <c r="U13" s="1608"/>
      <c r="V13" s="1608"/>
      <c r="W13" s="1608"/>
      <c r="X13" s="1608"/>
      <c r="Y13" s="1608"/>
      <c r="Z13" s="1608"/>
      <c r="AA13" s="1608"/>
      <c r="AB13" s="1608"/>
      <c r="AC13" s="1608"/>
      <c r="AD13" s="1608"/>
      <c r="AE13" s="1608"/>
      <c r="AF13" s="1608"/>
      <c r="AG13" s="1608"/>
      <c r="AH13" s="1608"/>
      <c r="AI13" s="1608"/>
      <c r="AJ13" s="1608"/>
      <c r="AK13" s="1608"/>
      <c r="AM13" s="1535"/>
      <c r="AN13" s="1535" t="str">
        <f>IF(T13="","",T13)</f>
        <v>Добавить централизованную систему для дифференциации</v>
      </c>
      <c r="AO13" s="1535"/>
      <c r="AP13" s="1535"/>
      <c r="AQ13" s="1926">
        <v>0</v>
      </c>
    </row>
    <row s="30621" customFormat="1" customHeight="1" ht="0.75" hidden="1">
      <c r="A14" s="1659"/>
      <c r="B14" s="1659"/>
      <c r="C14" s="1659"/>
      <c r="D14" s="1659"/>
      <c r="E14" s="2573"/>
      <c r="F14" s="1659"/>
      <c r="G14" s="1659"/>
      <c r="H14" s="1659"/>
      <c r="I14" s="1659"/>
      <c r="J14" s="1659"/>
      <c r="K14" s="1659"/>
      <c r="L14" s="1665"/>
      <c r="M14" s="1663"/>
      <c r="N14" s="1663"/>
      <c r="O14" s="635"/>
      <c r="P14" s="664"/>
      <c r="Q14" s="1628"/>
      <c r="R14" s="664"/>
      <c r="S14" s="1606"/>
      <c r="T14" s="1609" t="s">
        <v>230</v>
      </c>
      <c r="U14" s="1608"/>
      <c r="V14" s="1608"/>
      <c r="W14" s="1608"/>
      <c r="X14" s="1608"/>
      <c r="Y14" s="1608"/>
      <c r="Z14" s="1608"/>
      <c r="AA14" s="1608"/>
      <c r="AB14" s="1608"/>
      <c r="AC14" s="1608"/>
      <c r="AD14" s="1608"/>
      <c r="AE14" s="1608"/>
      <c r="AF14" s="1608"/>
      <c r="AG14" s="1608"/>
      <c r="AH14" s="1608"/>
      <c r="AI14" s="1608"/>
      <c r="AJ14" s="1608"/>
      <c r="AK14" s="1608"/>
      <c r="AM14" s="1908"/>
      <c r="AN14" s="1908" t="str">
        <f>IF(T14="","",T14)</f>
        <v>Добавить территорию для дифференциации</v>
      </c>
      <c r="AO14" s="1908"/>
      <c r="AP14" s="1908"/>
      <c r="AQ14" s="1920">
        <v>0</v>
      </c>
    </row>
    <row customHeight="1" ht="14.25" hidden="1">
      <c r="AQ15" s="1915">
        <v>0</v>
      </c>
    </row>
    <row customHeight="1" ht="14.25" hidden="1">
      <c r="AC16" s="1786"/>
      <c r="AD16" s="1687"/>
      <c r="AE16" s="1688"/>
      <c r="AF16" s="2020"/>
      <c r="AG16" s="2250" t="s">
        <v>64</v>
      </c>
      <c r="AH16" s="2020"/>
      <c r="AI16" s="2250" t="s">
        <v>64</v>
      </c>
      <c r="AQ16" s="1915">
        <v>0</v>
      </c>
    </row>
    <row customHeight="1" ht="14.25" hidden="1">
      <c r="AL17" s="1925"/>
      <c r="AM17" s="1925"/>
      <c r="AN17" s="1925"/>
      <c r="AO17" s="1925"/>
      <c r="AP17" s="1925"/>
      <c r="AQ17" s="1915">
        <v>0</v>
      </c>
    </row>
    <row customHeight="1" ht="14.25" hidden="1">
      <c r="O18" s="1629" t="s">
        <v>474</v>
      </c>
      <c r="X18" s="1629"/>
      <c r="Z18" s="1629"/>
      <c r="AF18" s="1629"/>
      <c r="AH18" s="1629"/>
      <c r="AL18" s="1925"/>
      <c r="AM18" s="1925"/>
      <c r="AN18" s="1925"/>
      <c r="AO18" s="1925"/>
      <c r="AP18" s="1925"/>
      <c r="AQ18" s="1915">
        <v>0</v>
      </c>
    </row>
    <row customHeight="1" ht="14.25" hidden="1">
      <c r="AL19" s="1925"/>
      <c r="AM19" s="1925"/>
      <c r="AN19" s="1925"/>
      <c r="AO19" s="1925"/>
      <c r="AP19" s="1925"/>
      <c r="AQ19" s="1915">
        <v>0</v>
      </c>
    </row>
    <row s="37270" customFormat="1" customHeight="1" ht="14.25" hidden="1">
      <c r="A20" s="2255"/>
      <c r="B20" s="2255"/>
      <c r="C20" s="2255"/>
      <c r="D20" s="2255"/>
      <c r="E20" s="2255"/>
      <c r="F20" s="2255"/>
      <c r="G20" s="2255"/>
      <c r="H20" s="2255"/>
      <c r="I20" s="2255"/>
      <c r="J20" s="2255"/>
      <c r="K20" s="2255"/>
      <c r="L20" s="2255"/>
      <c r="M20" s="2256"/>
      <c r="N20" s="2256"/>
      <c r="O20" s="2257" t="s">
        <v>475</v>
      </c>
      <c r="P20" s="1792"/>
      <c r="Q20" s="1794"/>
      <c r="R20" s="1794"/>
      <c r="Y20" s="1791" t="s">
        <v>477</v>
      </c>
      <c r="AA20" s="1791" t="s">
        <v>478</v>
      </c>
      <c r="AC20" s="1791" t="s">
        <v>542</v>
      </c>
      <c r="AG20" s="1791" t="s">
        <v>477</v>
      </c>
      <c r="AI20" s="1791" t="s">
        <v>478</v>
      </c>
      <c r="AL20" s="1795"/>
      <c r="AM20" s="1795"/>
      <c r="AN20" s="1795"/>
      <c r="AO20" s="1795"/>
      <c r="AP20" s="1795"/>
      <c r="AQ20" s="1791">
        <v>0</v>
      </c>
    </row>
    <row customHeight="1" ht="14.25" hidden="1">
      <c r="O21" s="1594"/>
      <c r="AL21" s="1925"/>
      <c r="AM21" s="1925"/>
      <c r="AN21" s="1925"/>
      <c r="AO21" s="1925"/>
      <c r="AP21" s="1925"/>
      <c r="AQ21" s="1915">
        <v>0</v>
      </c>
    </row>
    <row customHeight="1" ht="14.25" hidden="1">
      <c r="O22" s="1594"/>
      <c r="AL22" s="1925"/>
      <c r="AM22" s="1925"/>
      <c r="AN22" s="1925"/>
      <c r="AO22" s="1925"/>
      <c r="AP22" s="1925"/>
      <c r="AQ22" s="1915">
        <v>0</v>
      </c>
    </row>
    <row customHeight="1" ht="14.699999999999998">
      <c r="Q23" s="575"/>
      <c r="R23" s="660"/>
      <c r="S23" s="1559"/>
      <c r="T23" s="741"/>
      <c r="U23" s="741"/>
      <c r="V23" s="1919"/>
      <c r="W23" s="1919"/>
      <c r="X23" s="1919"/>
      <c r="Y23" s="1919"/>
      <c r="Z23" s="1919"/>
      <c r="AA23" s="1919"/>
      <c r="AB23" s="1919"/>
      <c r="AC23" s="1919"/>
      <c r="AD23" s="1919"/>
      <c r="AE23" s="1919"/>
      <c r="AF23" s="1919"/>
      <c r="AG23" s="1919"/>
      <c r="AH23" s="1919"/>
      <c r="AI23" s="1919"/>
      <c r="AQ23" s="1915">
        <v>14</v>
      </c>
    </row>
    <row customHeight="1" ht="39.75">
      <c r="Q24" s="575"/>
      <c r="R24" s="660"/>
      <c r="S24" s="253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32"/>
      <c r="U24" s="2532"/>
      <c r="V24" s="2532"/>
      <c r="W24" s="2532"/>
      <c r="X24" s="2532"/>
      <c r="Y24" s="2532"/>
      <c r="Z24" s="2532"/>
      <c r="AA24" s="2532"/>
      <c r="AB24" s="2532"/>
      <c r="AC24" s="2532"/>
      <c r="AD24" s="2532"/>
      <c r="AE24" s="2532"/>
      <c r="AF24" s="2532"/>
      <c r="AG24" s="2532"/>
      <c r="AH24" s="2532"/>
      <c r="AI24" s="1527"/>
      <c r="AQ24" s="1915">
        <v>38</v>
      </c>
    </row>
    <row customHeight="1" ht="14.699999999999998">
      <c r="Q25" s="575"/>
      <c r="R25" s="660"/>
      <c r="S25" s="2533" t="str">
        <f>IF(org=0,"Не определено",org)</f>
        <v>АО "ДГК"</v>
      </c>
      <c r="T25" s="2533"/>
      <c r="U25" s="2533"/>
      <c r="V25" s="2533"/>
      <c r="W25" s="2533"/>
      <c r="X25" s="2533"/>
      <c r="Y25" s="2533"/>
      <c r="Z25" s="2533"/>
      <c r="AA25" s="2533"/>
      <c r="AB25" s="2533"/>
      <c r="AC25" s="2533"/>
      <c r="AD25" s="2533"/>
      <c r="AE25" s="2533"/>
      <c r="AF25" s="2533"/>
      <c r="AG25" s="2533"/>
      <c r="AH25" s="2533"/>
      <c r="AI25" s="1527"/>
      <c r="AQ25" s="1915">
        <v>14</v>
      </c>
    </row>
    <row customHeight="1" ht="14.25" hidden="1">
      <c r="Q26" s="575"/>
      <c r="R26" s="660"/>
      <c r="S26" s="1559"/>
      <c r="T26" s="741"/>
      <c r="U26" s="741"/>
      <c r="V26" s="606"/>
      <c r="W26" s="606"/>
      <c r="X26" s="606"/>
      <c r="Y26" s="606"/>
      <c r="Z26" s="606"/>
      <c r="AA26" s="606"/>
      <c r="AB26" s="606"/>
      <c r="AC26" s="606"/>
      <c r="AD26" s="606"/>
      <c r="AE26" s="606"/>
      <c r="AF26" s="606"/>
      <c r="AG26" s="606"/>
      <c r="AH26" s="606"/>
      <c r="AI26" s="606"/>
      <c r="AJ26" s="1919"/>
      <c r="AQ26" s="1915">
        <v>0</v>
      </c>
    </row>
    <row s="30764" customFormat="1" customHeight="1" ht="25.5" hidden="1">
      <c r="A27" s="1532"/>
      <c r="B27" s="1532"/>
      <c r="C27" s="1532"/>
      <c r="D27" s="1532"/>
      <c r="E27" s="1532"/>
      <c r="F27" s="1532"/>
      <c r="G27" s="1532"/>
      <c r="H27" s="1532"/>
      <c r="I27" s="1532"/>
      <c r="J27" s="1532"/>
      <c r="K27" s="1532"/>
      <c r="L27" s="1664"/>
      <c r="M27" s="1532"/>
      <c r="N27" s="1532"/>
      <c r="O27" s="1532"/>
      <c r="P27" s="1652"/>
      <c r="Q27" s="1652"/>
      <c r="S27" s="2534" t="s">
        <v>42</v>
      </c>
      <c r="T27" s="2534"/>
      <c r="U27" s="1656"/>
      <c r="V27" s="2535" t="str">
        <f>IF(TITLE_NAME_OR_PR_CHANGE="",IF(TITLE_NAME_OR_PR="","",TITLE_NAME_OR_PR),TITLE_NAME_OR_PR_CHANGE)</f>
        <v>Комитет по ценам и тарифам Правительства Хабаровского края</v>
      </c>
      <c r="W27" s="2535"/>
      <c r="X27" s="2535"/>
      <c r="Y27" s="2535"/>
      <c r="Z27" s="2535"/>
      <c r="AA27" s="1919"/>
      <c r="AB27" s="1919"/>
      <c r="AC27" s="2535"/>
      <c r="AD27" s="2535"/>
      <c r="AE27" s="2535"/>
      <c r="AF27" s="2535"/>
      <c r="AG27" s="2535"/>
      <c r="AH27" s="2535"/>
      <c r="AI27" s="1919"/>
      <c r="AJ27" s="1919"/>
      <c r="AK27" s="564"/>
      <c r="AL27" s="652"/>
      <c r="AM27" s="652"/>
      <c r="AN27" s="652"/>
      <c r="AO27" s="652"/>
      <c r="AP27" s="652"/>
      <c r="AQ27" s="702">
        <v>0</v>
      </c>
    </row>
    <row s="30764" customFormat="1" customHeight="1" ht="18.75" hidden="1">
      <c r="A28" s="1532"/>
      <c r="B28" s="1532"/>
      <c r="C28" s="1532"/>
      <c r="D28" s="1532"/>
      <c r="E28" s="1532"/>
      <c r="F28" s="1532"/>
      <c r="G28" s="1532"/>
      <c r="H28" s="1532"/>
      <c r="I28" s="1532"/>
      <c r="J28" s="1532"/>
      <c r="K28" s="1532"/>
      <c r="L28" s="1664"/>
      <c r="M28" s="1532"/>
      <c r="N28" s="1532"/>
      <c r="O28" s="1532"/>
      <c r="P28" s="1652"/>
      <c r="Q28" s="1652"/>
      <c r="S28" s="2534" t="s">
        <v>480</v>
      </c>
      <c r="T28" s="2534"/>
      <c r="U28" s="1656"/>
      <c r="V28" s="2548" t="str">
        <f>IF(TITLE_DATE_PR_CHANGE="",IF(TITLE_DATE_PR="","",TITLE_DATE_PR),TITLE_DATE_PR_CHANGE)</f>
        <v>45645</v>
      </c>
      <c r="W28" s="2548"/>
      <c r="X28" s="2548"/>
      <c r="Y28" s="2548"/>
      <c r="Z28" s="2548"/>
      <c r="AA28" s="1919"/>
      <c r="AB28" s="1919"/>
      <c r="AC28" s="2548"/>
      <c r="AD28" s="2548"/>
      <c r="AE28" s="2548"/>
      <c r="AF28" s="2548"/>
      <c r="AG28" s="2548"/>
      <c r="AH28" s="2548"/>
      <c r="AI28" s="1919"/>
      <c r="AJ28" s="1919"/>
      <c r="AK28" s="564"/>
      <c r="AL28" s="652"/>
      <c r="AM28" s="652"/>
      <c r="AN28" s="652"/>
      <c r="AO28" s="652"/>
      <c r="AP28" s="652"/>
      <c r="AQ28" s="702">
        <v>0</v>
      </c>
    </row>
    <row s="30764" customFormat="1" customHeight="1" ht="18.75" hidden="1">
      <c r="A29" s="1532"/>
      <c r="B29" s="1532"/>
      <c r="C29" s="1532"/>
      <c r="D29" s="1532"/>
      <c r="E29" s="1532"/>
      <c r="F29" s="1532"/>
      <c r="G29" s="1532"/>
      <c r="H29" s="1532"/>
      <c r="I29" s="1532"/>
      <c r="J29" s="1532"/>
      <c r="K29" s="1532"/>
      <c r="L29" s="1664"/>
      <c r="M29" s="1532"/>
      <c r="N29" s="1532"/>
      <c r="O29" s="1532"/>
      <c r="P29" s="1652"/>
      <c r="Q29" s="1652"/>
      <c r="S29" s="2534" t="s">
        <v>481</v>
      </c>
      <c r="T29" s="2534"/>
      <c r="U29" s="1656"/>
      <c r="V29" s="2535" t="str">
        <f>IF(TITLE_NUMBER_PR_CHANGE="",IF(TITLE_NUMBER_PR="","",TITLE_NUMBER_PR),TITLE_NUMBER_PR_CHANGE)</f>
        <v>№ 40/8</v>
      </c>
      <c r="W29" s="2535"/>
      <c r="X29" s="2535"/>
      <c r="Y29" s="2535"/>
      <c r="Z29" s="2535"/>
      <c r="AA29" s="1919"/>
      <c r="AB29" s="1919"/>
      <c r="AC29" s="2535"/>
      <c r="AD29" s="2535"/>
      <c r="AE29" s="2535"/>
      <c r="AF29" s="2535"/>
      <c r="AG29" s="2535"/>
      <c r="AH29" s="2535"/>
      <c r="AI29" s="1919"/>
      <c r="AJ29" s="1919"/>
      <c r="AK29" s="564"/>
      <c r="AL29" s="652"/>
      <c r="AM29" s="652"/>
      <c r="AN29" s="652"/>
      <c r="AO29" s="652"/>
      <c r="AP29" s="652"/>
      <c r="AQ29" s="702">
        <v>0</v>
      </c>
    </row>
    <row s="30764" customFormat="1" customHeight="1" ht="18.75" hidden="1">
      <c r="A30" s="1532"/>
      <c r="B30" s="1532"/>
      <c r="C30" s="1532"/>
      <c r="D30" s="1532"/>
      <c r="E30" s="1532"/>
      <c r="F30" s="1532"/>
      <c r="G30" s="1532"/>
      <c r="H30" s="1532"/>
      <c r="I30" s="1532"/>
      <c r="J30" s="1532"/>
      <c r="K30" s="1532"/>
      <c r="L30" s="1664"/>
      <c r="M30" s="1532"/>
      <c r="N30" s="1532"/>
      <c r="O30" s="1532"/>
      <c r="P30" s="1652"/>
      <c r="Q30" s="1652"/>
      <c r="S30" s="2534" t="s">
        <v>44</v>
      </c>
      <c r="T30" s="2534"/>
      <c r="U30" s="1656"/>
      <c r="V30" s="2535" t="str">
        <f>IF(TITLE_IST_PUB_CHANGE="",IF(TITLE_IST_PUB="","",TITLE_IST_PUB),TITLE_IST_PUB_CHANGE)</f>
        <v>Официальный интернет - портал нормативных правовых актов Хабаровского края https://laws.khv.gov.ru/</v>
      </c>
      <c r="W30" s="2535"/>
      <c r="X30" s="2535"/>
      <c r="Y30" s="2535"/>
      <c r="Z30" s="2535"/>
      <c r="AA30" s="1919"/>
      <c r="AB30" s="1919"/>
      <c r="AC30" s="2535"/>
      <c r="AD30" s="2535"/>
      <c r="AE30" s="2535"/>
      <c r="AF30" s="2535"/>
      <c r="AG30" s="2535"/>
      <c r="AH30" s="2535"/>
      <c r="AI30" s="1919"/>
      <c r="AJ30" s="1919"/>
      <c r="AK30" s="564"/>
      <c r="AL30" s="652"/>
      <c r="AM30" s="652"/>
      <c r="AN30" s="652"/>
      <c r="AO30" s="652"/>
      <c r="AP30" s="652"/>
      <c r="AQ30" s="702">
        <v>0</v>
      </c>
    </row>
    <row customHeight="1" ht="14.25" hidden="1">
      <c r="Q31" s="575"/>
      <c r="R31" s="660"/>
      <c r="S31" s="1559"/>
      <c r="T31" s="741"/>
      <c r="U31" s="741"/>
      <c r="V31" s="606"/>
      <c r="W31" s="606"/>
      <c r="X31" s="606"/>
      <c r="Y31" s="606"/>
      <c r="Z31" s="606"/>
      <c r="AA31" s="606"/>
      <c r="AB31" s="606"/>
      <c r="AC31" s="606"/>
      <c r="AD31" s="606"/>
      <c r="AE31" s="606"/>
      <c r="AF31" s="606"/>
      <c r="AG31" s="606"/>
      <c r="AH31" s="606"/>
      <c r="AI31" s="606"/>
      <c r="AJ31" s="1919"/>
      <c r="AQ31" s="1915">
        <v>0</v>
      </c>
    </row>
    <row s="30764" customFormat="1" customHeight="1" ht="18.75" hidden="1">
      <c r="A32" s="1532"/>
      <c r="B32" s="1532"/>
      <c r="C32" s="1532"/>
      <c r="D32" s="1532"/>
      <c r="E32" s="1532"/>
      <c r="F32" s="1532"/>
      <c r="G32" s="1532"/>
      <c r="H32" s="1532"/>
      <c r="I32" s="1532"/>
      <c r="J32" s="1532"/>
      <c r="K32" s="1532"/>
      <c r="L32" s="1664"/>
      <c r="M32" s="1532"/>
      <c r="N32" s="1532"/>
      <c r="O32" s="1532"/>
      <c r="P32" s="1652"/>
      <c r="Q32" s="1652"/>
      <c r="S32" s="2534" t="s">
        <v>480</v>
      </c>
      <c r="T32" s="2534"/>
      <c r="U32" s="1656"/>
      <c r="V32" s="2548" t="str">
        <f>IF(TITLE_DATE_PR_CHANGE="",IF(TITLE_DATE_PR="","",TITLE_DATE_PR),TITLE_DATE_PR_CHANGE)</f>
        <v>45645</v>
      </c>
      <c r="W32" s="2548"/>
      <c r="X32" s="2548"/>
      <c r="Y32" s="2548"/>
      <c r="Z32" s="2548"/>
      <c r="AA32" s="1919"/>
      <c r="AB32" s="1919"/>
      <c r="AC32" s="2548"/>
      <c r="AD32" s="2548"/>
      <c r="AE32" s="2548"/>
      <c r="AF32" s="2548"/>
      <c r="AG32" s="2548"/>
      <c r="AH32" s="2548"/>
      <c r="AI32" s="1919"/>
      <c r="AJ32" s="1919"/>
      <c r="AK32" s="564"/>
      <c r="AL32" s="652"/>
      <c r="AM32" s="652"/>
      <c r="AN32" s="652"/>
      <c r="AO32" s="652"/>
      <c r="AP32" s="652"/>
      <c r="AQ32" s="702">
        <v>0</v>
      </c>
    </row>
    <row s="30764" customFormat="1" customHeight="1" ht="18" hidden="1">
      <c r="A33" s="1532"/>
      <c r="B33" s="1532"/>
      <c r="C33" s="1532"/>
      <c r="D33" s="1532"/>
      <c r="E33" s="1532"/>
      <c r="F33" s="1532"/>
      <c r="G33" s="1532"/>
      <c r="H33" s="1532"/>
      <c r="I33" s="1532"/>
      <c r="J33" s="1532"/>
      <c r="K33" s="1532"/>
      <c r="L33" s="1664"/>
      <c r="M33" s="1532"/>
      <c r="N33" s="1532"/>
      <c r="O33" s="1532"/>
      <c r="P33" s="1652"/>
      <c r="Q33" s="1652"/>
      <c r="S33" s="2534" t="s">
        <v>481</v>
      </c>
      <c r="T33" s="2534"/>
      <c r="U33" s="1656"/>
      <c r="V33" s="2535" t="str">
        <f>IF(TITLE_NUMBER_PR_CHANGE="",IF(TITLE_NUMBER_PR="","",TITLE_NUMBER_PR),TITLE_NUMBER_PR_CHANGE)</f>
        <v>№ 40/8</v>
      </c>
      <c r="W33" s="2535"/>
      <c r="X33" s="2535"/>
      <c r="Y33" s="2535"/>
      <c r="Z33" s="2535"/>
      <c r="AA33" s="1919"/>
      <c r="AB33" s="1919"/>
      <c r="AC33" s="2535"/>
      <c r="AD33" s="2535"/>
      <c r="AE33" s="2535"/>
      <c r="AF33" s="2535"/>
      <c r="AG33" s="2535"/>
      <c r="AH33" s="2535"/>
      <c r="AI33" s="1919"/>
      <c r="AJ33" s="1919"/>
      <c r="AK33" s="564"/>
      <c r="AL33" s="652"/>
      <c r="AM33" s="652"/>
      <c r="AN33" s="652"/>
      <c r="AO33" s="652"/>
      <c r="AP33" s="652"/>
      <c r="AQ33" s="702">
        <v>0</v>
      </c>
    </row>
    <row s="30764" customFormat="1" customHeight="1" ht="1.05">
      <c r="A34" s="1532"/>
      <c r="B34" s="1532"/>
      <c r="C34" s="1532"/>
      <c r="D34" s="1532"/>
      <c r="E34" s="1532"/>
      <c r="F34" s="1532"/>
      <c r="G34" s="1532"/>
      <c r="H34" s="1532"/>
      <c r="I34" s="1532"/>
      <c r="J34" s="1532"/>
      <c r="K34" s="1532"/>
      <c r="L34" s="1664"/>
      <c r="M34" s="1532"/>
      <c r="N34" s="1532"/>
      <c r="O34" s="1532"/>
      <c r="P34" s="1652"/>
      <c r="Q34" s="1652"/>
      <c r="S34" s="1919"/>
      <c r="T34" s="1919"/>
      <c r="U34" s="2254"/>
      <c r="V34" s="1919"/>
      <c r="W34" s="1919"/>
      <c r="X34" s="1919"/>
      <c r="Y34" s="1919"/>
      <c r="Z34" s="1919"/>
      <c r="AA34" s="1926" t="s">
        <v>484</v>
      </c>
      <c r="AB34" s="1926"/>
      <c r="AC34" s="1919"/>
      <c r="AD34" s="1919"/>
      <c r="AE34" s="1919"/>
      <c r="AF34" s="1919"/>
      <c r="AG34" s="1919"/>
      <c r="AH34" s="1919"/>
      <c r="AI34" s="1926" t="s">
        <v>484</v>
      </c>
      <c r="AL34" s="652"/>
      <c r="AM34" s="652"/>
      <c r="AN34" s="652"/>
      <c r="AO34" s="652"/>
      <c r="AP34" s="652"/>
      <c r="AQ34" s="702">
        <v>1</v>
      </c>
    </row>
    <row customHeight="1" ht="14.699999999999998">
      <c r="Q35" s="575"/>
      <c r="R35" s="660"/>
      <c r="S35" s="1559"/>
      <c r="T35" s="741"/>
      <c r="U35" s="1528"/>
      <c r="V35" s="2536"/>
      <c r="W35" s="2536"/>
      <c r="X35" s="2536"/>
      <c r="Y35" s="2536"/>
      <c r="Z35" s="2536"/>
      <c r="AA35" s="2536"/>
      <c r="AB35" s="2241"/>
      <c r="AC35" s="2536"/>
      <c r="AD35" s="2536"/>
      <c r="AE35" s="2536"/>
      <c r="AF35" s="2536"/>
      <c r="AG35" s="2536"/>
      <c r="AH35" s="2536"/>
      <c r="AI35" s="2536"/>
      <c r="AQ35" s="1915">
        <v>14</v>
      </c>
    </row>
    <row customHeight="1" ht="14.699999999999998">
      <c r="Q36" s="575"/>
      <c r="R36" s="660"/>
      <c r="S36" s="2411" t="s">
        <v>360</v>
      </c>
      <c r="T36" s="2411"/>
      <c r="U36" s="2411"/>
      <c r="V36" s="2411"/>
      <c r="W36" s="2411"/>
      <c r="X36" s="2411"/>
      <c r="Y36" s="2411"/>
      <c r="Z36" s="2411"/>
      <c r="AA36" s="2459"/>
      <c r="AB36" s="2459"/>
      <c r="AC36" s="2459"/>
      <c r="AD36" s="2411"/>
      <c r="AE36" s="2411"/>
      <c r="AF36" s="2411"/>
      <c r="AG36" s="2411"/>
      <c r="AH36" s="2411"/>
      <c r="AI36" s="2411"/>
      <c r="AJ36" s="2411"/>
      <c r="AK36" s="2411" t="s">
        <v>361</v>
      </c>
      <c r="AQ36" s="1915">
        <v>14</v>
      </c>
    </row>
    <row customHeight="1" ht="14.699999999999998">
      <c r="Q37" s="575"/>
      <c r="R37" s="660"/>
      <c r="S37" s="2557" t="s">
        <v>91</v>
      </c>
      <c r="T37" s="2493" t="s">
        <v>571</v>
      </c>
      <c r="U37" s="621"/>
      <c r="V37" s="2559"/>
      <c r="W37" s="2559"/>
      <c r="X37" s="2559"/>
      <c r="Y37" s="2559"/>
      <c r="Z37" s="2559"/>
      <c r="AA37" s="2493" t="s">
        <v>487</v>
      </c>
      <c r="AB37" s="2492" t="s">
        <v>572</v>
      </c>
      <c r="AC37" s="2492" t="s">
        <v>546</v>
      </c>
      <c r="AD37" s="2575" t="s">
        <v>486</v>
      </c>
      <c r="AE37" s="2575"/>
      <c r="AF37" s="2559"/>
      <c r="AG37" s="2559"/>
      <c r="AH37" s="2560"/>
      <c r="AI37" s="2561" t="s">
        <v>487</v>
      </c>
      <c r="AJ37" s="2564" t="s">
        <v>489</v>
      </c>
      <c r="AK37" s="2411"/>
      <c r="AQ37" s="1915">
        <v>14</v>
      </c>
    </row>
    <row customHeight="1" ht="35.699999999999996">
      <c r="Q38" s="575"/>
      <c r="R38" s="660"/>
      <c r="S38" s="2557"/>
      <c r="T38" s="2493"/>
      <c r="U38" s="1315"/>
      <c r="V38" s="2387" t="s">
        <v>549</v>
      </c>
      <c r="W38" s="2411"/>
      <c r="X38" s="2578" t="s">
        <v>493</v>
      </c>
      <c r="Y38" s="2597"/>
      <c r="Z38" s="2597"/>
      <c r="AA38" s="2493"/>
      <c r="AB38" s="2492"/>
      <c r="AC38" s="2492"/>
      <c r="AD38" s="2387" t="s">
        <v>549</v>
      </c>
      <c r="AE38" s="2411"/>
      <c r="AF38" s="2597" t="s">
        <v>493</v>
      </c>
      <c r="AG38" s="2597"/>
      <c r="AH38" s="2598"/>
      <c r="AI38" s="2562"/>
      <c r="AJ38" s="2565"/>
      <c r="AK38" s="2411"/>
      <c r="AQ38" s="1915">
        <v>34</v>
      </c>
    </row>
    <row customHeight="1" ht="14.699999999999998">
      <c r="Q39" s="575"/>
      <c r="R39" s="660"/>
      <c r="S39" s="2557"/>
      <c r="T39" s="2493"/>
      <c r="U39" s="1315"/>
      <c r="V39" s="2624" t="str">
        <f>IF($AD$39&lt;&gt;"",$AD$39,"")</f>
        <v/>
      </c>
      <c r="W39" s="2624"/>
      <c r="X39" s="2579"/>
      <c r="Y39" s="2599"/>
      <c r="Z39" s="2599"/>
      <c r="AA39" s="2493"/>
      <c r="AB39" s="2492"/>
      <c r="AC39" s="2492"/>
      <c r="AD39" s="2640"/>
      <c r="AE39" s="2623"/>
      <c r="AF39" s="2599"/>
      <c r="AG39" s="2599"/>
      <c r="AH39" s="2600"/>
      <c r="AI39" s="2562"/>
      <c r="AJ39" s="2565"/>
      <c r="AK39" s="2411"/>
      <c r="AQ39" s="1915">
        <v>14</v>
      </c>
    </row>
    <row customHeight="1" ht="14.699999999999998">
      <c r="A40" s="1550"/>
      <c r="B40" s="1550" t="s">
        <v>165</v>
      </c>
      <c r="C40" s="1550" t="s">
        <v>166</v>
      </c>
      <c r="D40" s="1550" t="s">
        <v>167</v>
      </c>
      <c r="E40" s="1594" t="s">
        <v>494</v>
      </c>
      <c r="F40" s="1594" t="s">
        <v>495</v>
      </c>
      <c r="G40" s="1594" t="s">
        <v>496</v>
      </c>
      <c r="H40" s="1594" t="s">
        <v>497</v>
      </c>
      <c r="I40" s="1594" t="s">
        <v>498</v>
      </c>
      <c r="J40" s="1594" t="s">
        <v>499</v>
      </c>
      <c r="K40" s="1594" t="s">
        <v>500</v>
      </c>
      <c r="L40" s="1594" t="s">
        <v>475</v>
      </c>
      <c r="Q40" s="575"/>
      <c r="R40" s="660"/>
      <c r="S40" s="2557"/>
      <c r="T40" s="2493"/>
      <c r="U40" s="586"/>
      <c r="V40" s="2234" t="s">
        <v>550</v>
      </c>
      <c r="W40" s="2234" t="s">
        <v>551</v>
      </c>
      <c r="X40" s="2222" t="s">
        <v>503</v>
      </c>
      <c r="Y40" s="2554" t="s">
        <v>504</v>
      </c>
      <c r="Z40" s="2604"/>
      <c r="AA40" s="2493"/>
      <c r="AB40" s="2492"/>
      <c r="AC40" s="2492"/>
      <c r="AD40" s="2252" t="s">
        <v>550</v>
      </c>
      <c r="AE40" s="2243" t="s">
        <v>551</v>
      </c>
      <c r="AF40" s="2222" t="s">
        <v>503</v>
      </c>
      <c r="AG40" s="2554" t="s">
        <v>504</v>
      </c>
      <c r="AH40" s="2555"/>
      <c r="AI40" s="2563"/>
      <c r="AJ40" s="2566"/>
      <c r="AK40" s="2411"/>
      <c r="AQ40" s="1915">
        <v>14</v>
      </c>
    </row>
    <row s="31261" customFormat="1" customHeight="1" ht="11.25" hidden="1">
      <c r="A41" s="1550"/>
      <c r="B41" s="1550"/>
      <c r="C41" s="1550"/>
      <c r="D41" s="1550"/>
      <c r="E41" s="1550"/>
      <c r="F41" s="1550"/>
      <c r="G41" s="1550"/>
      <c r="H41" s="1550"/>
      <c r="I41" s="1550"/>
      <c r="J41" s="1550"/>
      <c r="K41" s="1550"/>
      <c r="L41" s="1594"/>
      <c r="M41" s="2249"/>
      <c r="N41" s="2249"/>
      <c r="O41" s="2249"/>
      <c r="P41" s="794"/>
      <c r="Q41" s="1538"/>
      <c r="R41" s="1538">
        <v>1</v>
      </c>
      <c r="S41" s="1561" t="s">
        <v>141</v>
      </c>
      <c r="T41" s="1539" t="s">
        <v>105</v>
      </c>
      <c r="U41" s="1529" t="str">
        <f>OFFSET(U41,0,-1)</f>
        <v>2</v>
      </c>
      <c r="V41" s="2240">
        <f>OFFSET(V41,0,-1)+1</f>
        <v>3</v>
      </c>
      <c r="W41" s="2240">
        <f>OFFSET(W41,0,-1)+1</f>
        <v>4</v>
      </c>
      <c r="X41" s="2240">
        <f>OFFSET(X41,0,-1)+1</f>
        <v>5</v>
      </c>
      <c r="Y41" s="2556">
        <f>OFFSET(Y41,0,-1)+1</f>
        <v>6</v>
      </c>
      <c r="Z41" s="2556"/>
      <c r="AA41" s="1625">
        <f>OFFSET(AA41,0,-2)+1</f>
        <v>7</v>
      </c>
      <c r="AB41" s="1625"/>
      <c r="AC41" s="1625"/>
      <c r="AD41" s="2240">
        <f>OFFSET(AD41,0,-1)+1</f>
        <v>1</v>
      </c>
      <c r="AE41" s="2240">
        <f>OFFSET(AE41,0,-1)+1</f>
        <v>2</v>
      </c>
      <c r="AF41" s="2240">
        <f>OFFSET(AF41,0,-1)+1</f>
        <v>3</v>
      </c>
      <c r="AG41" s="2556">
        <f>OFFSET(AG41,0,-1)+1</f>
        <v>4</v>
      </c>
      <c r="AH41" s="2556"/>
      <c r="AI41" s="2240">
        <f>OFFSET(AI41,0,-2)+1</f>
        <v>5</v>
      </c>
      <c r="AJ41" s="1529">
        <f>OFFSET(AJ41,0,-1)</f>
        <v>5</v>
      </c>
      <c r="AK41" s="2240">
        <f>OFFSET(AK41,0,-1)+1</f>
        <v>6</v>
      </c>
      <c r="AL41" s="1920"/>
      <c r="AM41" s="1920"/>
      <c r="AN41" s="1920"/>
      <c r="AO41" s="1920"/>
      <c r="AP41" s="1920"/>
      <c r="AQ41" s="1925">
        <v>0</v>
      </c>
    </row>
    <row customHeight="1" ht="107.25">
      <c r="A42" s="1551" t="s">
        <v>266</v>
      </c>
      <c r="B42" s="1551"/>
      <c r="C42" s="1551"/>
      <c r="D42" s="1551"/>
      <c r="E42" s="2573">
        <v>1</v>
      </c>
      <c r="F42" s="1551"/>
      <c r="G42" s="1551"/>
      <c r="H42" s="1551"/>
      <c r="I42" s="1551"/>
      <c r="J42" s="1551"/>
      <c r="K42" s="1551"/>
      <c r="L42" s="1594"/>
      <c r="M42" s="1894"/>
      <c r="N42" s="1894"/>
      <c r="O42" s="1894"/>
      <c r="P42" s="1693"/>
      <c r="Q42" s="1157"/>
      <c r="R42" s="639"/>
      <c r="S42" s="2242">
        <f>INDEX(PT_DIFFERENTIATION_NUM_NTAR,MATCH(A42,PT_DIFFERENTIATION_NTAR_ID,0))</f>
        <v>0</v>
      </c>
      <c r="T42" s="1809" t="s">
        <v>153</v>
      </c>
      <c r="U42" s="584"/>
      <c r="V42" s="2527"/>
      <c r="W42" s="2527"/>
      <c r="X42" s="2527"/>
      <c r="Y42" s="2527"/>
      <c r="Z42" s="2527"/>
      <c r="AA42" s="2528"/>
      <c r="AB42" s="2236"/>
      <c r="AC42" s="2527" t="str">
        <f>INDEX(PT_DIFFERENTIATION_NTAR,MATCH(A42,PT_DIFFERENTIATION_NTAR_ID,0))</f>
        <v/>
      </c>
      <c r="AD42" s="2527"/>
      <c r="AE42" s="2527"/>
      <c r="AF42" s="2527"/>
      <c r="AG42" s="2527"/>
      <c r="AH42" s="2527"/>
      <c r="AI42" s="2527"/>
      <c r="AJ42" s="2528"/>
      <c r="AK42" s="154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908"/>
      <c r="AN42" s="1908" t="str">
        <f>IF(T42="","",T42)</f>
        <v>Наименование тарифа</v>
      </c>
      <c r="AO42" s="1908"/>
      <c r="AP42" s="1908"/>
      <c r="AQ42" s="1915">
        <v>102</v>
      </c>
    </row>
    <row customHeight="1" ht="22.049999999999997">
      <c r="A43" s="1551" t="s">
        <v>266</v>
      </c>
      <c r="B43" s="1551" t="s">
        <v>267</v>
      </c>
      <c r="C43" s="1551"/>
      <c r="D43" s="1551"/>
      <c r="E43" s="2574"/>
      <c r="F43" s="2573">
        <v>1</v>
      </c>
      <c r="G43" s="1551"/>
      <c r="H43" s="1551"/>
      <c r="I43" s="1551"/>
      <c r="J43" s="1551"/>
      <c r="K43" s="1551"/>
      <c r="L43" s="1594"/>
      <c r="M43" s="1894"/>
      <c r="N43" s="1894"/>
      <c r="O43" s="1894"/>
      <c r="P43" s="2253"/>
      <c r="Q43" s="1695"/>
      <c r="R43" s="637"/>
      <c r="S43" s="2242" t="str">
        <f>INDEX(PT_DIFFERENTIATION_NUM_TER,MATCH(B43,PT_DIFFERENTIATION_TER_ID,0))</f>
        <v>.</v>
      </c>
      <c r="T43" s="1806" t="s">
        <v>457</v>
      </c>
      <c r="U43" s="584"/>
      <c r="V43" s="2527"/>
      <c r="W43" s="2527"/>
      <c r="X43" s="2527"/>
      <c r="Y43" s="2527"/>
      <c r="Z43" s="2527"/>
      <c r="AA43" s="2528"/>
      <c r="AB43" s="2236"/>
      <c r="AC43" s="2527" t="str">
        <f>INDEX(PT_DIFFERENTIATION_TER,MATCH(B43,PT_DIFFERENTIATION_TER_ID,0))</f>
        <v/>
      </c>
      <c r="AD43" s="2527"/>
      <c r="AE43" s="2527"/>
      <c r="AF43" s="2527"/>
      <c r="AG43" s="2527"/>
      <c r="AH43" s="2527"/>
      <c r="AI43" s="2527"/>
      <c r="AJ43" s="2528"/>
      <c r="AK43" s="1542" t="s">
        <v>458</v>
      </c>
      <c r="AM43" s="1908"/>
      <c r="AN43" s="1908" t="str">
        <f>IF(T43="","",T43)</f>
        <v>Территория действия тарифа</v>
      </c>
      <c r="AO43" s="1908"/>
      <c r="AP43" s="1908"/>
      <c r="AQ43" s="1915">
        <v>21</v>
      </c>
    </row>
    <row customHeight="1" ht="24">
      <c r="A44" s="1551" t="s">
        <v>266</v>
      </c>
      <c r="B44" s="1551" t="s">
        <v>267</v>
      </c>
      <c r="C44" s="1551" t="s">
        <v>268</v>
      </c>
      <c r="D44" s="1551"/>
      <c r="E44" s="2574"/>
      <c r="F44" s="2574"/>
      <c r="G44" s="2573">
        <v>1</v>
      </c>
      <c r="H44" s="1551"/>
      <c r="I44" s="1551"/>
      <c r="J44" s="1551"/>
      <c r="K44" s="1551"/>
      <c r="L44" s="1594"/>
      <c r="M44" s="1894"/>
      <c r="N44" s="1894"/>
      <c r="O44" s="1894"/>
      <c r="P44" s="1696"/>
      <c r="Q44" s="1695"/>
      <c r="R44" s="637"/>
      <c r="S44" s="2242" t="str">
        <f>INDEX(PT_DIFFERENTIATION_NUM_CS,MATCH(C44,PT_DIFFERENTIATION_CS_ID,0))</f>
        <v>..</v>
      </c>
      <c r="T44" s="593" t="s">
        <v>459</v>
      </c>
      <c r="U44" s="584"/>
      <c r="V44" s="2527"/>
      <c r="W44" s="2527"/>
      <c r="X44" s="2527"/>
      <c r="Y44" s="2527"/>
      <c r="Z44" s="2527"/>
      <c r="AA44" s="2528"/>
      <c r="AB44" s="2236"/>
      <c r="AC44" s="2527" t="str">
        <f>INDEX(PT_DIFFERENTIATION_CS,MATCH(C44,PT_DIFFERENTIATION_CS_ID,0))</f>
        <v/>
      </c>
      <c r="AD44" s="2527"/>
      <c r="AE44" s="2527"/>
      <c r="AF44" s="2527"/>
      <c r="AG44" s="2527"/>
      <c r="AH44" s="2527"/>
      <c r="AI44" s="2527"/>
      <c r="AJ44" s="2528"/>
      <c r="AK44" s="1542" t="s">
        <v>460</v>
      </c>
      <c r="AM44" s="1908"/>
      <c r="AN44" s="1908" t="str">
        <f>IF(T44="","",T44)</f>
        <v>Наименование системы теплоснабжения </v>
      </c>
      <c r="AO44" s="1908"/>
      <c r="AP44" s="1908"/>
      <c r="AQ44" s="1915">
        <v>23</v>
      </c>
    </row>
    <row customHeight="1" ht="22.049999999999997">
      <c r="A45" s="1551" t="s">
        <v>266</v>
      </c>
      <c r="B45" s="1551" t="s">
        <v>267</v>
      </c>
      <c r="C45" s="1551" t="s">
        <v>268</v>
      </c>
      <c r="D45" s="1551" t="s">
        <v>269</v>
      </c>
      <c r="E45" s="2574"/>
      <c r="F45" s="2574"/>
      <c r="G45" s="2574"/>
      <c r="H45" s="2573">
        <v>1</v>
      </c>
      <c r="I45" s="1551"/>
      <c r="J45" s="1551"/>
      <c r="K45" s="1551"/>
      <c r="L45" s="1594"/>
      <c r="M45" s="1894"/>
      <c r="N45" s="1894"/>
      <c r="O45" s="1894"/>
      <c r="P45" s="1696"/>
      <c r="Q45" s="1695"/>
      <c r="R45" s="637"/>
      <c r="S45" s="2242" t="str">
        <f>INDEX(PT_DIFFERENTIATION_NUM_IST_TE,MATCH(D45,PT_DIFFERENTIATION_IST_TE_ID,0))</f>
        <v>...</v>
      </c>
      <c r="T45" s="594" t="s">
        <v>461</v>
      </c>
      <c r="U45" s="584"/>
      <c r="V45" s="2527"/>
      <c r="W45" s="2527"/>
      <c r="X45" s="2527"/>
      <c r="Y45" s="2527"/>
      <c r="Z45" s="2527"/>
      <c r="AA45" s="2528"/>
      <c r="AB45" s="2236"/>
      <c r="AC45" s="2527" t="str">
        <f>INDEX(PT_DIFFERENTIATION_IST_TE,MATCH(D45,PT_DIFFERENTIATION_IST_TE_ID,0))</f>
        <v/>
      </c>
      <c r="AD45" s="2527"/>
      <c r="AE45" s="2527"/>
      <c r="AF45" s="2527"/>
      <c r="AG45" s="2527"/>
      <c r="AH45" s="2527"/>
      <c r="AI45" s="2527"/>
      <c r="AJ45" s="2528"/>
      <c r="AK45" s="1542" t="s">
        <v>462</v>
      </c>
      <c r="AM45" s="1908"/>
      <c r="AN45" s="1908" t="str">
        <f>IF(T45="","",T45)</f>
        <v>Источник тепловой энергии  </v>
      </c>
      <c r="AO45" s="1908"/>
      <c r="AP45" s="1908"/>
      <c r="AQ45" s="1915">
        <v>21</v>
      </c>
    </row>
    <row s="30621" customFormat="1" customHeight="1" ht="0">
      <c r="A46" s="1659" t="s">
        <v>266</v>
      </c>
      <c r="B46" s="1659" t="s">
        <v>267</v>
      </c>
      <c r="C46" s="1659" t="s">
        <v>268</v>
      </c>
      <c r="D46" s="1659" t="s">
        <v>269</v>
      </c>
      <c r="E46" s="2574"/>
      <c r="F46" s="2574"/>
      <c r="G46" s="2574"/>
      <c r="H46" s="2574"/>
      <c r="I46" s="2411" t="str">
        <f>S45&amp;".1"</f>
        <v>....1</v>
      </c>
      <c r="J46" s="1659"/>
      <c r="K46" s="1659"/>
      <c r="L46" s="1665" t="s">
        <v>463</v>
      </c>
      <c r="M46" s="1530"/>
      <c r="N46" s="1530"/>
      <c r="O46" s="1530"/>
      <c r="P46" s="2541">
        <v>1</v>
      </c>
      <c r="Q46" s="2238"/>
      <c r="R46" s="640"/>
      <c r="S46" s="1326"/>
      <c r="T46" s="1667"/>
      <c r="U46" s="1668"/>
      <c r="V46" s="2581"/>
      <c r="W46" s="2581"/>
      <c r="X46" s="2581"/>
      <c r="Y46" s="2581"/>
      <c r="Z46" s="2581"/>
      <c r="AA46" s="2582"/>
      <c r="AB46" s="2244"/>
      <c r="AC46" s="2581"/>
      <c r="AD46" s="2581"/>
      <c r="AE46" s="2581"/>
      <c r="AF46" s="2581"/>
      <c r="AG46" s="2581"/>
      <c r="AH46" s="2581"/>
      <c r="AI46" s="2581"/>
      <c r="AJ46" s="2582"/>
      <c r="AK46" s="1669"/>
      <c r="AM46" s="1908"/>
      <c r="AN46" s="1908" t="str">
        <f>IF(T46="","",T46)</f>
        <v/>
      </c>
      <c r="AO46" s="1908"/>
      <c r="AP46" s="1908"/>
      <c r="AQ46" s="1920">
        <v>0</v>
      </c>
    </row>
    <row s="30621" customFormat="1" customHeight="1" ht="0">
      <c r="A47" s="1659" t="s">
        <v>266</v>
      </c>
      <c r="B47" s="1659" t="s">
        <v>267</v>
      </c>
      <c r="C47" s="1659" t="s">
        <v>268</v>
      </c>
      <c r="D47" s="1659" t="s">
        <v>269</v>
      </c>
      <c r="E47" s="2574"/>
      <c r="F47" s="2574"/>
      <c r="G47" s="2574"/>
      <c r="H47" s="2574"/>
      <c r="I47" s="2385"/>
      <c r="J47" s="2411" t="str">
        <f>S45&amp;".1"</f>
        <v>....1</v>
      </c>
      <c r="K47" s="1659"/>
      <c r="L47" s="1665"/>
      <c r="M47" s="1530"/>
      <c r="N47" s="1530"/>
      <c r="O47" s="1530"/>
      <c r="P47" s="2541"/>
      <c r="Q47" s="2541">
        <v>1</v>
      </c>
      <c r="R47" s="641"/>
      <c r="S47" s="1326"/>
      <c r="T47" s="1683"/>
      <c r="U47" s="1668"/>
      <c r="V47" s="2581"/>
      <c r="W47" s="2581"/>
      <c r="X47" s="2581"/>
      <c r="Y47" s="2581"/>
      <c r="Z47" s="2581"/>
      <c r="AA47" s="2582"/>
      <c r="AB47" s="2244"/>
      <c r="AC47" s="2581"/>
      <c r="AD47" s="2581"/>
      <c r="AE47" s="2581"/>
      <c r="AF47" s="2581"/>
      <c r="AG47" s="2581"/>
      <c r="AH47" s="2581"/>
      <c r="AI47" s="2581"/>
      <c r="AJ47" s="2582"/>
      <c r="AK47" s="1669"/>
      <c r="AM47" s="1908"/>
      <c r="AN47" s="1908" t="str">
        <f>IF(T47="","",T47)</f>
        <v/>
      </c>
      <c r="AO47" s="1908"/>
      <c r="AP47" s="1908"/>
      <c r="AQ47" s="1920">
        <v>0</v>
      </c>
    </row>
    <row customHeight="1" ht="22.049999999999997">
      <c r="A48" s="1551" t="s">
        <v>266</v>
      </c>
      <c r="B48" s="1551" t="s">
        <v>267</v>
      </c>
      <c r="C48" s="1551" t="s">
        <v>268</v>
      </c>
      <c r="D48" s="1551" t="s">
        <v>269</v>
      </c>
      <c r="E48" s="2574"/>
      <c r="F48" s="2574"/>
      <c r="G48" s="2574"/>
      <c r="H48" s="2574"/>
      <c r="I48" s="2385"/>
      <c r="J48" s="2385"/>
      <c r="K48" s="2225" t="str">
        <f>S45&amp;".1"</f>
        <v>....1</v>
      </c>
      <c r="L48" s="1594"/>
      <c r="P48" s="2541"/>
      <c r="Q48" s="2541"/>
      <c r="R48" s="641">
        <v>1</v>
      </c>
      <c r="S48" s="2246" t="str">
        <f>$K48</f>
        <v>....1</v>
      </c>
      <c r="T48" s="2245"/>
      <c r="U48" s="584"/>
      <c r="V48" s="1035"/>
      <c r="W48" s="1541"/>
      <c r="X48" s="2239"/>
      <c r="Y48" s="2226" t="s">
        <v>64</v>
      </c>
      <c r="Z48" s="2239"/>
      <c r="AA48" s="2226" t="s">
        <v>64</v>
      </c>
      <c r="AB48" s="2248"/>
      <c r="AC48" s="2247" t="s">
        <v>28</v>
      </c>
      <c r="AD48" s="1035"/>
      <c r="AE48" s="1541"/>
      <c r="AF48" s="2239"/>
      <c r="AG48" s="2226" t="s">
        <v>64</v>
      </c>
      <c r="AH48" s="2239"/>
      <c r="AI48" s="2226" t="s">
        <v>64</v>
      </c>
      <c r="AJ48" s="1632"/>
      <c r="AK48" s="2537" t="s">
        <v>552</v>
      </c>
      <c r="AL48" s="1920">
        <f>STRCHECKDATE(#REF!)</f>
      </c>
      <c r="AM48" s="1908"/>
      <c r="AN48" s="1908" t="str">
        <f>IF(T48="","",T48)</f>
        <v/>
      </c>
      <c r="AO48" s="1908"/>
      <c r="AP48" s="1908"/>
      <c r="AQ48" s="1915">
        <v>21</v>
      </c>
    </row>
    <row customHeight="1" ht="11.549999999999999">
      <c r="A49" s="1551" t="s">
        <v>266</v>
      </c>
      <c r="B49" s="1551" t="s">
        <v>267</v>
      </c>
      <c r="C49" s="1551" t="s">
        <v>268</v>
      </c>
      <c r="D49" s="1551" t="s">
        <v>269</v>
      </c>
      <c r="E49" s="2574"/>
      <c r="F49" s="2574"/>
      <c r="G49" s="2574"/>
      <c r="H49" s="2574"/>
      <c r="I49" s="2385"/>
      <c r="J49" s="2411"/>
      <c r="K49" s="1551"/>
      <c r="L49" s="1594"/>
      <c r="P49" s="2541"/>
      <c r="Q49" s="2541"/>
      <c r="R49" s="640"/>
      <c r="S49" s="1562"/>
      <c r="T49" s="571" t="s">
        <v>540</v>
      </c>
      <c r="U49" s="884"/>
      <c r="V49" s="884"/>
      <c r="W49" s="884"/>
      <c r="X49" s="884"/>
      <c r="Y49" s="884"/>
      <c r="Z49" s="884"/>
      <c r="AA49" s="608"/>
      <c r="AB49" s="884"/>
      <c r="AC49" s="884"/>
      <c r="AD49" s="884"/>
      <c r="AE49" s="884"/>
      <c r="AF49" s="884"/>
      <c r="AG49" s="884"/>
      <c r="AH49" s="884"/>
      <c r="AI49" s="884"/>
      <c r="AJ49" s="608"/>
      <c r="AK49" s="2539"/>
      <c r="AM49" s="1908"/>
      <c r="AN49" s="1908" t="str">
        <f>IF(T49="","",T49)</f>
        <v>Добавить строку</v>
      </c>
      <c r="AO49" s="1908"/>
      <c r="AP49" s="1908"/>
      <c r="AQ49" s="1915">
        <v>11</v>
      </c>
    </row>
    <row s="30621" customFormat="1" customHeight="1" ht="1.05">
      <c r="A50" s="1659" t="s">
        <v>266</v>
      </c>
      <c r="B50" s="1659" t="s">
        <v>267</v>
      </c>
      <c r="C50" s="1659" t="s">
        <v>268</v>
      </c>
      <c r="D50" s="1659" t="s">
        <v>269</v>
      </c>
      <c r="E50" s="2574"/>
      <c r="F50" s="2574"/>
      <c r="G50" s="2574"/>
      <c r="H50" s="2574"/>
      <c r="I50" s="2411"/>
      <c r="J50" s="1659"/>
      <c r="K50" s="1659"/>
      <c r="L50" s="1665"/>
      <c r="M50" s="1530"/>
      <c r="N50" s="1530"/>
      <c r="O50" s="1530"/>
      <c r="P50" s="2541"/>
      <c r="Q50" s="2238"/>
      <c r="R50" s="640"/>
      <c r="S50" s="1670"/>
      <c r="T50" s="1671" t="s">
        <v>472</v>
      </c>
      <c r="U50" s="1672"/>
      <c r="V50" s="1672"/>
      <c r="W50" s="1672"/>
      <c r="X50" s="1672"/>
      <c r="Y50" s="1672"/>
      <c r="Z50" s="1672"/>
      <c r="AA50" s="1672"/>
      <c r="AB50" s="1672"/>
      <c r="AC50" s="1672"/>
      <c r="AD50" s="1672"/>
      <c r="AE50" s="1672"/>
      <c r="AF50" s="1672"/>
      <c r="AG50" s="1672"/>
      <c r="AH50" s="1672"/>
      <c r="AI50" s="1672"/>
      <c r="AJ50" s="1672"/>
      <c r="AK50" s="1673"/>
      <c r="AM50" s="1908"/>
      <c r="AN50" s="1908" t="str">
        <f>IF(T50="","",T50)</f>
        <v>Добавить группу потребителей</v>
      </c>
      <c r="AO50" s="1908"/>
      <c r="AP50" s="1908"/>
      <c r="AQ50" s="1920">
        <v>1</v>
      </c>
    </row>
    <row s="31261" customFormat="1" customHeight="1" ht="1.05">
      <c r="A51" s="1659" t="s">
        <v>266</v>
      </c>
      <c r="B51" s="1659" t="s">
        <v>267</v>
      </c>
      <c r="C51" s="1659" t="s">
        <v>268</v>
      </c>
      <c r="D51" s="1659" t="s">
        <v>269</v>
      </c>
      <c r="E51" s="2574"/>
      <c r="F51" s="2574"/>
      <c r="G51" s="2574"/>
      <c r="H51" s="2573"/>
      <c r="I51" s="1659"/>
      <c r="J51" s="1659"/>
      <c r="K51" s="1659"/>
      <c r="L51" s="1665"/>
      <c r="M51" s="1662"/>
      <c r="N51" s="1662"/>
      <c r="O51" s="635"/>
      <c r="P51" s="664"/>
      <c r="Q51" s="1628"/>
      <c r="R51" s="1684"/>
      <c r="S51" s="1670"/>
      <c r="T51" s="1671"/>
      <c r="U51" s="1672"/>
      <c r="V51" s="1672"/>
      <c r="W51" s="1672"/>
      <c r="X51" s="1672"/>
      <c r="Y51" s="1672"/>
      <c r="Z51" s="1672"/>
      <c r="AA51" s="1672"/>
      <c r="AB51" s="1672"/>
      <c r="AC51" s="1672"/>
      <c r="AD51" s="1672"/>
      <c r="AE51" s="1672"/>
      <c r="AF51" s="1672"/>
      <c r="AG51" s="1672"/>
      <c r="AH51" s="1672"/>
      <c r="AI51" s="1672"/>
      <c r="AJ51" s="1672"/>
      <c r="AK51" s="1673"/>
      <c r="AL51" s="1920"/>
      <c r="AM51" s="1908"/>
      <c r="AN51" s="1908" t="str">
        <f>IF(T51="","",T51)</f>
        <v/>
      </c>
      <c r="AO51" s="1908"/>
      <c r="AP51" s="1908"/>
      <c r="AQ51" s="1925">
        <v>1</v>
      </c>
    </row>
    <row s="30621" customFormat="1" customHeight="1" ht="1.05">
      <c r="A52" s="1659" t="s">
        <v>266</v>
      </c>
      <c r="B52" s="1659" t="s">
        <v>267</v>
      </c>
      <c r="C52" s="1659" t="s">
        <v>268</v>
      </c>
      <c r="D52" s="1658"/>
      <c r="E52" s="2574"/>
      <c r="F52" s="2574"/>
      <c r="G52" s="2573"/>
      <c r="H52" s="1658"/>
      <c r="I52" s="1658"/>
      <c r="J52" s="1658"/>
      <c r="K52" s="1658"/>
      <c r="L52" s="1661"/>
      <c r="M52" s="1662"/>
      <c r="N52" s="1662"/>
      <c r="O52" s="635"/>
      <c r="P52" s="1600"/>
      <c r="Q52" s="1601"/>
      <c r="R52" s="1600"/>
      <c r="S52" s="1606"/>
      <c r="T52" s="1609" t="s">
        <v>213</v>
      </c>
      <c r="U52" s="1608"/>
      <c r="V52" s="1608"/>
      <c r="W52" s="1608"/>
      <c r="X52" s="1608"/>
      <c r="Y52" s="1608"/>
      <c r="Z52" s="1608"/>
      <c r="AA52" s="1608"/>
      <c r="AB52" s="1608"/>
      <c r="AC52" s="1608"/>
      <c r="AD52" s="1608"/>
      <c r="AE52" s="1608"/>
      <c r="AF52" s="1608"/>
      <c r="AG52" s="1608"/>
      <c r="AH52" s="1608"/>
      <c r="AI52" s="1608"/>
      <c r="AJ52" s="1608"/>
      <c r="AK52" s="1608"/>
      <c r="AM52" s="1535"/>
      <c r="AN52" s="1535" t="str">
        <f>IF(T52="","",T52)</f>
        <v>Добавить источник для дифференциации</v>
      </c>
      <c r="AO52" s="1535"/>
      <c r="AP52" s="1535"/>
      <c r="AQ52" s="1926">
        <v>1</v>
      </c>
    </row>
    <row s="30621" customFormat="1" customHeight="1" ht="1.05">
      <c r="A53" s="1659" t="s">
        <v>266</v>
      </c>
      <c r="B53" s="1659" t="s">
        <v>267</v>
      </c>
      <c r="C53" s="1658"/>
      <c r="D53" s="1658"/>
      <c r="E53" s="2574"/>
      <c r="F53" s="2573"/>
      <c r="G53" s="1658"/>
      <c r="H53" s="1658"/>
      <c r="I53" s="1658"/>
      <c r="J53" s="1658"/>
      <c r="K53" s="1658"/>
      <c r="L53" s="1661"/>
      <c r="M53" s="1663"/>
      <c r="N53" s="1663"/>
      <c r="O53" s="635"/>
      <c r="P53" s="1600"/>
      <c r="Q53" s="1601"/>
      <c r="R53" s="1600"/>
      <c r="S53" s="1606"/>
      <c r="T53" s="1609" t="s">
        <v>214</v>
      </c>
      <c r="U53" s="1608"/>
      <c r="V53" s="1608"/>
      <c r="W53" s="1608"/>
      <c r="X53" s="1608"/>
      <c r="Y53" s="1608"/>
      <c r="Z53" s="1608"/>
      <c r="AA53" s="1608"/>
      <c r="AB53" s="1608"/>
      <c r="AC53" s="1608"/>
      <c r="AD53" s="1608"/>
      <c r="AE53" s="1608"/>
      <c r="AF53" s="1608"/>
      <c r="AG53" s="1608"/>
      <c r="AH53" s="1608"/>
      <c r="AI53" s="1608"/>
      <c r="AJ53" s="1608"/>
      <c r="AK53" s="1608"/>
      <c r="AM53" s="1535"/>
      <c r="AN53" s="1535" t="str">
        <f>IF(T53="","",T53)</f>
        <v>Добавить централизованную систему для дифференциации</v>
      </c>
      <c r="AO53" s="1535"/>
      <c r="AP53" s="1535"/>
      <c r="AQ53" s="1926">
        <v>1</v>
      </c>
    </row>
    <row s="30621" customFormat="1" customHeight="1" ht="1.05">
      <c r="A54" s="1659" t="s">
        <v>266</v>
      </c>
      <c r="B54" s="1659"/>
      <c r="C54" s="1659"/>
      <c r="D54" s="1659"/>
      <c r="E54" s="2574"/>
      <c r="F54" s="1659"/>
      <c r="G54" s="1659"/>
      <c r="H54" s="1659"/>
      <c r="I54" s="1659"/>
      <c r="J54" s="1659"/>
      <c r="K54" s="1659"/>
      <c r="L54" s="1665"/>
      <c r="M54" s="1663"/>
      <c r="N54" s="1663"/>
      <c r="O54" s="635"/>
      <c r="P54" s="664"/>
      <c r="Q54" s="1628"/>
      <c r="R54" s="664"/>
      <c r="S54" s="1606"/>
      <c r="T54" s="1609" t="s">
        <v>230</v>
      </c>
      <c r="U54" s="1608"/>
      <c r="V54" s="1608"/>
      <c r="W54" s="1608"/>
      <c r="X54" s="1608"/>
      <c r="Y54" s="1608"/>
      <c r="Z54" s="1608"/>
      <c r="AA54" s="1608"/>
      <c r="AB54" s="1608"/>
      <c r="AC54" s="1608"/>
      <c r="AD54" s="1608"/>
      <c r="AE54" s="1608"/>
      <c r="AF54" s="1608"/>
      <c r="AG54" s="1608"/>
      <c r="AH54" s="1608"/>
      <c r="AI54" s="1608"/>
      <c r="AJ54" s="1608"/>
      <c r="AK54" s="1608"/>
      <c r="AM54" s="1908"/>
      <c r="AN54" s="1908" t="str">
        <f>IF(T54="","",T54)</f>
        <v>Добавить территорию для дифференциации</v>
      </c>
      <c r="AO54" s="1908"/>
      <c r="AP54" s="1908"/>
      <c r="AQ54" s="1920">
        <v>1</v>
      </c>
    </row>
    <row s="30621" customFormat="1" customHeight="1" ht="1.05">
      <c r="A55" s="1659" t="s">
        <v>266</v>
      </c>
      <c r="B55" s="1659"/>
      <c r="C55" s="1659"/>
      <c r="D55" s="1659"/>
      <c r="E55" s="2573"/>
      <c r="F55" s="1659"/>
      <c r="G55" s="1659"/>
      <c r="H55" s="1659"/>
      <c r="I55" s="1659"/>
      <c r="J55" s="1659"/>
      <c r="K55" s="1659"/>
      <c r="L55" s="1665"/>
      <c r="M55" s="1663"/>
      <c r="N55" s="1663"/>
      <c r="O55" s="635"/>
      <c r="P55" s="664"/>
      <c r="Q55" s="1628"/>
      <c r="R55" s="664"/>
      <c r="S55" s="1606"/>
      <c r="T55" s="1609" t="s">
        <v>230</v>
      </c>
      <c r="U55" s="1608"/>
      <c r="V55" s="1608"/>
      <c r="W55" s="1608"/>
      <c r="X55" s="1608"/>
      <c r="Y55" s="1608"/>
      <c r="Z55" s="1608"/>
      <c r="AA55" s="1608"/>
      <c r="AB55" s="1608"/>
      <c r="AC55" s="1608"/>
      <c r="AD55" s="1608"/>
      <c r="AE55" s="1608"/>
      <c r="AF55" s="1608"/>
      <c r="AG55" s="1608"/>
      <c r="AH55" s="1608"/>
      <c r="AI55" s="1608"/>
      <c r="AJ55" s="1608"/>
      <c r="AK55" s="1608"/>
      <c r="AM55" s="1908"/>
      <c r="AN55" s="1908" t="str">
        <f>IF(T55="","",T55)</f>
        <v>Добавить территорию для дифференциации</v>
      </c>
      <c r="AO55" s="1908"/>
      <c r="AP55" s="1908"/>
      <c r="AQ55" s="1920">
        <v>1</v>
      </c>
    </row>
    <row s="30621" customFormat="1" customHeight="1" ht="1.05">
      <c r="A56" s="1658"/>
      <c r="B56" s="1658"/>
      <c r="C56" s="1658"/>
      <c r="D56" s="1658"/>
      <c r="E56" s="1659"/>
      <c r="F56" s="1658"/>
      <c r="G56" s="1658"/>
      <c r="H56" s="1658"/>
      <c r="I56" s="1658"/>
      <c r="J56" s="1658"/>
      <c r="K56" s="1658"/>
      <c r="L56" s="1661"/>
      <c r="M56" s="1663"/>
      <c r="N56" s="1663"/>
      <c r="O56" s="635"/>
      <c r="P56" s="1600"/>
      <c r="Q56" s="1601"/>
      <c r="R56" s="1600"/>
      <c r="S56" s="1606"/>
      <c r="T56" s="1609" t="s">
        <v>239</v>
      </c>
      <c r="U56" s="1608"/>
      <c r="V56" s="1608"/>
      <c r="W56" s="1608"/>
      <c r="X56" s="1608"/>
      <c r="Y56" s="1608"/>
      <c r="Z56" s="1608"/>
      <c r="AA56" s="1608"/>
      <c r="AB56" s="1608"/>
      <c r="AC56" s="1608"/>
      <c r="AD56" s="1608"/>
      <c r="AE56" s="1608"/>
      <c r="AF56" s="1608"/>
      <c r="AG56" s="1608"/>
      <c r="AH56" s="1608"/>
      <c r="AI56" s="1608"/>
      <c r="AJ56" s="1608"/>
      <c r="AK56" s="1608"/>
      <c r="AM56" s="1535"/>
      <c r="AN56" s="1535" t="str">
        <f>IF(T56="","",T56)</f>
        <v>Добавить наименование тарифа</v>
      </c>
      <c r="AO56" s="1535"/>
      <c r="AP56" s="1535"/>
      <c r="AQ56" s="1926">
        <v>1</v>
      </c>
    </row>
    <row customHeight="1" ht="11.549999999999999">
      <c r="M57" s="1915"/>
      <c r="N57" s="1915"/>
      <c r="O57" s="1919"/>
      <c r="P57" s="1650"/>
      <c r="Q57" s="1650"/>
      <c r="R57" s="1915"/>
      <c r="S57" s="1915"/>
      <c r="AL57" s="1915"/>
      <c r="AM57" s="1915"/>
      <c r="AN57" s="1915"/>
      <c r="AO57" s="1915"/>
      <c r="AP57" s="1915"/>
      <c r="AQ57" s="1915">
        <v>11</v>
      </c>
    </row>
    <row customHeight="1" ht="19.95">
      <c r="O58" s="1919"/>
      <c r="S58" s="1537"/>
      <c r="T58" s="2569"/>
      <c r="U58" s="2569"/>
      <c r="V58" s="2569"/>
      <c r="W58" s="2569"/>
      <c r="X58" s="2569"/>
      <c r="Y58" s="2569"/>
      <c r="Z58" s="2569"/>
      <c r="AA58" s="2569"/>
      <c r="AB58" s="2569"/>
      <c r="AC58" s="2569"/>
      <c r="AD58" s="2569"/>
      <c r="AE58" s="2569"/>
      <c r="AF58" s="2569"/>
      <c r="AG58" s="2569"/>
      <c r="AH58" s="2569"/>
      <c r="AI58" s="2569"/>
      <c r="AJ58" s="2569"/>
      <c r="AK58" s="2569"/>
      <c r="AQ58" s="1915">
        <v>19</v>
      </c>
    </row>
    <row customHeight="1" ht="21">
      <c r="O59" s="1919"/>
      <c r="T59" s="2569"/>
      <c r="U59" s="2569"/>
      <c r="V59" s="2569"/>
      <c r="W59" s="2569"/>
      <c r="X59" s="2569"/>
      <c r="Y59" s="2569"/>
      <c r="Z59" s="2569"/>
      <c r="AA59" s="2569"/>
      <c r="AB59" s="2569"/>
      <c r="AC59" s="2569"/>
      <c r="AD59" s="2569"/>
      <c r="AE59" s="2569"/>
      <c r="AF59" s="2569"/>
      <c r="AG59" s="2569"/>
      <c r="AH59" s="2569"/>
      <c r="AI59" s="2569"/>
      <c r="AJ59" s="2569"/>
      <c r="AK59" s="2569"/>
      <c r="AQ59" s="1915">
        <v>20</v>
      </c>
    </row>
    <row customHeight="1" ht="14.699999999999998">
      <c r="O60" s="1919"/>
      <c r="T60" s="2237"/>
      <c r="U60" s="2237"/>
      <c r="V60" s="2237"/>
      <c r="W60" s="2237"/>
      <c r="X60" s="2237"/>
      <c r="Y60" s="2237"/>
      <c r="Z60" s="2237"/>
      <c r="AA60" s="2237"/>
      <c r="AB60" s="2237"/>
      <c r="AC60" s="2237"/>
      <c r="AD60" s="2237"/>
      <c r="AE60" s="2237"/>
      <c r="AF60" s="2237"/>
      <c r="AG60" s="2237"/>
      <c r="AH60" s="2237"/>
      <c r="AI60" s="2237"/>
      <c r="AJ60" s="2237"/>
      <c r="AK60" s="2237"/>
      <c r="AQ60" s="1915">
        <v>14</v>
      </c>
    </row>
    <row customHeight="1" ht="19.95">
      <c r="O61" s="1919"/>
      <c r="T61" s="2569"/>
      <c r="U61" s="2569"/>
      <c r="V61" s="2569"/>
      <c r="W61" s="2569"/>
      <c r="X61" s="2569"/>
      <c r="Y61" s="2569"/>
      <c r="Z61" s="2569"/>
      <c r="AA61" s="2569"/>
      <c r="AB61" s="2569"/>
      <c r="AC61" s="2569"/>
      <c r="AD61" s="2569"/>
      <c r="AE61" s="2569"/>
      <c r="AF61" s="2569"/>
      <c r="AG61" s="2569"/>
      <c r="AH61" s="2569"/>
      <c r="AI61" s="2569"/>
      <c r="AJ61" s="2569"/>
      <c r="AK61" s="2569"/>
      <c r="AQ61" s="1915">
        <v>19</v>
      </c>
    </row>
    <row customHeight="1" ht="16.8">
      <c r="O62" s="1919"/>
      <c r="T62" s="2569"/>
      <c r="U62" s="2569"/>
      <c r="V62" s="2569"/>
      <c r="W62" s="2569"/>
      <c r="X62" s="2569"/>
      <c r="Y62" s="2569"/>
      <c r="Z62" s="2569"/>
      <c r="AA62" s="2569"/>
      <c r="AB62" s="2569"/>
      <c r="AC62" s="2569"/>
      <c r="AD62" s="2569"/>
      <c r="AE62" s="2569"/>
      <c r="AF62" s="2569"/>
      <c r="AG62" s="2569"/>
      <c r="AH62" s="2569"/>
      <c r="AI62" s="2569"/>
      <c r="AJ62" s="2569"/>
      <c r="AK62" s="2569"/>
      <c r="AQ62" s="1915">
        <v>16</v>
      </c>
    </row>
    <row customHeight="1" ht="14.699999999999998">
      <c r="O63" s="1919"/>
      <c r="AQ63" s="1915">
        <v>14</v>
      </c>
    </row>
    <row customHeight="1" ht="22.5" hidden="1">
      <c r="A64" s="1915" t="s">
        <v>85</v>
      </c>
      <c r="B64" s="1915">
        <v>0</v>
      </c>
      <c r="C64" s="1915">
        <v>0</v>
      </c>
      <c r="D64" s="1915">
        <v>0</v>
      </c>
      <c r="E64" s="1915">
        <v>0</v>
      </c>
      <c r="F64" s="1915">
        <v>0</v>
      </c>
      <c r="G64" s="1915">
        <v>0</v>
      </c>
      <c r="H64" s="1915">
        <v>0</v>
      </c>
      <c r="I64" s="1915">
        <v>0</v>
      </c>
      <c r="J64" s="1915">
        <v>0</v>
      </c>
      <c r="K64" s="1915">
        <v>0</v>
      </c>
      <c r="L64" s="2223">
        <v>0</v>
      </c>
      <c r="M64" s="2249">
        <v>0</v>
      </c>
      <c r="N64" s="2249">
        <v>0</v>
      </c>
      <c r="O64" s="2249">
        <v>0</v>
      </c>
      <c r="P64" s="1646">
        <v>3</v>
      </c>
      <c r="Q64" s="1655">
        <v>3</v>
      </c>
      <c r="R64" s="628">
        <v>3</v>
      </c>
      <c r="S64" s="865">
        <v>12</v>
      </c>
      <c r="T64" s="1915">
        <v>31</v>
      </c>
      <c r="U64" s="1915">
        <v>0</v>
      </c>
      <c r="V64" s="1915">
        <v>0</v>
      </c>
      <c r="W64" s="1915">
        <v>0</v>
      </c>
      <c r="X64" s="1915">
        <v>0</v>
      </c>
      <c r="Y64" s="1915">
        <v>0</v>
      </c>
      <c r="Z64" s="1915">
        <v>0</v>
      </c>
      <c r="AA64" s="1915">
        <v>0</v>
      </c>
      <c r="AB64" s="1915">
        <v>27</v>
      </c>
      <c r="AC64" s="1915">
        <v>24</v>
      </c>
      <c r="AD64" s="1915">
        <v>21</v>
      </c>
      <c r="AE64" s="1915">
        <v>21</v>
      </c>
      <c r="AF64" s="1915">
        <v>11</v>
      </c>
      <c r="AG64" s="1915">
        <v>3</v>
      </c>
      <c r="AH64" s="1915">
        <v>11</v>
      </c>
      <c r="AI64" s="1915">
        <v>8</v>
      </c>
      <c r="AJ64" s="1915">
        <v>4</v>
      </c>
      <c r="AK64" s="1915">
        <v>115</v>
      </c>
      <c r="AL64" s="1920">
        <v>10</v>
      </c>
      <c r="AM64" s="1920">
        <v>10</v>
      </c>
      <c r="AN64" s="1920">
        <v>10</v>
      </c>
      <c r="AO64" s="1920">
        <v>10</v>
      </c>
      <c r="AP64" s="1920">
        <v>10</v>
      </c>
      <c r="AQ64" s="1915">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55523E-BF93-772A-9FAF-A0DC03E50D5E}"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30620" width="11.57421875" hidden="1" customWidth="1"/>
    <col min="2" max="2" style="30620" width="11.00390625" hidden="1" customWidth="1"/>
    <col min="3" max="3" style="30620" width="10.57421875" hidden="1"/>
    <col min="4" max="4" style="30620" width="12.8515625" hidden="1" customWidth="1"/>
    <col min="5" max="5" style="30620" width="10.00390625" hidden="1" customWidth="1"/>
    <col min="6" max="6" style="30620" width="8.7109375" hidden="1" customWidth="1"/>
    <col min="7" max="7" style="30620" width="7.57421875" hidden="1" customWidth="1"/>
    <col min="8" max="8" style="30620" width="11.421875" hidden="1" customWidth="1"/>
    <col min="9" max="9" style="30620" width="12.00390625" hidden="1" customWidth="1"/>
    <col min="10" max="10" style="30620" width="9.8515625" hidden="1" customWidth="1"/>
    <col min="11" max="11" style="30620" width="11.421875" hidden="1" customWidth="1"/>
    <col min="12" max="12" style="31502" width="19.140625" hidden="1" customWidth="1"/>
    <col min="13" max="14" style="31503" width="12.28125" hidden="1" customWidth="1"/>
    <col min="15" max="15" style="31503" width="23.421875" hidden="1" customWidth="1"/>
    <col min="16" max="16" style="31503" width="3.7109375" hidden="1" customWidth="1"/>
    <col min="17" max="17" style="37299" width="3.7109375" hidden="1" customWidth="1"/>
    <col min="18" max="18" style="31505" width="3.00390625" customWidth="1"/>
    <col min="19" max="19" style="31506" width="12.00390625" customWidth="1"/>
    <col min="20" max="20" style="30541" width="31.00390625" customWidth="1"/>
    <col min="21" max="21" style="30541" width="0.140625" customWidth="1"/>
    <col min="22" max="25" style="30541" width="21.7109375" hidden="1" customWidth="1"/>
    <col min="26" max="26" style="30541" width="11.7109375" hidden="1" customWidth="1"/>
    <col min="27" max="27" style="30541" width="3.7109375" hidden="1" customWidth="1"/>
    <col min="28" max="28" style="30541" width="11.7109375" hidden="1" customWidth="1"/>
    <col min="29" max="29" style="30541" width="8.57421875" hidden="1" customWidth="1"/>
    <col min="30" max="30" style="30541" width="3.7109375" customWidth="1"/>
    <col min="31" max="32" style="30541" width="3.00390625" customWidth="1"/>
    <col min="33" max="33" style="30541" width="24.00390625" customWidth="1"/>
    <col min="34" max="34" style="30541" width="3.7109375" customWidth="1"/>
    <col min="35" max="36" style="30541" width="3.00390625" customWidth="1"/>
    <col min="37" max="37" style="30541" width="24.00390625" customWidth="1"/>
    <col min="38" max="38" style="30541" width="3.7109375" customWidth="1"/>
    <col min="39" max="40" style="30541" width="3.00390625" customWidth="1"/>
    <col min="41" max="41" style="30541" width="18.00390625" customWidth="1"/>
    <col min="42" max="42" style="30541" width="3.7109375" customWidth="1"/>
    <col min="43" max="44" style="30541" width="3.00390625" customWidth="1"/>
    <col min="45" max="45" style="30541" width="18.00390625" customWidth="1"/>
    <col min="46" max="49" style="30541" width="21.00390625" customWidth="1"/>
    <col min="50" max="50" style="30541" width="11.00390625" customWidth="1"/>
    <col min="51" max="51" style="30541" width="3.7109375" customWidth="1"/>
    <col min="52" max="52" style="30541" width="11.00390625" customWidth="1"/>
    <col min="53" max="53" style="30541" width="8.57421875" hidden="1" customWidth="1"/>
    <col min="54" max="54" style="30541" width="4.00390625" customWidth="1"/>
    <col min="55" max="55" style="30541" width="115.00390625" customWidth="1"/>
    <col min="56" max="60" style="30621" width="10.00390625" customWidth="1"/>
    <col min="61" max="61" style="30541" width="10.57421875" hidden="1"/>
  </cols>
  <sheetData>
    <row customHeight="1" ht="22.5" hidden="1">
      <c r="W1" s="611"/>
      <c r="Y1" s="611"/>
      <c r="Z1" s="611"/>
      <c r="AW1" s="611"/>
      <c r="AX1" s="611"/>
      <c r="BI1" s="1439" t="s">
        <v>14</v>
      </c>
    </row>
    <row customHeight="1" ht="21" hidden="1">
      <c r="A2" s="1647"/>
      <c r="B2" s="1647"/>
      <c r="C2" s="1647"/>
      <c r="D2" s="1647"/>
      <c r="E2" s="2542">
        <v>1</v>
      </c>
      <c r="F2" s="1647"/>
      <c r="G2" s="1647"/>
      <c r="H2" s="1647"/>
      <c r="I2" s="1647"/>
      <c r="J2" s="1647"/>
      <c r="K2" s="1647"/>
      <c r="L2" s="1648"/>
      <c r="M2" s="1649"/>
      <c r="N2" s="1649"/>
      <c r="O2" s="1649"/>
      <c r="P2" s="1693"/>
      <c r="Q2" s="1157"/>
      <c r="R2" s="639"/>
      <c r="S2" s="1749">
        <f>INDEX(PT_DIFFERENTIATION_NUM_NTAR,MATCH(A2,PT_DIFFERENTIATION_NTAR_ID,0))</f>
      </c>
      <c r="T2" s="582" t="s">
        <v>153</v>
      </c>
      <c r="U2" s="584"/>
      <c r="V2" s="2527"/>
      <c r="W2" s="2527"/>
      <c r="X2" s="2527"/>
      <c r="Y2" s="2527"/>
      <c r="Z2" s="2527"/>
      <c r="AA2" s="2527"/>
      <c r="AB2" s="2527"/>
      <c r="AC2" s="2528"/>
      <c r="AD2" s="2526">
        <f>INDEX(PT_DIFFERENTIATION_NTAR,MATCH(A2,PT_DIFFERENTIATION_NTAR_ID,0))</f>
      </c>
      <c r="AE2" s="2527"/>
      <c r="AF2" s="2527"/>
      <c r="AG2" s="2527"/>
      <c r="AH2" s="2527"/>
      <c r="AI2" s="2527"/>
      <c r="AJ2" s="2527"/>
      <c r="AK2" s="2527"/>
      <c r="AL2" s="2527"/>
      <c r="AM2" s="2527"/>
      <c r="AN2" s="2527"/>
      <c r="AO2" s="2527"/>
      <c r="AP2" s="2527"/>
      <c r="AQ2" s="2527"/>
      <c r="AR2" s="2527"/>
      <c r="AS2" s="2527"/>
      <c r="AT2" s="2527"/>
      <c r="AU2" s="2527"/>
      <c r="AV2" s="2527"/>
      <c r="AW2" s="2527"/>
      <c r="AX2" s="2527"/>
      <c r="AY2" s="2527"/>
      <c r="AZ2" s="2527"/>
      <c r="BA2" s="2527"/>
      <c r="BB2" s="2528"/>
      <c r="BC2"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784"/>
      <c r="BF2" s="784" t="str">
        <f>IF(T2="","",T2)</f>
        <v>Наименование тарифа</v>
      </c>
      <c r="BG2" s="784"/>
      <c r="BH2" s="784"/>
      <c r="BI2" s="1439">
        <v>0</v>
      </c>
    </row>
    <row customHeight="1" ht="21" hidden="1">
      <c r="A3" s="1647"/>
      <c r="B3" s="1647"/>
      <c r="C3" s="1647"/>
      <c r="D3" s="1647"/>
      <c r="E3" s="2543"/>
      <c r="F3" s="2542">
        <v>1</v>
      </c>
      <c r="G3" s="1647"/>
      <c r="H3" s="1647"/>
      <c r="I3" s="1647"/>
      <c r="J3" s="1647"/>
      <c r="K3" s="1647"/>
      <c r="L3" s="1648"/>
      <c r="M3" s="1649"/>
      <c r="N3" s="1649"/>
      <c r="O3" s="1649"/>
      <c r="P3" s="1694"/>
      <c r="Q3" s="1695"/>
      <c r="R3" s="637"/>
      <c r="S3" s="1749">
        <f>INDEX(PT_DIFFERENTIATION_NUM_TER,MATCH(B3,PT_DIFFERENTIATION_TER_ID,0))</f>
      </c>
      <c r="T3" s="592" t="s">
        <v>457</v>
      </c>
      <c r="U3" s="584"/>
      <c r="V3" s="2527"/>
      <c r="W3" s="2527"/>
      <c r="X3" s="2527"/>
      <c r="Y3" s="2527"/>
      <c r="Z3" s="2527"/>
      <c r="AA3" s="2527"/>
      <c r="AB3" s="2527"/>
      <c r="AC3" s="2528"/>
      <c r="AD3" s="2526">
        <f>INDEX(PT_DIFFERENTIATION_TER,MATCH(B3,PT_DIFFERENTIATION_TER_ID,0))</f>
      </c>
      <c r="AE3" s="2527"/>
      <c r="AF3" s="2527"/>
      <c r="AG3" s="2527"/>
      <c r="AH3" s="2527"/>
      <c r="AI3" s="2527"/>
      <c r="AJ3" s="2527"/>
      <c r="AK3" s="2527"/>
      <c r="AL3" s="2527"/>
      <c r="AM3" s="2527"/>
      <c r="AN3" s="2527"/>
      <c r="AO3" s="2527"/>
      <c r="AP3" s="2527"/>
      <c r="AQ3" s="2527"/>
      <c r="AR3" s="2527"/>
      <c r="AS3" s="2527"/>
      <c r="AT3" s="2527"/>
      <c r="AU3" s="2527"/>
      <c r="AV3" s="2527"/>
      <c r="AW3" s="2527"/>
      <c r="AX3" s="2527"/>
      <c r="AY3" s="2527"/>
      <c r="AZ3" s="2527"/>
      <c r="BA3" s="2527"/>
      <c r="BB3" s="2528"/>
      <c r="BC3" s="1542" t="s">
        <v>458</v>
      </c>
      <c r="BE3" s="784"/>
      <c r="BF3" s="784" t="str">
        <f>IF(T3="","",T3)</f>
        <v>Территория действия тарифа</v>
      </c>
      <c r="BG3" s="784"/>
      <c r="BH3" s="784"/>
      <c r="BI3" s="1439">
        <v>0</v>
      </c>
    </row>
    <row customHeight="1" ht="42" hidden="1">
      <c r="A4" s="1647"/>
      <c r="B4" s="1647"/>
      <c r="C4" s="1647"/>
      <c r="D4" s="1647"/>
      <c r="E4" s="2543"/>
      <c r="F4" s="2543"/>
      <c r="G4" s="2542">
        <v>1</v>
      </c>
      <c r="H4" s="1647"/>
      <c r="I4" s="1647"/>
      <c r="J4" s="1647"/>
      <c r="K4" s="1647"/>
      <c r="L4" s="1648"/>
      <c r="M4" s="1649"/>
      <c r="N4" s="1649"/>
      <c r="O4" s="1649"/>
      <c r="P4" s="1696"/>
      <c r="Q4" s="1695"/>
      <c r="R4" s="637"/>
      <c r="S4" s="1749">
        <f>INDEX(PT_DIFFERENTIATION_NUM_CS,MATCH(C4,PT_DIFFERENTIATION_CS_ID,0))</f>
      </c>
      <c r="T4" s="593" t="s">
        <v>553</v>
      </c>
      <c r="U4" s="584"/>
      <c r="V4" s="2527"/>
      <c r="W4" s="2527"/>
      <c r="X4" s="2527"/>
      <c r="Y4" s="2527"/>
      <c r="Z4" s="2527"/>
      <c r="AA4" s="2527"/>
      <c r="AB4" s="2527"/>
      <c r="AC4" s="2528"/>
      <c r="AD4" s="2526">
        <f>INDEX(PT_DIFFERENTIATION_CS,MATCH(C4,PT_DIFFERENTIATION_CS_ID,0))</f>
      </c>
      <c r="AE4" s="2527"/>
      <c r="AF4" s="2527"/>
      <c r="AG4" s="2527"/>
      <c r="AH4" s="2527"/>
      <c r="AI4" s="2527"/>
      <c r="AJ4" s="2527"/>
      <c r="AK4" s="2527"/>
      <c r="AL4" s="2527"/>
      <c r="AM4" s="2527"/>
      <c r="AN4" s="2527"/>
      <c r="AO4" s="2527"/>
      <c r="AP4" s="2527"/>
      <c r="AQ4" s="2527"/>
      <c r="AR4" s="2527"/>
      <c r="AS4" s="2527"/>
      <c r="AT4" s="2527"/>
      <c r="AU4" s="2527"/>
      <c r="AV4" s="2527"/>
      <c r="AW4" s="2527"/>
      <c r="AX4" s="2527"/>
      <c r="AY4" s="2527"/>
      <c r="AZ4" s="2527"/>
      <c r="BA4" s="2527"/>
      <c r="BB4" s="2528"/>
      <c r="BC4" s="1542" t="s">
        <v>554</v>
      </c>
      <c r="BE4" s="784"/>
      <c r="BF4" s="784" t="str">
        <f>IF(T4="","",T4)</f>
        <v>Наименование централизованной системы холодного водоснабжения</v>
      </c>
      <c r="BG4" s="784"/>
      <c r="BH4" s="784"/>
      <c r="BI4" s="1439">
        <v>0</v>
      </c>
    </row>
    <row s="30621" customFormat="1" customHeight="1" ht="14.25" hidden="1">
      <c r="A5" s="1627"/>
      <c r="B5" s="1627"/>
      <c r="C5" s="1627"/>
      <c r="D5" s="1627"/>
      <c r="E5" s="2543"/>
      <c r="F5" s="2543"/>
      <c r="G5" s="2543"/>
      <c r="H5" s="2542">
        <v>1</v>
      </c>
      <c r="I5" s="1627"/>
      <c r="J5" s="1627"/>
      <c r="K5" s="1627"/>
      <c r="L5" s="1630"/>
      <c r="M5" s="1599"/>
      <c r="N5" s="1599"/>
      <c r="O5" s="1599"/>
      <c r="P5" s="1781"/>
      <c r="Q5" s="1782"/>
      <c r="R5" s="641"/>
      <c r="S5" s="1326"/>
      <c r="T5" s="1783"/>
      <c r="U5" s="1668"/>
      <c r="V5" s="2581"/>
      <c r="W5" s="2581"/>
      <c r="X5" s="2581"/>
      <c r="Y5" s="2581"/>
      <c r="Z5" s="2581"/>
      <c r="AA5" s="2581"/>
      <c r="AB5" s="2581"/>
      <c r="AC5" s="2582"/>
      <c r="AD5" s="2580"/>
      <c r="AE5" s="2581"/>
      <c r="AF5" s="2581"/>
      <c r="AG5" s="2581"/>
      <c r="AH5" s="2581"/>
      <c r="AI5" s="2581"/>
      <c r="AJ5" s="2581"/>
      <c r="AK5" s="2581"/>
      <c r="AL5" s="2581"/>
      <c r="AM5" s="2581"/>
      <c r="AN5" s="2581"/>
      <c r="AO5" s="2581"/>
      <c r="AP5" s="2581"/>
      <c r="AQ5" s="2581"/>
      <c r="AR5" s="2581"/>
      <c r="AS5" s="2581"/>
      <c r="AT5" s="2581"/>
      <c r="AU5" s="2581"/>
      <c r="AV5" s="2581"/>
      <c r="AW5" s="2581"/>
      <c r="AX5" s="2581"/>
      <c r="AY5" s="2581"/>
      <c r="AZ5" s="2581"/>
      <c r="BA5" s="2581"/>
      <c r="BB5" s="2582"/>
      <c r="BC5" s="1669" t="s">
        <v>462</v>
      </c>
      <c r="BE5" s="784"/>
      <c r="BF5" s="784" t="str">
        <f>IF(T5="","",T5)</f>
        <v/>
      </c>
      <c r="BG5" s="784"/>
      <c r="BH5" s="784"/>
      <c r="BI5" s="795">
        <v>0</v>
      </c>
    </row>
    <row s="30621" customFormat="1" customHeight="1" ht="14.25" hidden="1">
      <c r="A6" s="1627"/>
      <c r="B6" s="1627"/>
      <c r="C6" s="1627"/>
      <c r="D6" s="1627"/>
      <c r="E6" s="2543"/>
      <c r="F6" s="2543"/>
      <c r="G6" s="2543"/>
      <c r="H6" s="2543"/>
      <c r="I6" s="2540" t="str">
        <f>S5&amp;".1"</f>
        <v>.1</v>
      </c>
      <c r="J6" s="1627"/>
      <c r="K6" s="1627"/>
      <c r="L6" s="1630" t="s">
        <v>463</v>
      </c>
      <c r="M6" s="794"/>
      <c r="N6" s="794"/>
      <c r="O6" s="794"/>
      <c r="P6" s="2541">
        <v>1</v>
      </c>
      <c r="Q6" s="1746"/>
      <c r="R6" s="640"/>
      <c r="S6" s="1326"/>
      <c r="T6" s="1667"/>
      <c r="U6" s="1668"/>
      <c r="V6" s="2581"/>
      <c r="W6" s="2581"/>
      <c r="X6" s="2581"/>
      <c r="Y6" s="2581"/>
      <c r="Z6" s="2581"/>
      <c r="AA6" s="2581"/>
      <c r="AB6" s="2581"/>
      <c r="AC6" s="2582"/>
      <c r="AD6" s="2580"/>
      <c r="AE6" s="2581"/>
      <c r="AF6" s="2581"/>
      <c r="AG6" s="2581"/>
      <c r="AH6" s="2581"/>
      <c r="AI6" s="2581"/>
      <c r="AJ6" s="2581"/>
      <c r="AK6" s="2581"/>
      <c r="AL6" s="2581"/>
      <c r="AM6" s="2581"/>
      <c r="AN6" s="2581"/>
      <c r="AO6" s="2581"/>
      <c r="AP6" s="2581"/>
      <c r="AQ6" s="2581"/>
      <c r="AR6" s="2581"/>
      <c r="AS6" s="2581"/>
      <c r="AT6" s="2581"/>
      <c r="AU6" s="2581"/>
      <c r="AV6" s="2581"/>
      <c r="AW6" s="2581"/>
      <c r="AX6" s="2581"/>
      <c r="AY6" s="2581"/>
      <c r="AZ6" s="2581"/>
      <c r="BA6" s="2581"/>
      <c r="BB6" s="2582"/>
      <c r="BC6" s="1669"/>
      <c r="BE6" s="784"/>
      <c r="BF6" s="784" t="str">
        <f>IF(T6="","",T6)</f>
        <v/>
      </c>
      <c r="BG6" s="784"/>
      <c r="BH6" s="784"/>
      <c r="BI6" s="795">
        <v>0</v>
      </c>
    </row>
    <row s="30621" customFormat="1" customHeight="1" ht="14.25" hidden="1">
      <c r="A7" s="1627"/>
      <c r="B7" s="1627"/>
      <c r="C7" s="1627"/>
      <c r="D7" s="1627"/>
      <c r="E7" s="2543"/>
      <c r="F7" s="2543"/>
      <c r="G7" s="2543"/>
      <c r="H7" s="2543"/>
      <c r="I7" s="2570"/>
      <c r="J7" s="2540" t="str">
        <f>S5&amp;".1"</f>
        <v>.1</v>
      </c>
      <c r="K7" s="1627"/>
      <c r="L7" s="1630"/>
      <c r="M7" s="794"/>
      <c r="N7" s="794"/>
      <c r="O7" s="794"/>
      <c r="P7" s="2541"/>
      <c r="Q7" s="2541">
        <v>1</v>
      </c>
      <c r="R7" s="641"/>
      <c r="S7" s="1326"/>
      <c r="T7" s="1683"/>
      <c r="U7" s="1668"/>
      <c r="V7" s="2581"/>
      <c r="W7" s="2581"/>
      <c r="X7" s="2581"/>
      <c r="Y7" s="2581"/>
      <c r="Z7" s="2581"/>
      <c r="AA7" s="2581"/>
      <c r="AB7" s="2581"/>
      <c r="AC7" s="2582"/>
      <c r="AD7" s="2580"/>
      <c r="AE7" s="2581"/>
      <c r="AF7" s="2581"/>
      <c r="AG7" s="2581"/>
      <c r="AH7" s="2581"/>
      <c r="AI7" s="2581"/>
      <c r="AJ7" s="2581"/>
      <c r="AK7" s="2581"/>
      <c r="AL7" s="2581"/>
      <c r="AM7" s="2581"/>
      <c r="AN7" s="2581"/>
      <c r="AO7" s="2581"/>
      <c r="AP7" s="2581"/>
      <c r="AQ7" s="2581"/>
      <c r="AR7" s="2581"/>
      <c r="AS7" s="2581"/>
      <c r="AT7" s="2581"/>
      <c r="AU7" s="2581"/>
      <c r="AV7" s="2581"/>
      <c r="AW7" s="2581"/>
      <c r="AX7" s="2581"/>
      <c r="AY7" s="2581"/>
      <c r="AZ7" s="2581"/>
      <c r="BA7" s="2581"/>
      <c r="BB7" s="2582"/>
      <c r="BC7" s="1669"/>
      <c r="BE7" s="784"/>
      <c r="BF7" s="784" t="str">
        <f>IF(T7="","",T7)</f>
        <v/>
      </c>
      <c r="BG7" s="784"/>
      <c r="BH7" s="784"/>
      <c r="BI7" s="795">
        <v>0</v>
      </c>
    </row>
    <row customHeight="1" ht="11.25" hidden="1">
      <c r="A8" s="1647"/>
      <c r="B8" s="1647"/>
      <c r="C8" s="1647"/>
      <c r="D8" s="1647"/>
      <c r="E8" s="2543"/>
      <c r="F8" s="2543"/>
      <c r="G8" s="2543"/>
      <c r="H8" s="2543"/>
      <c r="I8" s="2570"/>
      <c r="J8" s="2570"/>
      <c r="K8" s="2540">
        <f>S4&amp;".1"</f>
      </c>
      <c r="L8" s="1648"/>
      <c r="P8" s="2541"/>
      <c r="Q8" s="2541"/>
      <c r="R8" s="2631">
        <v>1</v>
      </c>
      <c r="S8" s="2625">
        <f>$K8</f>
      </c>
      <c r="T8" s="2644"/>
      <c r="U8" s="584"/>
      <c r="V8" s="1035"/>
      <c r="W8" s="1541"/>
      <c r="X8" s="1035"/>
      <c r="Y8" s="1541"/>
      <c r="Z8" s="2018"/>
      <c r="AA8" s="1743" t="s">
        <v>64</v>
      </c>
      <c r="AB8" s="2018"/>
      <c r="AC8" s="1743" t="s">
        <v>64</v>
      </c>
      <c r="AD8" s="2469" t="s">
        <v>64</v>
      </c>
      <c r="AE8" s="2610"/>
      <c r="AF8" s="2489">
        <v>1</v>
      </c>
      <c r="AG8" s="2647"/>
      <c r="AH8" s="2391" t="s">
        <v>64</v>
      </c>
      <c r="AI8" s="2610"/>
      <c r="AJ8" s="2489">
        <v>1</v>
      </c>
      <c r="AK8" s="2611" t="s">
        <v>28</v>
      </c>
      <c r="AL8" s="2391" t="s">
        <v>64</v>
      </c>
      <c r="AM8" s="2476"/>
      <c r="AN8" s="2489">
        <v>1</v>
      </c>
      <c r="AO8" s="2641"/>
      <c r="AP8" s="2642" t="s">
        <v>64</v>
      </c>
      <c r="AQ8" s="595"/>
      <c r="AR8" s="1747">
        <v>1</v>
      </c>
      <c r="AS8" s="1750" t="s">
        <v>28</v>
      </c>
      <c r="AT8" s="1035"/>
      <c r="AU8" s="1541"/>
      <c r="AV8" s="1035"/>
      <c r="AW8" s="1541"/>
      <c r="AX8" s="2018"/>
      <c r="AY8" s="1743" t="s">
        <v>64</v>
      </c>
      <c r="AZ8" s="2018"/>
      <c r="BA8" s="1743" t="s">
        <v>64</v>
      </c>
      <c r="BB8" s="1632"/>
      <c r="BC8" s="2537" t="s">
        <v>573</v>
      </c>
      <c r="BE8" s="784"/>
      <c r="BF8" s="784" t="str">
        <f>IF(T8="","",T8)</f>
        <v/>
      </c>
      <c r="BG8" s="784"/>
      <c r="BH8" s="784"/>
      <c r="BI8" s="1439">
        <v>0</v>
      </c>
    </row>
    <row customHeight="1" ht="11.25" hidden="1">
      <c r="A9" s="1647"/>
      <c r="B9" s="1647"/>
      <c r="C9" s="1647"/>
      <c r="D9" s="1647"/>
      <c r="E9" s="2543"/>
      <c r="F9" s="2543"/>
      <c r="G9" s="2543"/>
      <c r="H9" s="2543"/>
      <c r="I9" s="2570"/>
      <c r="J9" s="2570"/>
      <c r="K9" s="2540"/>
      <c r="L9" s="1648"/>
      <c r="P9" s="2541"/>
      <c r="Q9" s="2541"/>
      <c r="R9" s="2631"/>
      <c r="S9" s="2626"/>
      <c r="T9" s="2645"/>
      <c r="U9" s="584"/>
      <c r="V9" s="1677"/>
      <c r="W9" s="1780"/>
      <c r="X9" s="1677"/>
      <c r="Y9" s="1780"/>
      <c r="Z9" s="1677"/>
      <c r="AA9" s="1677"/>
      <c r="AB9" s="1677"/>
      <c r="AC9" s="1677"/>
      <c r="AD9" s="2470"/>
      <c r="AE9" s="2610"/>
      <c r="AF9" s="2489"/>
      <c r="AG9" s="2647"/>
      <c r="AH9" s="2391"/>
      <c r="AI9" s="2610"/>
      <c r="AJ9" s="2489"/>
      <c r="AK9" s="2611"/>
      <c r="AL9" s="2391"/>
      <c r="AM9" s="2484"/>
      <c r="AN9" s="2489"/>
      <c r="AO9" s="2641"/>
      <c r="AP9" s="2643"/>
      <c r="AQ9" s="600"/>
      <c r="AR9" s="700"/>
      <c r="AS9" s="700" t="s">
        <v>574</v>
      </c>
      <c r="AT9" s="1677"/>
      <c r="AU9" s="1780"/>
      <c r="AV9" s="1677"/>
      <c r="AW9" s="1780"/>
      <c r="AX9" s="1677"/>
      <c r="AY9" s="1677"/>
      <c r="AZ9" s="1677"/>
      <c r="BA9" s="1677"/>
      <c r="BB9" s="1681"/>
      <c r="BC9" s="2538"/>
      <c r="BE9" s="784"/>
      <c r="BF9" s="784"/>
      <c r="BG9" s="784"/>
      <c r="BH9" s="784"/>
      <c r="BI9" s="1439">
        <v>0</v>
      </c>
    </row>
    <row customHeight="1" ht="11.25" hidden="1">
      <c r="A10" s="1647"/>
      <c r="B10" s="1647"/>
      <c r="C10" s="1647"/>
      <c r="D10" s="1647"/>
      <c r="E10" s="2543"/>
      <c r="F10" s="2543"/>
      <c r="G10" s="2543"/>
      <c r="H10" s="2543"/>
      <c r="I10" s="2570"/>
      <c r="J10" s="2570"/>
      <c r="K10" s="2540"/>
      <c r="L10" s="1648"/>
      <c r="P10" s="2541"/>
      <c r="Q10" s="2541"/>
      <c r="R10" s="2631"/>
      <c r="S10" s="2626"/>
      <c r="T10" s="2645"/>
      <c r="U10" s="584"/>
      <c r="V10" s="1677"/>
      <c r="W10" s="1780"/>
      <c r="X10" s="1677"/>
      <c r="Y10" s="1780"/>
      <c r="Z10" s="1677"/>
      <c r="AA10" s="1677"/>
      <c r="AB10" s="1677"/>
      <c r="AC10" s="1677"/>
      <c r="AD10" s="2470"/>
      <c r="AE10" s="2610"/>
      <c r="AF10" s="2489"/>
      <c r="AG10" s="2647"/>
      <c r="AH10" s="2391"/>
      <c r="AI10" s="2610"/>
      <c r="AJ10" s="2489"/>
      <c r="AK10" s="2611"/>
      <c r="AL10" s="2391"/>
      <c r="AM10" s="600"/>
      <c r="AN10" s="1784"/>
      <c r="AO10" s="1784" t="s">
        <v>575</v>
      </c>
      <c r="AP10" s="700"/>
      <c r="AQ10" s="700"/>
      <c r="AR10" s="700"/>
      <c r="AS10" s="1677"/>
      <c r="AT10" s="1677"/>
      <c r="AU10" s="1780"/>
      <c r="AV10" s="1677"/>
      <c r="AW10" s="1780"/>
      <c r="AX10" s="1677"/>
      <c r="AY10" s="1677"/>
      <c r="AZ10" s="1677"/>
      <c r="BA10" s="1677"/>
      <c r="BB10" s="1681"/>
      <c r="BC10" s="2538"/>
      <c r="BE10" s="784"/>
      <c r="BF10" s="784"/>
      <c r="BG10" s="784"/>
      <c r="BH10" s="784"/>
      <c r="BI10" s="1439">
        <v>0</v>
      </c>
    </row>
    <row customHeight="1" ht="11.25" hidden="1">
      <c r="A11" s="1647"/>
      <c r="B11" s="1647"/>
      <c r="C11" s="1647"/>
      <c r="D11" s="1647"/>
      <c r="E11" s="2543"/>
      <c r="F11" s="2543"/>
      <c r="G11" s="2543"/>
      <c r="H11" s="2543"/>
      <c r="I11" s="2570"/>
      <c r="J11" s="2570"/>
      <c r="K11" s="2540"/>
      <c r="L11" s="1648"/>
      <c r="P11" s="2541"/>
      <c r="Q11" s="2541"/>
      <c r="R11" s="2631"/>
      <c r="S11" s="2626"/>
      <c r="T11" s="2645"/>
      <c r="U11" s="584"/>
      <c r="V11" s="1677"/>
      <c r="W11" s="1780"/>
      <c r="X11" s="1677"/>
      <c r="Y11" s="1780"/>
      <c r="Z11" s="1677"/>
      <c r="AA11" s="1677"/>
      <c r="AB11" s="1677"/>
      <c r="AC11" s="1677"/>
      <c r="AD11" s="2470"/>
      <c r="AE11" s="2610"/>
      <c r="AF11" s="2489"/>
      <c r="AG11" s="2647"/>
      <c r="AH11" s="2391"/>
      <c r="AI11" s="578"/>
      <c r="AJ11" s="699"/>
      <c r="AK11" s="597" t="s">
        <v>576</v>
      </c>
      <c r="AL11" s="1677"/>
      <c r="AM11" s="1677"/>
      <c r="AN11" s="1677"/>
      <c r="AO11" s="1677"/>
      <c r="AP11" s="1677"/>
      <c r="AQ11" s="1677"/>
      <c r="AR11" s="1677"/>
      <c r="AS11" s="1677"/>
      <c r="AT11" s="1677"/>
      <c r="AU11" s="1780"/>
      <c r="AV11" s="1677"/>
      <c r="AW11" s="1780"/>
      <c r="AX11" s="1677"/>
      <c r="AY11" s="1677"/>
      <c r="AZ11" s="1677"/>
      <c r="BA11" s="1677"/>
      <c r="BB11" s="1681"/>
      <c r="BC11" s="2538"/>
      <c r="BE11" s="784"/>
      <c r="BF11" s="784"/>
      <c r="BG11" s="784"/>
      <c r="BH11" s="784"/>
      <c r="BI11" s="1439">
        <v>0</v>
      </c>
    </row>
    <row customHeight="1" ht="11.25" hidden="1">
      <c r="A12" s="1647"/>
      <c r="B12" s="1647"/>
      <c r="C12" s="1647"/>
      <c r="D12" s="1647"/>
      <c r="E12" s="2543"/>
      <c r="F12" s="2543"/>
      <c r="G12" s="2543"/>
      <c r="H12" s="2543"/>
      <c r="I12" s="2570"/>
      <c r="J12" s="2570"/>
      <c r="K12" s="2540"/>
      <c r="L12" s="1648"/>
      <c r="P12" s="2541"/>
      <c r="Q12" s="2541"/>
      <c r="R12" s="2631"/>
      <c r="S12" s="2627"/>
      <c r="T12" s="2646"/>
      <c r="U12" s="584"/>
      <c r="V12" s="1677"/>
      <c r="W12" s="1678" t="str">
        <f>Z8&amp;"-"&amp;AB8</f>
        <v>-</v>
      </c>
      <c r="X12" s="1677"/>
      <c r="Y12" s="1678" t="str">
        <f>AB8&amp;"-"&amp;AD8</f>
        <v>-да</v>
      </c>
      <c r="Z12" s="1677"/>
      <c r="AA12" s="1677"/>
      <c r="AB12" s="1677"/>
      <c r="AC12" s="1677"/>
      <c r="AD12" s="2396"/>
      <c r="AE12" s="596"/>
      <c r="AF12" s="598"/>
      <c r="AG12" s="700" t="s">
        <v>577</v>
      </c>
      <c r="AH12" s="1677"/>
      <c r="AI12" s="1677"/>
      <c r="AJ12" s="1677"/>
      <c r="AK12" s="1677"/>
      <c r="AL12" s="1677"/>
      <c r="AM12" s="1677"/>
      <c r="AN12" s="1677"/>
      <c r="AO12" s="1677"/>
      <c r="AP12" s="1677"/>
      <c r="AQ12" s="1677"/>
      <c r="AR12" s="1677"/>
      <c r="AS12" s="1677"/>
      <c r="AT12" s="1677"/>
      <c r="AU12" s="1678" t="str">
        <f>AX8&amp;"-"&amp;AZ8</f>
        <v>-</v>
      </c>
      <c r="AV12" s="1677"/>
      <c r="AW12" s="1678" t="str">
        <f>AZ8&amp;"-"&amp;BB8</f>
        <v>-</v>
      </c>
      <c r="AX12" s="1677"/>
      <c r="AY12" s="1677"/>
      <c r="AZ12" s="1677"/>
      <c r="BA12" s="1677"/>
      <c r="BB12" s="1680" t="str">
        <f>BE8&amp;"-"&amp;BG8</f>
        <v>-</v>
      </c>
      <c r="BC12" s="2538"/>
      <c r="BE12" s="784"/>
      <c r="BF12" s="784" t="str">
        <f>IF(T12="","",T12)</f>
        <v/>
      </c>
      <c r="BG12" s="784"/>
      <c r="BH12" s="784"/>
      <c r="BI12" s="1439">
        <v>0</v>
      </c>
    </row>
    <row customHeight="1" ht="11.25" hidden="1">
      <c r="A13" s="1647"/>
      <c r="B13" s="1647"/>
      <c r="C13" s="1647"/>
      <c r="D13" s="1647"/>
      <c r="E13" s="2543"/>
      <c r="F13" s="2543"/>
      <c r="G13" s="2543"/>
      <c r="H13" s="2543"/>
      <c r="I13" s="2570"/>
      <c r="J13" s="2540"/>
      <c r="K13" s="1647"/>
      <c r="L13" s="1648"/>
      <c r="P13" s="2541"/>
      <c r="Q13" s="2541"/>
      <c r="R13" s="640"/>
      <c r="S13" s="1562"/>
      <c r="T13" s="571" t="s">
        <v>540</v>
      </c>
      <c r="U13" s="651"/>
      <c r="V13" s="651"/>
      <c r="W13" s="651"/>
      <c r="X13" s="651"/>
      <c r="Y13" s="651"/>
      <c r="Z13" s="651"/>
      <c r="AA13" s="651"/>
      <c r="AB13" s="651"/>
      <c r="AC13" s="651"/>
      <c r="AD13" s="1789"/>
      <c r="AE13" s="651"/>
      <c r="AF13" s="651"/>
      <c r="AG13" s="651"/>
      <c r="AH13" s="651"/>
      <c r="AI13" s="651"/>
      <c r="AJ13" s="651"/>
      <c r="AK13" s="651"/>
      <c r="AL13" s="651"/>
      <c r="AM13" s="651"/>
      <c r="AN13" s="651"/>
      <c r="AO13" s="651"/>
      <c r="AP13" s="651"/>
      <c r="AQ13" s="651"/>
      <c r="AR13" s="651"/>
      <c r="AS13" s="651"/>
      <c r="AT13" s="651"/>
      <c r="AU13" s="651"/>
      <c r="AV13" s="651"/>
      <c r="AW13" s="651"/>
      <c r="AX13" s="651"/>
      <c r="AY13" s="651"/>
      <c r="AZ13" s="651"/>
      <c r="BA13" s="651"/>
      <c r="BB13" s="608"/>
      <c r="BC13" s="2539"/>
      <c r="BE13" s="784"/>
      <c r="BF13" s="784" t="str">
        <f>IF(T13="","",T13)</f>
        <v>Добавить строку</v>
      </c>
      <c r="BG13" s="784"/>
      <c r="BH13" s="784"/>
      <c r="BI13" s="1439">
        <v>0</v>
      </c>
    </row>
    <row s="30621" customFormat="1" customHeight="1" ht="14.25" hidden="1">
      <c r="A14" s="1627"/>
      <c r="B14" s="1627"/>
      <c r="C14" s="1627"/>
      <c r="D14" s="1627"/>
      <c r="E14" s="2543"/>
      <c r="F14" s="2543"/>
      <c r="G14" s="2543"/>
      <c r="H14" s="2543"/>
      <c r="I14" s="2540"/>
      <c r="J14" s="1627"/>
      <c r="K14" s="1627"/>
      <c r="L14" s="1630"/>
      <c r="M14" s="794"/>
      <c r="N14" s="794"/>
      <c r="O14" s="794"/>
      <c r="P14" s="2541"/>
      <c r="Q14" s="1746"/>
      <c r="R14" s="640"/>
      <c r="S14" s="1670"/>
      <c r="T14" s="1671"/>
      <c r="U14" s="1672"/>
      <c r="V14" s="1672"/>
      <c r="W14" s="1672"/>
      <c r="X14" s="1672"/>
      <c r="Y14" s="1672"/>
      <c r="Z14" s="1672"/>
      <c r="AA14" s="1672"/>
      <c r="AB14" s="1672"/>
      <c r="AC14" s="1672"/>
      <c r="AD14" s="1672"/>
      <c r="AE14" s="1672"/>
      <c r="AF14" s="1672"/>
      <c r="AG14" s="1672"/>
      <c r="AH14" s="1672"/>
      <c r="AI14" s="1672"/>
      <c r="AJ14" s="1672"/>
      <c r="AK14" s="1672"/>
      <c r="AL14" s="1672"/>
      <c r="AM14" s="1672"/>
      <c r="AN14" s="1672"/>
      <c r="AO14" s="1672"/>
      <c r="AP14" s="1672"/>
      <c r="AQ14" s="1672"/>
      <c r="AR14" s="1672"/>
      <c r="AS14" s="1672"/>
      <c r="AT14" s="1672"/>
      <c r="AU14" s="1672"/>
      <c r="AV14" s="1672"/>
      <c r="AW14" s="1672"/>
      <c r="AX14" s="1672"/>
      <c r="AY14" s="1672"/>
      <c r="AZ14" s="1672"/>
      <c r="BA14" s="1672"/>
      <c r="BB14" s="1672"/>
      <c r="BC14" s="1673"/>
      <c r="BE14" s="784"/>
      <c r="BF14" s="784" t="str">
        <f>IF(T14="","",T14)</f>
        <v/>
      </c>
      <c r="BG14" s="784"/>
      <c r="BH14" s="784"/>
      <c r="BI14" s="795">
        <v>0</v>
      </c>
    </row>
    <row s="30621" customFormat="1" customHeight="1" ht="14.25" hidden="1">
      <c r="A15" s="1627"/>
      <c r="B15" s="1627"/>
      <c r="C15" s="1627"/>
      <c r="D15" s="1627"/>
      <c r="E15" s="2543"/>
      <c r="F15" s="2543"/>
      <c r="G15" s="2543"/>
      <c r="H15" s="2542"/>
      <c r="I15" s="1627"/>
      <c r="J15" s="1627"/>
      <c r="K15" s="1627"/>
      <c r="L15" s="1630"/>
      <c r="M15" s="1599"/>
      <c r="N15" s="1599"/>
      <c r="O15" s="802"/>
      <c r="P15" s="664"/>
      <c r="Q15" s="1628"/>
      <c r="R15" s="1685"/>
      <c r="S15" s="1670"/>
      <c r="T15" s="1671"/>
      <c r="U15" s="1672"/>
      <c r="V15" s="1672"/>
      <c r="W15" s="1672"/>
      <c r="X15" s="1672"/>
      <c r="Y15" s="1672"/>
      <c r="Z15" s="1672"/>
      <c r="AA15" s="1672"/>
      <c r="AB15" s="1672"/>
      <c r="AC15" s="1672"/>
      <c r="AD15" s="1672"/>
      <c r="AE15" s="1672"/>
      <c r="AF15" s="1672"/>
      <c r="AG15" s="1672"/>
      <c r="AH15" s="1672"/>
      <c r="AI15" s="1672"/>
      <c r="AJ15" s="1672"/>
      <c r="AK15" s="1672"/>
      <c r="AL15" s="1672"/>
      <c r="AM15" s="1672"/>
      <c r="AN15" s="1672"/>
      <c r="AO15" s="1672"/>
      <c r="AP15" s="1672"/>
      <c r="AQ15" s="1672"/>
      <c r="AR15" s="1672"/>
      <c r="AS15" s="1672"/>
      <c r="AT15" s="1672"/>
      <c r="AU15" s="1672"/>
      <c r="AV15" s="1672"/>
      <c r="AW15" s="1672"/>
      <c r="AX15" s="1672"/>
      <c r="AY15" s="1672"/>
      <c r="AZ15" s="1672"/>
      <c r="BA15" s="1672"/>
      <c r="BB15" s="1672"/>
      <c r="BC15" s="1673"/>
      <c r="BE15" s="784"/>
      <c r="BF15" s="784" t="str">
        <f>IF(T15="","",T15)</f>
        <v/>
      </c>
      <c r="BG15" s="784"/>
      <c r="BH15" s="784"/>
      <c r="BI15" s="795">
        <v>0</v>
      </c>
    </row>
    <row s="30621" customFormat="1" customHeight="1" ht="14.25" hidden="1">
      <c r="A16" s="1627"/>
      <c r="B16" s="1627"/>
      <c r="C16" s="1627"/>
      <c r="D16" s="1598"/>
      <c r="E16" s="2543"/>
      <c r="F16" s="2543"/>
      <c r="G16" s="2542"/>
      <c r="H16" s="1598"/>
      <c r="I16" s="1598"/>
      <c r="J16" s="1598"/>
      <c r="K16" s="1598"/>
      <c r="L16" s="1748"/>
      <c r="M16" s="1599"/>
      <c r="N16" s="1599"/>
      <c r="P16" s="1600"/>
      <c r="Q16" s="1601"/>
      <c r="R16" s="1600"/>
      <c r="S16" s="1606"/>
      <c r="T16" s="1609"/>
      <c r="U16" s="1608"/>
      <c r="V16" s="1608"/>
      <c r="W16" s="1608"/>
      <c r="X16" s="1608"/>
      <c r="Y16" s="1608"/>
      <c r="Z16" s="1608"/>
      <c r="AA16" s="1608"/>
      <c r="AB16" s="1608"/>
      <c r="AC16" s="1608"/>
      <c r="AD16" s="1608"/>
      <c r="AE16" s="1608"/>
      <c r="AF16" s="1608"/>
      <c r="AG16" s="1608"/>
      <c r="AH16" s="1608"/>
      <c r="AI16" s="1608"/>
      <c r="AJ16" s="1608"/>
      <c r="AK16" s="1608"/>
      <c r="AL16" s="1608"/>
      <c r="AM16" s="1608"/>
      <c r="AN16" s="1608"/>
      <c r="AO16" s="1608"/>
      <c r="AP16" s="1608"/>
      <c r="AQ16" s="1608"/>
      <c r="AR16" s="1608"/>
      <c r="AS16" s="1608"/>
      <c r="AT16" s="1608"/>
      <c r="AU16" s="1608"/>
      <c r="AV16" s="1608"/>
      <c r="AW16" s="1608"/>
      <c r="AX16" s="1608"/>
      <c r="AY16" s="1608"/>
      <c r="AZ16" s="1608"/>
      <c r="BA16" s="1608"/>
      <c r="BB16" s="1608"/>
      <c r="BC16" s="1608"/>
      <c r="BE16" s="1073"/>
      <c r="BF16" s="1073" t="str">
        <f>IF(T16="","",T16)</f>
        <v/>
      </c>
      <c r="BG16" s="1073"/>
      <c r="BH16" s="1073"/>
      <c r="BI16" s="802">
        <v>0</v>
      </c>
    </row>
    <row s="30621" customFormat="1" customHeight="1" ht="14.25" hidden="1">
      <c r="A17" s="1627"/>
      <c r="B17" s="1627"/>
      <c r="C17" s="1598"/>
      <c r="D17" s="1598"/>
      <c r="E17" s="2543"/>
      <c r="F17" s="2542"/>
      <c r="G17" s="1598"/>
      <c r="H17" s="1598"/>
      <c r="I17" s="1598"/>
      <c r="J17" s="1598"/>
      <c r="K17" s="1598"/>
      <c r="L17" s="1748"/>
      <c r="M17" s="1605"/>
      <c r="N17" s="1605"/>
      <c r="P17" s="1600"/>
      <c r="Q17" s="1601"/>
      <c r="R17" s="1600"/>
      <c r="S17" s="1606"/>
      <c r="T17" s="1609" t="s">
        <v>214</v>
      </c>
      <c r="U17" s="1608"/>
      <c r="V17" s="1608"/>
      <c r="W17" s="1608"/>
      <c r="X17" s="1608"/>
      <c r="Y17" s="1608"/>
      <c r="Z17" s="1608"/>
      <c r="AA17" s="1608"/>
      <c r="AB17" s="1608"/>
      <c r="AC17" s="1608"/>
      <c r="AD17" s="1608"/>
      <c r="AE17" s="1608"/>
      <c r="AF17" s="1608"/>
      <c r="AG17" s="1608"/>
      <c r="AH17" s="1608"/>
      <c r="AI17" s="1608"/>
      <c r="AJ17" s="1608"/>
      <c r="AK17" s="1608"/>
      <c r="AL17" s="1608"/>
      <c r="AM17" s="1608"/>
      <c r="AN17" s="1608"/>
      <c r="AO17" s="1608"/>
      <c r="AP17" s="1608"/>
      <c r="AQ17" s="1608"/>
      <c r="AR17" s="1608"/>
      <c r="AS17" s="1608"/>
      <c r="AT17" s="1608"/>
      <c r="AU17" s="1608"/>
      <c r="AV17" s="1608"/>
      <c r="AW17" s="1608"/>
      <c r="AX17" s="1608"/>
      <c r="AY17" s="1608"/>
      <c r="AZ17" s="1608"/>
      <c r="BA17" s="1608"/>
      <c r="BB17" s="1608"/>
      <c r="BC17" s="1608"/>
      <c r="BE17" s="1073"/>
      <c r="BF17" s="1073" t="str">
        <f>IF(T17="","",T17)</f>
        <v>Добавить централизованную систему для дифференциации</v>
      </c>
      <c r="BG17" s="1073"/>
      <c r="BH17" s="1073"/>
      <c r="BI17" s="802">
        <v>0</v>
      </c>
    </row>
    <row s="30621" customFormat="1" customHeight="1" ht="14.25" hidden="1">
      <c r="A18" s="1627"/>
      <c r="B18" s="1627"/>
      <c r="C18" s="1627"/>
      <c r="D18" s="1627"/>
      <c r="E18" s="2542"/>
      <c r="F18" s="1627"/>
      <c r="G18" s="1627"/>
      <c r="H18" s="1627"/>
      <c r="I18" s="1627"/>
      <c r="J18" s="1627"/>
      <c r="K18" s="1627"/>
      <c r="L18" s="1630"/>
      <c r="M18" s="1605"/>
      <c r="N18" s="1605"/>
      <c r="O18" s="802"/>
      <c r="P18" s="664"/>
      <c r="Q18" s="1628"/>
      <c r="R18" s="664"/>
      <c r="S18" s="1606"/>
      <c r="T18" s="1609" t="s">
        <v>230</v>
      </c>
      <c r="U18" s="1608"/>
      <c r="V18" s="1608"/>
      <c r="W18" s="1608"/>
      <c r="X18" s="1608"/>
      <c r="Y18" s="1608"/>
      <c r="Z18" s="1608"/>
      <c r="AA18" s="1608"/>
      <c r="AB18" s="1608"/>
      <c r="AC18" s="1608"/>
      <c r="AD18" s="1608"/>
      <c r="AE18" s="1608"/>
      <c r="AF18" s="1608"/>
      <c r="AG18" s="1608"/>
      <c r="AH18" s="1608"/>
      <c r="AI18" s="1608"/>
      <c r="AJ18" s="1608"/>
      <c r="AK18" s="1608"/>
      <c r="AL18" s="1608"/>
      <c r="AM18" s="1608"/>
      <c r="AN18" s="1608"/>
      <c r="AO18" s="1608"/>
      <c r="AP18" s="1608"/>
      <c r="AQ18" s="1608"/>
      <c r="AR18" s="1608"/>
      <c r="AS18" s="1608"/>
      <c r="AT18" s="1608"/>
      <c r="AU18" s="1608"/>
      <c r="AV18" s="1608"/>
      <c r="AW18" s="1608"/>
      <c r="AX18" s="1608"/>
      <c r="AY18" s="1608"/>
      <c r="AZ18" s="1608"/>
      <c r="BA18" s="1608"/>
      <c r="BB18" s="1608"/>
      <c r="BC18" s="1608"/>
      <c r="BE18" s="784"/>
      <c r="BF18" s="784" t="str">
        <f>IF(T18="","",T18)</f>
        <v>Добавить территорию для дифференциации</v>
      </c>
      <c r="BG18" s="784"/>
      <c r="BH18" s="784"/>
      <c r="BI18" s="795">
        <v>0</v>
      </c>
    </row>
    <row customHeight="1" ht="14.25" hidden="1">
      <c r="AC19" s="611"/>
      <c r="BA19" s="611"/>
      <c r="BI19" s="1439">
        <v>0</v>
      </c>
    </row>
    <row customHeight="1" ht="14.25" hidden="1">
      <c r="AD20" s="1608" t="s">
        <v>19</v>
      </c>
      <c r="AE20" s="1785"/>
      <c r="AF20" s="832">
        <v>1</v>
      </c>
      <c r="AG20" s="1786"/>
      <c r="AH20" s="1608" t="s">
        <v>19</v>
      </c>
      <c r="AI20" s="1785"/>
      <c r="AJ20" s="832">
        <v>1</v>
      </c>
      <c r="AK20" s="1786"/>
      <c r="AL20" s="1608" t="s">
        <v>19</v>
      </c>
      <c r="AM20" s="1787"/>
      <c r="AN20" s="832">
        <v>1</v>
      </c>
      <c r="AO20" s="1788"/>
      <c r="AP20" s="1608" t="s">
        <v>19</v>
      </c>
      <c r="AQ20" s="1787"/>
      <c r="AR20" s="832">
        <v>1</v>
      </c>
      <c r="AS20" s="1788"/>
      <c r="AT20" s="609"/>
      <c r="AU20" s="668"/>
      <c r="AV20" s="609"/>
      <c r="AW20" s="668"/>
      <c r="AX20" s="2020"/>
      <c r="AY20" s="1744" t="s">
        <v>64</v>
      </c>
      <c r="AZ20" s="2020"/>
      <c r="BA20" s="1744" t="s">
        <v>64</v>
      </c>
      <c r="BI20" s="1439">
        <v>0</v>
      </c>
    </row>
    <row customHeight="1" ht="14.25" hidden="1">
      <c r="BD21" s="780"/>
      <c r="BE21" s="780"/>
      <c r="BF21" s="780"/>
      <c r="BG21" s="780"/>
      <c r="BH21" s="780"/>
      <c r="BI21" s="1439">
        <v>0</v>
      </c>
    </row>
    <row customHeight="1" ht="14.25" hidden="1">
      <c r="O22" s="1651" t="s">
        <v>474</v>
      </c>
      <c r="Z22" s="1629"/>
      <c r="AB22" s="1629"/>
      <c r="AC22" s="611"/>
      <c r="AX22" s="1629"/>
      <c r="AZ22" s="1629"/>
      <c r="BA22" s="611"/>
      <c r="BD22" s="780"/>
      <c r="BE22" s="780"/>
      <c r="BF22" s="780"/>
      <c r="BG22" s="780"/>
      <c r="BH22" s="780"/>
      <c r="BI22" s="1439">
        <v>0</v>
      </c>
    </row>
    <row customHeight="1" ht="14.25" hidden="1">
      <c r="AC23" s="611"/>
      <c r="BA23" s="611"/>
      <c r="BD23" s="780"/>
      <c r="BE23" s="780"/>
      <c r="BF23" s="780"/>
      <c r="BG23" s="780"/>
      <c r="BH23" s="780"/>
      <c r="BI23" s="1439">
        <v>0</v>
      </c>
    </row>
    <row s="37270" customFormat="1" customHeight="1" ht="14.25" hidden="1">
      <c r="M24" s="1792"/>
      <c r="N24" s="1792"/>
      <c r="O24" s="1793" t="s">
        <v>475</v>
      </c>
      <c r="P24" s="1792"/>
      <c r="Q24" s="1794"/>
      <c r="R24" s="1794"/>
      <c r="AA24" s="1791" t="s">
        <v>477</v>
      </c>
      <c r="AC24" s="1791" t="s">
        <v>478</v>
      </c>
      <c r="AD24" s="1791" t="s">
        <v>541</v>
      </c>
      <c r="AH24" s="1791" t="s">
        <v>541</v>
      </c>
      <c r="AK24" s="1791" t="s">
        <v>578</v>
      </c>
      <c r="AL24" s="1791" t="s">
        <v>541</v>
      </c>
      <c r="AP24" s="1791" t="s">
        <v>541</v>
      </c>
      <c r="AY24" s="1791" t="s">
        <v>477</v>
      </c>
      <c r="BA24" s="1791" t="s">
        <v>478</v>
      </c>
      <c r="BD24" s="1795"/>
      <c r="BE24" s="1795"/>
      <c r="BF24" s="1795"/>
      <c r="BG24" s="1795"/>
      <c r="BH24" s="1795"/>
      <c r="BI24" s="1791">
        <v>0</v>
      </c>
    </row>
    <row customHeight="1" ht="14.25" hidden="1">
      <c r="O25" s="1648"/>
      <c r="BD25" s="780"/>
      <c r="BE25" s="780"/>
      <c r="BF25" s="780"/>
      <c r="BG25" s="780"/>
      <c r="BH25" s="780"/>
      <c r="BI25" s="1439">
        <v>0</v>
      </c>
    </row>
    <row customHeight="1" ht="14.25" hidden="1">
      <c r="O26" s="1648"/>
      <c r="BD26" s="780"/>
      <c r="BE26" s="780"/>
      <c r="BF26" s="780"/>
      <c r="BG26" s="780"/>
      <c r="BH26" s="780"/>
      <c r="BI26" s="1439">
        <v>0</v>
      </c>
    </row>
    <row customHeight="1" ht="14.699999999999998">
      <c r="Q27" s="575"/>
      <c r="R27" s="660"/>
      <c r="S27" s="1559"/>
      <c r="T27" s="647"/>
      <c r="U27" s="647"/>
      <c r="V27" s="793"/>
      <c r="W27" s="793"/>
      <c r="X27" s="793"/>
      <c r="Y27" s="793"/>
      <c r="Z27" s="793"/>
      <c r="AA27" s="793"/>
      <c r="AB27" s="793"/>
      <c r="AC27" s="793"/>
      <c r="AD27" s="793"/>
      <c r="AE27" s="793"/>
      <c r="AF27" s="793"/>
      <c r="AG27" s="793"/>
      <c r="AH27" s="793"/>
      <c r="AI27" s="793"/>
      <c r="AJ27" s="793"/>
      <c r="AK27" s="793"/>
      <c r="AL27" s="793"/>
      <c r="AM27" s="793"/>
      <c r="AN27" s="793"/>
      <c r="AO27" s="793"/>
      <c r="AP27" s="793"/>
      <c r="AQ27" s="793"/>
      <c r="AR27" s="793"/>
      <c r="AS27" s="793"/>
      <c r="AT27" s="793"/>
      <c r="AU27" s="793"/>
      <c r="AV27" s="793"/>
      <c r="AW27" s="793"/>
      <c r="AX27" s="793"/>
      <c r="AY27" s="793"/>
      <c r="AZ27" s="793"/>
      <c r="BA27" s="793"/>
      <c r="BI27" s="1439">
        <v>14</v>
      </c>
    </row>
    <row customHeight="1" ht="14.699999999999998">
      <c r="Q28" s="575"/>
      <c r="R28" s="660"/>
      <c r="S28" s="2532"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532"/>
      <c r="U28" s="2532"/>
      <c r="V28" s="2532"/>
      <c r="W28" s="2532"/>
      <c r="X28" s="2532"/>
      <c r="Y28" s="2532"/>
      <c r="Z28" s="2532"/>
      <c r="AA28" s="2532"/>
      <c r="AB28" s="2532"/>
      <c r="AC28" s="2532"/>
      <c r="AD28" s="2532"/>
      <c r="AE28" s="2532"/>
      <c r="AF28" s="2532"/>
      <c r="AG28" s="2532"/>
      <c r="AH28" s="2532"/>
      <c r="AI28" s="2532"/>
      <c r="AJ28" s="2532"/>
      <c r="AK28" s="2532"/>
      <c r="AL28" s="2532"/>
      <c r="AM28" s="2532"/>
      <c r="AN28" s="2532"/>
      <c r="AO28" s="2532"/>
      <c r="AP28" s="2532"/>
      <c r="AQ28" s="2532"/>
      <c r="AR28" s="2532"/>
      <c r="AS28" s="2532"/>
      <c r="AT28" s="2532"/>
      <c r="AU28" s="2532"/>
      <c r="AV28" s="2532"/>
      <c r="AW28" s="2532"/>
      <c r="AX28" s="2532"/>
      <c r="AY28" s="2532"/>
      <c r="AZ28" s="2532"/>
      <c r="BA28" s="1527"/>
      <c r="BI28" s="1439">
        <v>14</v>
      </c>
    </row>
    <row customHeight="1" ht="14.699999999999998">
      <c r="Q29" s="575"/>
      <c r="R29" s="660"/>
      <c r="S29" s="2533" t="str">
        <f>IF(org=0,"Не определено",org)</f>
        <v>АО "ДГК"</v>
      </c>
      <c r="T29" s="2533"/>
      <c r="U29" s="2533"/>
      <c r="V29" s="2533"/>
      <c r="W29" s="2533"/>
      <c r="X29" s="2533"/>
      <c r="Y29" s="2533"/>
      <c r="Z29" s="2533"/>
      <c r="AA29" s="2533"/>
      <c r="AB29" s="2533"/>
      <c r="AC29" s="2533"/>
      <c r="AD29" s="2533"/>
      <c r="AE29" s="2533"/>
      <c r="AF29" s="2533"/>
      <c r="AG29" s="2533"/>
      <c r="AH29" s="2533"/>
      <c r="AI29" s="2533"/>
      <c r="AJ29" s="2533"/>
      <c r="AK29" s="2533"/>
      <c r="AL29" s="2533"/>
      <c r="AM29" s="2533"/>
      <c r="AN29" s="2533"/>
      <c r="AO29" s="2533"/>
      <c r="AP29" s="2533"/>
      <c r="AQ29" s="2533"/>
      <c r="AR29" s="2533"/>
      <c r="AS29" s="2533"/>
      <c r="AT29" s="2533"/>
      <c r="AU29" s="2533"/>
      <c r="AV29" s="2533"/>
      <c r="AW29" s="2533"/>
      <c r="AX29" s="2533"/>
      <c r="AY29" s="2533"/>
      <c r="AZ29" s="2533"/>
      <c r="BA29" s="1527"/>
      <c r="BI29" s="1439">
        <v>14</v>
      </c>
    </row>
    <row customHeight="1" ht="14.25">
      <c r="Q30" s="575"/>
      <c r="R30" s="660"/>
      <c r="S30" s="1559"/>
      <c r="T30" s="647"/>
      <c r="U30" s="647"/>
      <c r="V30" s="606"/>
      <c r="W30" s="606"/>
      <c r="X30" s="606"/>
      <c r="Y30" s="606"/>
      <c r="Z30" s="606"/>
      <c r="AA30" s="606"/>
      <c r="AB30" s="606"/>
      <c r="AC30" s="606"/>
      <c r="AD30" s="606"/>
      <c r="AE30" s="606"/>
      <c r="AF30" s="606"/>
      <c r="AG30" s="606"/>
      <c r="AH30" s="606"/>
      <c r="AI30" s="606"/>
      <c r="AJ30" s="606"/>
      <c r="AK30" s="606"/>
      <c r="AL30" s="606"/>
      <c r="AM30" s="606"/>
      <c r="AN30" s="606"/>
      <c r="AO30" s="606"/>
      <c r="AP30" s="606"/>
      <c r="AQ30" s="606"/>
      <c r="AR30" s="606"/>
      <c r="AS30" s="606"/>
      <c r="AT30" s="606"/>
      <c r="AU30" s="606"/>
      <c r="AV30" s="606"/>
      <c r="AW30" s="606"/>
      <c r="AX30" s="606"/>
      <c r="AY30" s="606"/>
      <c r="AZ30" s="606"/>
      <c r="BA30" s="606"/>
      <c r="BB30" s="793"/>
      <c r="BI30" s="1439">
        <v>0</v>
      </c>
    </row>
    <row s="30764" customFormat="1" customHeight="1" ht="25.5">
      <c r="A31" s="1652"/>
      <c r="B31" s="1652"/>
      <c r="C31" s="1652"/>
      <c r="D31" s="1652"/>
      <c r="E31" s="1652"/>
      <c r="F31" s="1652"/>
      <c r="G31" s="1652"/>
      <c r="H31" s="1652"/>
      <c r="I31" s="1652"/>
      <c r="J31" s="1652"/>
      <c r="K31" s="1652"/>
      <c r="L31" s="1653"/>
      <c r="M31" s="1652"/>
      <c r="N31" s="1652"/>
      <c r="O31" s="1652"/>
      <c r="P31" s="1652"/>
      <c r="Q31" s="1652"/>
      <c r="S31" s="2534" t="s">
        <v>42</v>
      </c>
      <c r="T31" s="2534"/>
      <c r="U31" s="1656"/>
      <c r="V31" s="2535" t="str">
        <f>IF(TITLE_NAME_OR_PR_CHANGE="",IF(TITLE_NAME_OR_PR="","",TITLE_NAME_OR_PR),TITLE_NAME_OR_PR_CHANGE)</f>
        <v>Комитет по ценам и тарифам Правительства Хабаровского края</v>
      </c>
      <c r="W31" s="2535"/>
      <c r="X31" s="2535"/>
      <c r="Y31" s="2535"/>
      <c r="Z31" s="2535"/>
      <c r="AA31" s="2535"/>
      <c r="AB31" s="2535"/>
      <c r="AC31" s="610"/>
      <c r="AD31" s="2535" t="str">
        <f>IF(TITLE_NAME_OR_PR_CHANGE="",IF(TITLE_NAME_OR_PR="","",TITLE_NAME_OR_PR),TITLE_NAME_OR_PR_CHANGE)</f>
        <v>Комитет по ценам и тарифам Правительства Хабаровского края</v>
      </c>
      <c r="AE31" s="2535"/>
      <c r="AF31" s="2535"/>
      <c r="AG31" s="2535"/>
      <c r="AH31" s="2535"/>
      <c r="AI31" s="2535"/>
      <c r="AJ31" s="2535"/>
      <c r="AK31" s="2535"/>
      <c r="AL31" s="2535"/>
      <c r="AM31" s="2535"/>
      <c r="AN31" s="2535"/>
      <c r="AO31" s="2535"/>
      <c r="AP31" s="2535"/>
      <c r="AQ31" s="2535"/>
      <c r="AR31" s="2535"/>
      <c r="AS31" s="2535"/>
      <c r="AT31" s="2535"/>
      <c r="AU31" s="2535"/>
      <c r="AV31" s="2535"/>
      <c r="AW31" s="2535"/>
      <c r="AX31" s="2535"/>
      <c r="AY31" s="2535"/>
      <c r="AZ31" s="2535"/>
      <c r="BA31" s="610"/>
      <c r="BB31" s="610"/>
      <c r="BC31" s="564"/>
      <c r="BD31" s="652"/>
      <c r="BE31" s="652"/>
      <c r="BF31" s="652"/>
      <c r="BG31" s="652"/>
      <c r="BH31" s="652"/>
      <c r="BI31" s="702">
        <v>0</v>
      </c>
    </row>
    <row s="30764" customFormat="1" customHeight="1" ht="18.75">
      <c r="A32" s="1652"/>
      <c r="B32" s="1652"/>
      <c r="C32" s="1652"/>
      <c r="D32" s="1652"/>
      <c r="E32" s="1652"/>
      <c r="F32" s="1652"/>
      <c r="G32" s="1652"/>
      <c r="H32" s="1652"/>
      <c r="I32" s="1652"/>
      <c r="J32" s="1652"/>
      <c r="K32" s="1652"/>
      <c r="L32" s="1653"/>
      <c r="M32" s="1652"/>
      <c r="N32" s="1652"/>
      <c r="O32" s="1652"/>
      <c r="P32" s="1652"/>
      <c r="Q32" s="1652"/>
      <c r="S32" s="2534" t="s">
        <v>480</v>
      </c>
      <c r="T32" s="2534"/>
      <c r="U32" s="1656"/>
      <c r="V32" s="2548" t="str">
        <f>IF(TITLE_DATE_PR_CHANGE="",IF(TITLE_DATE_PR="","",TITLE_DATE_PR),TITLE_DATE_PR_CHANGE)</f>
        <v>45645</v>
      </c>
      <c r="W32" s="2548"/>
      <c r="X32" s="2548"/>
      <c r="Y32" s="2548"/>
      <c r="Z32" s="2548"/>
      <c r="AA32" s="2548"/>
      <c r="AB32" s="2548"/>
      <c r="AC32" s="610"/>
      <c r="AD32" s="2548" t="str">
        <f>IF(TITLE_DATE_PR_CHANGE="",IF(TITLE_DATE_PR="","",TITLE_DATE_PR),TITLE_DATE_PR_CHANGE)</f>
        <v>45645</v>
      </c>
      <c r="AE32" s="2548"/>
      <c r="AF32" s="2548"/>
      <c r="AG32" s="2548"/>
      <c r="AH32" s="2548"/>
      <c r="AI32" s="2548"/>
      <c r="AJ32" s="2548"/>
      <c r="AK32" s="2548"/>
      <c r="AL32" s="2548"/>
      <c r="AM32" s="2548"/>
      <c r="AN32" s="2548"/>
      <c r="AO32" s="2548"/>
      <c r="AP32" s="2548"/>
      <c r="AQ32" s="2548"/>
      <c r="AR32" s="2548"/>
      <c r="AS32" s="2548"/>
      <c r="AT32" s="2548"/>
      <c r="AU32" s="2548"/>
      <c r="AV32" s="2548"/>
      <c r="AW32" s="2548"/>
      <c r="AX32" s="2548"/>
      <c r="AY32" s="2548"/>
      <c r="AZ32" s="2548"/>
      <c r="BA32" s="610"/>
      <c r="BB32" s="610"/>
      <c r="BC32" s="564"/>
      <c r="BD32" s="652"/>
      <c r="BE32" s="652"/>
      <c r="BF32" s="652"/>
      <c r="BG32" s="652"/>
      <c r="BH32" s="652"/>
      <c r="BI32" s="702">
        <v>0</v>
      </c>
    </row>
    <row s="30764" customFormat="1" customHeight="1" ht="18.75">
      <c r="A33" s="1652"/>
      <c r="B33" s="1652"/>
      <c r="C33" s="1652"/>
      <c r="D33" s="1652"/>
      <c r="E33" s="1652"/>
      <c r="F33" s="1652"/>
      <c r="G33" s="1652"/>
      <c r="H33" s="1652"/>
      <c r="I33" s="1652"/>
      <c r="J33" s="1652"/>
      <c r="K33" s="1652"/>
      <c r="L33" s="1653"/>
      <c r="M33" s="1652"/>
      <c r="N33" s="1652"/>
      <c r="O33" s="1652"/>
      <c r="P33" s="1652"/>
      <c r="Q33" s="1652"/>
      <c r="S33" s="2534" t="s">
        <v>481</v>
      </c>
      <c r="T33" s="2534"/>
      <c r="U33" s="1656"/>
      <c r="V33" s="2535" t="str">
        <f>IF(TITLE_NUMBER_PR_CHANGE="",IF(TITLE_NUMBER_PR="","",TITLE_NUMBER_PR),TITLE_NUMBER_PR_CHANGE)</f>
        <v>№ 40/8</v>
      </c>
      <c r="W33" s="2535"/>
      <c r="X33" s="2535"/>
      <c r="Y33" s="2535"/>
      <c r="Z33" s="2535"/>
      <c r="AA33" s="2535"/>
      <c r="AB33" s="2535"/>
      <c r="AC33" s="610"/>
      <c r="AD33" s="2535" t="str">
        <f>IF(TITLE_NUMBER_PR_CHANGE="",IF(TITLE_NUMBER_PR="","",TITLE_NUMBER_PR),TITLE_NUMBER_PR_CHANGE)</f>
        <v>№ 40/8</v>
      </c>
      <c r="AE33" s="2535"/>
      <c r="AF33" s="2535"/>
      <c r="AG33" s="2535"/>
      <c r="AH33" s="2535"/>
      <c r="AI33" s="2535"/>
      <c r="AJ33" s="2535"/>
      <c r="AK33" s="2535"/>
      <c r="AL33" s="2535"/>
      <c r="AM33" s="2535"/>
      <c r="AN33" s="2535"/>
      <c r="AO33" s="2535"/>
      <c r="AP33" s="2535"/>
      <c r="AQ33" s="2535"/>
      <c r="AR33" s="2535"/>
      <c r="AS33" s="2535"/>
      <c r="AT33" s="2535"/>
      <c r="AU33" s="2535"/>
      <c r="AV33" s="2535"/>
      <c r="AW33" s="2535"/>
      <c r="AX33" s="2535"/>
      <c r="AY33" s="2535"/>
      <c r="AZ33" s="2535"/>
      <c r="BA33" s="610"/>
      <c r="BB33" s="610"/>
      <c r="BC33" s="564"/>
      <c r="BD33" s="652"/>
      <c r="BE33" s="652"/>
      <c r="BF33" s="652"/>
      <c r="BG33" s="652"/>
      <c r="BH33" s="652"/>
      <c r="BI33" s="702">
        <v>0</v>
      </c>
    </row>
    <row s="30764" customFormat="1" customHeight="1" ht="18.75">
      <c r="A34" s="1652"/>
      <c r="B34" s="1652"/>
      <c r="C34" s="1652"/>
      <c r="D34" s="1652"/>
      <c r="E34" s="1652"/>
      <c r="F34" s="1652"/>
      <c r="G34" s="1652"/>
      <c r="H34" s="1652"/>
      <c r="I34" s="1652"/>
      <c r="J34" s="1652"/>
      <c r="K34" s="1652"/>
      <c r="L34" s="1653"/>
      <c r="M34" s="1652"/>
      <c r="N34" s="1652"/>
      <c r="O34" s="1652"/>
      <c r="P34" s="1652"/>
      <c r="Q34" s="1652"/>
      <c r="S34" s="2534" t="s">
        <v>44</v>
      </c>
      <c r="T34" s="2534"/>
      <c r="U34" s="1656"/>
      <c r="V34" s="2535" t="str">
        <f>IF(TITLE_IST_PUB_CHANGE="",IF(TITLE_IST_PUB="","",TITLE_IST_PUB),TITLE_IST_PUB_CHANGE)</f>
        <v>Официальный интернет - портал нормативных правовых актов Хабаровского края https://laws.khv.gov.ru/</v>
      </c>
      <c r="W34" s="2535"/>
      <c r="X34" s="2535"/>
      <c r="Y34" s="2535"/>
      <c r="Z34" s="2535"/>
      <c r="AA34" s="2535"/>
      <c r="AB34" s="2535"/>
      <c r="AC34" s="610"/>
      <c r="AD34" s="2535" t="str">
        <f>IF(TITLE_IST_PUB_CHANGE="",IF(TITLE_IST_PUB="","",TITLE_IST_PUB),TITLE_IST_PUB_CHANGE)</f>
        <v>Официальный интернет - портал нормативных правовых актов Хабаровского края https://laws.khv.gov.ru/</v>
      </c>
      <c r="AE34" s="2535"/>
      <c r="AF34" s="2535"/>
      <c r="AG34" s="2535"/>
      <c r="AH34" s="2535"/>
      <c r="AI34" s="2535"/>
      <c r="AJ34" s="2535"/>
      <c r="AK34" s="2535"/>
      <c r="AL34" s="2535"/>
      <c r="AM34" s="2535"/>
      <c r="AN34" s="2535"/>
      <c r="AO34" s="2535"/>
      <c r="AP34" s="2535"/>
      <c r="AQ34" s="2535"/>
      <c r="AR34" s="2535"/>
      <c r="AS34" s="2535"/>
      <c r="AT34" s="2535"/>
      <c r="AU34" s="2535"/>
      <c r="AV34" s="2535"/>
      <c r="AW34" s="2535"/>
      <c r="AX34" s="2535"/>
      <c r="AY34" s="2535"/>
      <c r="AZ34" s="2535"/>
      <c r="BA34" s="610"/>
      <c r="BB34" s="610"/>
      <c r="BC34" s="564"/>
      <c r="BD34" s="652"/>
      <c r="BE34" s="652"/>
      <c r="BF34" s="652"/>
      <c r="BG34" s="652"/>
      <c r="BH34" s="652"/>
      <c r="BI34" s="702">
        <v>0</v>
      </c>
    </row>
    <row customHeight="1" ht="14.25" hidden="1">
      <c r="Q35" s="575"/>
      <c r="R35" s="660"/>
      <c r="S35" s="1559"/>
      <c r="T35" s="647"/>
      <c r="U35" s="647"/>
      <c r="V35" s="606"/>
      <c r="W35" s="606"/>
      <c r="X35" s="606"/>
      <c r="Y35" s="606"/>
      <c r="Z35" s="606"/>
      <c r="AA35" s="606"/>
      <c r="AB35" s="606"/>
      <c r="AC35" s="606"/>
      <c r="AD35" s="606"/>
      <c r="AE35" s="606"/>
      <c r="AF35" s="606"/>
      <c r="AG35" s="606"/>
      <c r="AH35" s="606"/>
      <c r="AI35" s="606"/>
      <c r="AJ35" s="606"/>
      <c r="AK35" s="606"/>
      <c r="AL35" s="606"/>
      <c r="AM35" s="606"/>
      <c r="AN35" s="606"/>
      <c r="AO35" s="606"/>
      <c r="AP35" s="606"/>
      <c r="AQ35" s="606"/>
      <c r="AR35" s="606"/>
      <c r="AS35" s="606"/>
      <c r="AT35" s="606"/>
      <c r="AU35" s="606"/>
      <c r="AV35" s="606"/>
      <c r="AW35" s="606"/>
      <c r="AX35" s="606"/>
      <c r="AY35" s="606"/>
      <c r="AZ35" s="606"/>
      <c r="BA35" s="606"/>
      <c r="BB35" s="793"/>
      <c r="BI35" s="1439">
        <v>0</v>
      </c>
    </row>
    <row s="30764" customFormat="1" customHeight="1" ht="18.75" hidden="1">
      <c r="A36" s="1652"/>
      <c r="B36" s="1652"/>
      <c r="C36" s="1652"/>
      <c r="D36" s="1652"/>
      <c r="E36" s="1652"/>
      <c r="F36" s="1652"/>
      <c r="G36" s="1652"/>
      <c r="H36" s="1652"/>
      <c r="I36" s="1652"/>
      <c r="J36" s="1652"/>
      <c r="K36" s="1652"/>
      <c r="L36" s="1653"/>
      <c r="M36" s="1652"/>
      <c r="N36" s="1652"/>
      <c r="O36" s="1652"/>
      <c r="P36" s="1652"/>
      <c r="Q36" s="1652"/>
      <c r="S36" s="2534" t="s">
        <v>480</v>
      </c>
      <c r="T36" s="2534"/>
      <c r="U36" s="1656"/>
      <c r="V36" s="2548" t="str">
        <f>IF(TITLE_DATE_PR_CHANGE="",IF(TITLE_DATE_PR="","",TITLE_DATE_PR),TITLE_DATE_PR_CHANGE)</f>
        <v>45645</v>
      </c>
      <c r="W36" s="2548"/>
      <c r="X36" s="2548"/>
      <c r="Y36" s="2548"/>
      <c r="Z36" s="2548"/>
      <c r="AA36" s="2548"/>
      <c r="AB36" s="2548"/>
      <c r="AC36" s="610"/>
      <c r="AD36" s="2548" t="str">
        <f>IF(TITLE_DATE_PR_CHANGE="",IF(TITLE_DATE_PR="","",TITLE_DATE_PR),TITLE_DATE_PR_CHANGE)</f>
        <v>45645</v>
      </c>
      <c r="AE36" s="2548"/>
      <c r="AF36" s="2548"/>
      <c r="AG36" s="2548"/>
      <c r="AH36" s="2548"/>
      <c r="AI36" s="2548"/>
      <c r="AJ36" s="2548"/>
      <c r="AK36" s="2548"/>
      <c r="AL36" s="2548"/>
      <c r="AM36" s="2548"/>
      <c r="AN36" s="2548"/>
      <c r="AO36" s="2548"/>
      <c r="AP36" s="2548"/>
      <c r="AQ36" s="2548"/>
      <c r="AR36" s="2548"/>
      <c r="AS36" s="2548"/>
      <c r="AT36" s="2548"/>
      <c r="AU36" s="2548"/>
      <c r="AV36" s="2548"/>
      <c r="AW36" s="2548"/>
      <c r="AX36" s="2548"/>
      <c r="AY36" s="2548"/>
      <c r="AZ36" s="2548"/>
      <c r="BA36" s="610"/>
      <c r="BB36" s="610"/>
      <c r="BC36" s="564"/>
      <c r="BD36" s="652"/>
      <c r="BE36" s="652"/>
      <c r="BF36" s="652"/>
      <c r="BG36" s="652"/>
      <c r="BH36" s="652"/>
      <c r="BI36" s="702">
        <v>0</v>
      </c>
    </row>
    <row s="30764" customFormat="1" customHeight="1" ht="18.75" hidden="1">
      <c r="A37" s="1652"/>
      <c r="B37" s="1652"/>
      <c r="C37" s="1652"/>
      <c r="D37" s="1652"/>
      <c r="E37" s="1652"/>
      <c r="F37" s="1652"/>
      <c r="G37" s="1652"/>
      <c r="H37" s="1652"/>
      <c r="I37" s="1652"/>
      <c r="J37" s="1652"/>
      <c r="K37" s="1652"/>
      <c r="L37" s="1653"/>
      <c r="M37" s="1652"/>
      <c r="N37" s="1652"/>
      <c r="O37" s="1652"/>
      <c r="P37" s="1652"/>
      <c r="Q37" s="1652"/>
      <c r="S37" s="2534" t="s">
        <v>481</v>
      </c>
      <c r="T37" s="2534"/>
      <c r="U37" s="1656"/>
      <c r="V37" s="2535" t="str">
        <f>IF(TITLE_NUMBER_PR_CHANGE="",IF(TITLE_NUMBER_PR="","",TITLE_NUMBER_PR),TITLE_NUMBER_PR_CHANGE)</f>
        <v>№ 40/8</v>
      </c>
      <c r="W37" s="2535"/>
      <c r="X37" s="2535"/>
      <c r="Y37" s="2535"/>
      <c r="Z37" s="2535"/>
      <c r="AA37" s="2535"/>
      <c r="AB37" s="2535"/>
      <c r="AC37" s="610"/>
      <c r="AD37" s="2535" t="str">
        <f>IF(TITLE_NUMBER_PR_CHANGE="",IF(TITLE_NUMBER_PR="","",TITLE_NUMBER_PR),TITLE_NUMBER_PR_CHANGE)</f>
        <v>№ 40/8</v>
      </c>
      <c r="AE37" s="2535"/>
      <c r="AF37" s="2535"/>
      <c r="AG37" s="2535"/>
      <c r="AH37" s="2535"/>
      <c r="AI37" s="2535"/>
      <c r="AJ37" s="2535"/>
      <c r="AK37" s="2535"/>
      <c r="AL37" s="2535"/>
      <c r="AM37" s="2535"/>
      <c r="AN37" s="2535"/>
      <c r="AO37" s="2535"/>
      <c r="AP37" s="2535"/>
      <c r="AQ37" s="2535"/>
      <c r="AR37" s="2535"/>
      <c r="AS37" s="2535"/>
      <c r="AT37" s="2535"/>
      <c r="AU37" s="2535"/>
      <c r="AV37" s="2535"/>
      <c r="AW37" s="2535"/>
      <c r="AX37" s="2535"/>
      <c r="AY37" s="2535"/>
      <c r="AZ37" s="2535"/>
      <c r="BA37" s="610"/>
      <c r="BB37" s="610"/>
      <c r="BC37" s="564"/>
      <c r="BD37" s="652"/>
      <c r="BE37" s="652"/>
      <c r="BF37" s="652"/>
      <c r="BG37" s="652"/>
      <c r="BH37" s="652"/>
      <c r="BI37" s="702">
        <v>0</v>
      </c>
    </row>
    <row s="30764" customFormat="1" customHeight="1" ht="0">
      <c r="A38" s="1652"/>
      <c r="B38" s="1652"/>
      <c r="C38" s="1652"/>
      <c r="D38" s="1652"/>
      <c r="E38" s="1652"/>
      <c r="F38" s="1652"/>
      <c r="G38" s="1652"/>
      <c r="H38" s="1652"/>
      <c r="I38" s="1652"/>
      <c r="J38" s="1652"/>
      <c r="K38" s="1652"/>
      <c r="L38" s="1653"/>
      <c r="M38" s="1652"/>
      <c r="N38" s="1652"/>
      <c r="O38" s="1652"/>
      <c r="P38" s="1652"/>
      <c r="Q38" s="1652"/>
      <c r="S38" s="607"/>
      <c r="T38" s="607"/>
      <c r="U38" s="1738"/>
      <c r="V38" s="610"/>
      <c r="W38" s="610"/>
      <c r="X38" s="610"/>
      <c r="Y38" s="610"/>
      <c r="Z38" s="610"/>
      <c r="AA38" s="610"/>
      <c r="AB38" s="610"/>
      <c r="AC38" s="562" t="s">
        <v>484</v>
      </c>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562" t="s">
        <v>484</v>
      </c>
      <c r="BD38" s="652"/>
      <c r="BE38" s="652"/>
      <c r="BF38" s="652"/>
      <c r="BG38" s="652"/>
      <c r="BH38" s="652"/>
      <c r="BI38" s="702">
        <v>0</v>
      </c>
    </row>
    <row customHeight="1" ht="14.699999999999998">
      <c r="Q39" s="575"/>
      <c r="R39" s="660"/>
      <c r="S39" s="1559"/>
      <c r="T39" s="647"/>
      <c r="U39" s="1528"/>
      <c r="V39" s="2536"/>
      <c r="W39" s="2536"/>
      <c r="X39" s="2536"/>
      <c r="Y39" s="2536"/>
      <c r="Z39" s="2536"/>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I39" s="1439">
        <v>14</v>
      </c>
    </row>
    <row customHeight="1" ht="14.699999999999998">
      <c r="Q40" s="575"/>
      <c r="R40" s="660"/>
      <c r="S40" s="2411" t="s">
        <v>360</v>
      </c>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c r="AS40" s="2411"/>
      <c r="AT40" s="2411"/>
      <c r="AU40" s="2411"/>
      <c r="AV40" s="2411"/>
      <c r="AW40" s="2411"/>
      <c r="AX40" s="2411"/>
      <c r="AY40" s="2411"/>
      <c r="AZ40" s="2411"/>
      <c r="BA40" s="2411"/>
      <c r="BB40" s="2411"/>
      <c r="BC40" s="2411" t="s">
        <v>361</v>
      </c>
      <c r="BI40" s="1439">
        <v>14</v>
      </c>
    </row>
    <row customHeight="1" ht="14.699999999999998">
      <c r="Q41" s="575"/>
      <c r="R41" s="660"/>
      <c r="S41" s="2557" t="s">
        <v>91</v>
      </c>
      <c r="T41" s="2493" t="s">
        <v>579</v>
      </c>
      <c r="U41" s="585"/>
      <c r="V41" s="2558" t="s">
        <v>486</v>
      </c>
      <c r="W41" s="2559"/>
      <c r="X41" s="2559"/>
      <c r="Y41" s="2559"/>
      <c r="Z41" s="2559"/>
      <c r="AA41" s="2559"/>
      <c r="AB41" s="2560"/>
      <c r="AC41" s="2561" t="s">
        <v>487</v>
      </c>
      <c r="AD41" s="2612" t="s">
        <v>580</v>
      </c>
      <c r="AE41" s="2575"/>
      <c r="AF41" s="2575"/>
      <c r="AG41" s="2613"/>
      <c r="AH41" s="2612" t="s">
        <v>581</v>
      </c>
      <c r="AI41" s="2575"/>
      <c r="AJ41" s="2575"/>
      <c r="AK41" s="2613"/>
      <c r="AL41" s="2612" t="s">
        <v>582</v>
      </c>
      <c r="AM41" s="2575"/>
      <c r="AN41" s="2575"/>
      <c r="AO41" s="2613"/>
      <c r="AP41" s="2612" t="s">
        <v>583</v>
      </c>
      <c r="AQ41" s="2575"/>
      <c r="AR41" s="2575"/>
      <c r="AS41" s="2613"/>
      <c r="AT41" s="2558" t="s">
        <v>486</v>
      </c>
      <c r="AU41" s="2559"/>
      <c r="AV41" s="2559"/>
      <c r="AW41" s="2559"/>
      <c r="AX41" s="2559"/>
      <c r="AY41" s="2559"/>
      <c r="AZ41" s="2560"/>
      <c r="BA41" s="2561" t="s">
        <v>487</v>
      </c>
      <c r="BB41" s="2564" t="s">
        <v>489</v>
      </c>
      <c r="BC41" s="2411"/>
      <c r="BI41" s="1439">
        <v>14</v>
      </c>
    </row>
    <row customHeight="1" ht="35.699999999999996">
      <c r="Q42" s="575"/>
      <c r="R42" s="660"/>
      <c r="S42" s="2557"/>
      <c r="T42" s="2493"/>
      <c r="U42" s="1315"/>
      <c r="V42" s="2476" t="s">
        <v>584</v>
      </c>
      <c r="W42" s="2477"/>
      <c r="X42" s="2476" t="s">
        <v>585</v>
      </c>
      <c r="Y42" s="2477"/>
      <c r="Z42" s="2578" t="s">
        <v>586</v>
      </c>
      <c r="AA42" s="2597"/>
      <c r="AB42" s="2598"/>
      <c r="AC42" s="2562"/>
      <c r="AD42" s="2614"/>
      <c r="AE42" s="2615"/>
      <c r="AF42" s="2615"/>
      <c r="AG42" s="2616"/>
      <c r="AH42" s="2614"/>
      <c r="AI42" s="2615"/>
      <c r="AJ42" s="2615"/>
      <c r="AK42" s="2616"/>
      <c r="AL42" s="2614"/>
      <c r="AM42" s="2615"/>
      <c r="AN42" s="2615"/>
      <c r="AO42" s="2616"/>
      <c r="AP42" s="2614"/>
      <c r="AQ42" s="2615"/>
      <c r="AR42" s="2615"/>
      <c r="AS42" s="2616"/>
      <c r="AT42" s="2476" t="s">
        <v>584</v>
      </c>
      <c r="AU42" s="2477"/>
      <c r="AV42" s="2476" t="s">
        <v>585</v>
      </c>
      <c r="AW42" s="2477"/>
      <c r="AX42" s="2578" t="s">
        <v>586</v>
      </c>
      <c r="AY42" s="2597"/>
      <c r="AZ42" s="2598"/>
      <c r="BA42" s="2562"/>
      <c r="BB42" s="2565"/>
      <c r="BC42" s="2411"/>
      <c r="BI42" s="1439">
        <v>34</v>
      </c>
    </row>
    <row customHeight="1" ht="14.699999999999998">
      <c r="Q43" s="575"/>
      <c r="R43" s="660"/>
      <c r="S43" s="2557"/>
      <c r="T43" s="2493"/>
      <c r="U43" s="1315"/>
      <c r="V43" s="2484"/>
      <c r="W43" s="2485"/>
      <c r="X43" s="2484"/>
      <c r="Y43" s="2485"/>
      <c r="Z43" s="2579"/>
      <c r="AA43" s="2599"/>
      <c r="AB43" s="2600"/>
      <c r="AC43" s="2562"/>
      <c r="AD43" s="2614"/>
      <c r="AE43" s="2615"/>
      <c r="AF43" s="2615"/>
      <c r="AG43" s="2616"/>
      <c r="AH43" s="2614"/>
      <c r="AI43" s="2615"/>
      <c r="AJ43" s="2615"/>
      <c r="AK43" s="2616"/>
      <c r="AL43" s="2614"/>
      <c r="AM43" s="2615"/>
      <c r="AN43" s="2615"/>
      <c r="AO43" s="2616"/>
      <c r="AP43" s="2614"/>
      <c r="AQ43" s="2615"/>
      <c r="AR43" s="2615"/>
      <c r="AS43" s="2616"/>
      <c r="AT43" s="2484"/>
      <c r="AU43" s="2485"/>
      <c r="AV43" s="2484"/>
      <c r="AW43" s="2485"/>
      <c r="AX43" s="2579"/>
      <c r="AY43" s="2599"/>
      <c r="AZ43" s="2600"/>
      <c r="BA43" s="2562"/>
      <c r="BB43" s="2565"/>
      <c r="BC43" s="2411"/>
      <c r="BI43" s="1439">
        <v>14</v>
      </c>
    </row>
    <row customHeight="1" ht="14.699999999999998">
      <c r="A44" s="1654"/>
      <c r="B44" s="1654" t="s">
        <v>165</v>
      </c>
      <c r="C44" s="1654" t="s">
        <v>166</v>
      </c>
      <c r="D44" s="1654" t="s">
        <v>167</v>
      </c>
      <c r="E44" s="1648" t="s">
        <v>494</v>
      </c>
      <c r="F44" s="1648" t="s">
        <v>495</v>
      </c>
      <c r="G44" s="1648" t="s">
        <v>496</v>
      </c>
      <c r="H44" s="1648" t="s">
        <v>497</v>
      </c>
      <c r="I44" s="1648" t="s">
        <v>498</v>
      </c>
      <c r="J44" s="1648" t="s">
        <v>499</v>
      </c>
      <c r="K44" s="1648" t="s">
        <v>500</v>
      </c>
      <c r="L44" s="1648" t="s">
        <v>475</v>
      </c>
      <c r="Q44" s="575"/>
      <c r="R44" s="660"/>
      <c r="S44" s="2557"/>
      <c r="T44" s="2493"/>
      <c r="U44" s="586"/>
      <c r="V44" s="1732" t="s">
        <v>550</v>
      </c>
      <c r="W44" s="1732" t="s">
        <v>551</v>
      </c>
      <c r="X44" s="1732" t="s">
        <v>550</v>
      </c>
      <c r="Y44" s="1732" t="s">
        <v>551</v>
      </c>
      <c r="Z44" s="1739" t="s">
        <v>503</v>
      </c>
      <c r="AA44" s="2554" t="s">
        <v>504</v>
      </c>
      <c r="AB44" s="2555"/>
      <c r="AC44" s="2563"/>
      <c r="AD44" s="2617"/>
      <c r="AE44" s="2618"/>
      <c r="AF44" s="2618"/>
      <c r="AG44" s="2619"/>
      <c r="AH44" s="2617"/>
      <c r="AI44" s="2618"/>
      <c r="AJ44" s="2618"/>
      <c r="AK44" s="2619"/>
      <c r="AL44" s="2617"/>
      <c r="AM44" s="2618"/>
      <c r="AN44" s="2618"/>
      <c r="AO44" s="2619"/>
      <c r="AP44" s="2617"/>
      <c r="AQ44" s="2618"/>
      <c r="AR44" s="2618"/>
      <c r="AS44" s="2619"/>
      <c r="AT44" s="1732" t="s">
        <v>550</v>
      </c>
      <c r="AU44" s="1732" t="s">
        <v>551</v>
      </c>
      <c r="AV44" s="1732" t="s">
        <v>550</v>
      </c>
      <c r="AW44" s="1732" t="s">
        <v>551</v>
      </c>
      <c r="AX44" s="1739" t="s">
        <v>503</v>
      </c>
      <c r="AY44" s="2554" t="s">
        <v>504</v>
      </c>
      <c r="AZ44" s="2555"/>
      <c r="BA44" s="2563"/>
      <c r="BB44" s="2566"/>
      <c r="BC44" s="2411"/>
      <c r="BI44" s="1439">
        <v>14</v>
      </c>
    </row>
    <row s="31261" customFormat="1" customHeight="1" ht="11.25" hidden="1">
      <c r="A45" s="1654"/>
      <c r="B45" s="1654"/>
      <c r="C45" s="1654"/>
      <c r="D45" s="1654"/>
      <c r="E45" s="1654"/>
      <c r="F45" s="1654"/>
      <c r="G45" s="1654"/>
      <c r="H45" s="1654"/>
      <c r="I45" s="1654"/>
      <c r="J45" s="1654"/>
      <c r="K45" s="1654"/>
      <c r="L45" s="1648"/>
      <c r="M45" s="1646"/>
      <c r="N45" s="1646"/>
      <c r="O45" s="1646"/>
      <c r="P45" s="794"/>
      <c r="Q45" s="1538"/>
      <c r="R45" s="1538">
        <v>1</v>
      </c>
      <c r="S45" s="1561" t="s">
        <v>141</v>
      </c>
      <c r="T45" s="1539" t="s">
        <v>105</v>
      </c>
      <c r="U45" s="1529" t="str">
        <f>OFFSET(U45,0,-1)</f>
        <v>2</v>
      </c>
      <c r="V45" s="1735">
        <f>OFFSET(V45,0,-1)+1</f>
        <v>3</v>
      </c>
      <c r="W45" s="1735">
        <f>OFFSET(W45,0,-1)+1</f>
        <v>4</v>
      </c>
      <c r="X45" s="1735">
        <f>OFFSET(X45,0,-1)+1</f>
        <v>5</v>
      </c>
      <c r="Y45" s="1735">
        <f>OFFSET(Y45,0,-1)+1</f>
        <v>6</v>
      </c>
      <c r="Z45" s="1735">
        <f>OFFSET(Z45,0,-1)+1</f>
        <v>7</v>
      </c>
      <c r="AA45" s="2556">
        <f>OFFSET(AA45,0,-1)+1</f>
        <v>8</v>
      </c>
      <c r="AB45" s="2556"/>
      <c r="AC45" s="1735">
        <f>OFFSET(AC45,0,-2)+1</f>
        <v>9</v>
      </c>
      <c r="AD45" s="1735">
        <f>OFFSET(AD45,0,-1)+1</f>
        <v>10</v>
      </c>
      <c r="AE45" s="1735"/>
      <c r="AF45" s="1735"/>
      <c r="AG45" s="1735"/>
      <c r="AH45" s="1735"/>
      <c r="AI45" s="1735"/>
      <c r="AJ45" s="1735"/>
      <c r="AK45" s="1735"/>
      <c r="AL45" s="1735"/>
      <c r="AM45" s="1735"/>
      <c r="AN45" s="1735"/>
      <c r="AO45" s="1735"/>
      <c r="AP45" s="1735"/>
      <c r="AQ45" s="1735"/>
      <c r="AR45" s="1735"/>
      <c r="AS45" s="1735"/>
      <c r="AT45" s="1735"/>
      <c r="AU45" s="1735"/>
      <c r="AV45" s="1735"/>
      <c r="AW45" s="1735">
        <f>OFFSET(AW45,0,-1)+1</f>
        <v>1</v>
      </c>
      <c r="AX45" s="1735">
        <f>OFFSET(AX45,0,-1)+1</f>
        <v>2</v>
      </c>
      <c r="AY45" s="2556">
        <f>OFFSET(AY45,0,-1)+1</f>
        <v>3</v>
      </c>
      <c r="AZ45" s="2556"/>
      <c r="BA45" s="1735">
        <f>OFFSET(BA45,0,-2)+1</f>
        <v>4</v>
      </c>
      <c r="BB45" s="1529">
        <f>OFFSET(BB45,0,-1)</f>
        <v>4</v>
      </c>
      <c r="BC45" s="1735">
        <f>OFFSET(BC45,0,-1)+1</f>
        <v>5</v>
      </c>
      <c r="BD45" s="795"/>
      <c r="BE45" s="795"/>
      <c r="BF45" s="795"/>
      <c r="BG45" s="795"/>
      <c r="BH45" s="795"/>
      <c r="BI45" s="780">
        <v>0</v>
      </c>
    </row>
    <row customHeight="1" ht="22.049999999999997">
      <c r="A46" s="1647" t="s">
        <v>306</v>
      </c>
      <c r="B46" s="1647"/>
      <c r="C46" s="1647"/>
      <c r="D46" s="1647"/>
      <c r="E46" s="2542">
        <v>1</v>
      </c>
      <c r="F46" s="1647"/>
      <c r="G46" s="1647"/>
      <c r="H46" s="1647"/>
      <c r="I46" s="1647"/>
      <c r="J46" s="1647"/>
      <c r="K46" s="1647"/>
      <c r="L46" s="1648"/>
      <c r="M46" s="1649"/>
      <c r="N46" s="1649"/>
      <c r="O46" s="1649"/>
      <c r="P46" s="1693"/>
      <c r="Q46" s="1157"/>
      <c r="R46" s="639"/>
      <c r="S46" s="1741">
        <f>INDEX(PT_DIFFERENTIATION_NUM_NTAR,MATCH(A46,PT_DIFFERENTIATION_NTAR_ID,0))</f>
        <v>0</v>
      </c>
      <c r="T46" s="582" t="s">
        <v>153</v>
      </c>
      <c r="U46" s="584"/>
      <c r="V46" s="2527"/>
      <c r="W46" s="2527"/>
      <c r="X46" s="2527"/>
      <c r="Y46" s="2527"/>
      <c r="Z46" s="2527"/>
      <c r="AA46" s="2527"/>
      <c r="AB46" s="2527"/>
      <c r="AC46" s="2528"/>
      <c r="AD46" s="2526" t="str">
        <f>INDEX(PT_DIFFERENTIATION_NTAR,MATCH(A46,PT_DIFFERENTIATION_NTAR_ID,0))</f>
        <v/>
      </c>
      <c r="AE46" s="2527"/>
      <c r="AF46" s="2527"/>
      <c r="AG46" s="2527"/>
      <c r="AH46" s="2527"/>
      <c r="AI46" s="2527"/>
      <c r="AJ46" s="2527"/>
      <c r="AK46" s="2527"/>
      <c r="AL46" s="2527"/>
      <c r="AM46" s="2527"/>
      <c r="AN46" s="2527"/>
      <c r="AO46" s="2527"/>
      <c r="AP46" s="2527"/>
      <c r="AQ46" s="2527"/>
      <c r="AR46" s="2527"/>
      <c r="AS46" s="2527"/>
      <c r="AT46" s="2527"/>
      <c r="AU46" s="2527"/>
      <c r="AV46" s="2527"/>
      <c r="AW46" s="2527"/>
      <c r="AX46" s="2527"/>
      <c r="AY46" s="2527"/>
      <c r="AZ46" s="2527"/>
      <c r="BA46" s="2527"/>
      <c r="BB46" s="2528"/>
      <c r="BC46"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784"/>
      <c r="BF46" s="784" t="str">
        <f>IF(T46="","",T46)</f>
        <v>Наименование тарифа</v>
      </c>
      <c r="BG46" s="784"/>
      <c r="BH46" s="784"/>
      <c r="BI46" s="1439">
        <v>21</v>
      </c>
    </row>
    <row customHeight="1" ht="22.049999999999997">
      <c r="A47" s="1647" t="s">
        <v>306</v>
      </c>
      <c r="B47" s="1647" t="s">
        <v>307</v>
      </c>
      <c r="C47" s="1647"/>
      <c r="D47" s="1647"/>
      <c r="E47" s="2543"/>
      <c r="F47" s="2542">
        <v>1</v>
      </c>
      <c r="G47" s="1647"/>
      <c r="H47" s="1647"/>
      <c r="I47" s="1647"/>
      <c r="J47" s="1647"/>
      <c r="K47" s="1647"/>
      <c r="L47" s="1648"/>
      <c r="M47" s="1649"/>
      <c r="N47" s="1649"/>
      <c r="O47" s="1649"/>
      <c r="P47" s="1694"/>
      <c r="Q47" s="1695"/>
      <c r="R47" s="637"/>
      <c r="S47" s="1741" t="str">
        <f>INDEX(PT_DIFFERENTIATION_NUM_TER,MATCH(B47,PT_DIFFERENTIATION_TER_ID,0))</f>
        <v>.</v>
      </c>
      <c r="T47" s="592" t="s">
        <v>457</v>
      </c>
      <c r="U47" s="584"/>
      <c r="V47" s="2527"/>
      <c r="W47" s="2527"/>
      <c r="X47" s="2527"/>
      <c r="Y47" s="2527"/>
      <c r="Z47" s="2527"/>
      <c r="AA47" s="2527"/>
      <c r="AB47" s="2527"/>
      <c r="AC47" s="2528"/>
      <c r="AD47" s="2526" t="str">
        <f>INDEX(PT_DIFFERENTIATION_TER,MATCH(B47,PT_DIFFERENTIATION_TER_ID,0))</f>
        <v/>
      </c>
      <c r="AE47" s="2527"/>
      <c r="AF47" s="2527"/>
      <c r="AG47" s="2527"/>
      <c r="AH47" s="2527"/>
      <c r="AI47" s="2527"/>
      <c r="AJ47" s="2527"/>
      <c r="AK47" s="2527"/>
      <c r="AL47" s="2527"/>
      <c r="AM47" s="2527"/>
      <c r="AN47" s="2527"/>
      <c r="AO47" s="2527"/>
      <c r="AP47" s="2527"/>
      <c r="AQ47" s="2527"/>
      <c r="AR47" s="2527"/>
      <c r="AS47" s="2527"/>
      <c r="AT47" s="2527"/>
      <c r="AU47" s="2527"/>
      <c r="AV47" s="2527"/>
      <c r="AW47" s="2527"/>
      <c r="AX47" s="2527"/>
      <c r="AY47" s="2527"/>
      <c r="AZ47" s="2527"/>
      <c r="BA47" s="2527"/>
      <c r="BB47" s="2528"/>
      <c r="BC47" s="1542" t="s">
        <v>458</v>
      </c>
      <c r="BE47" s="784"/>
      <c r="BF47" s="784" t="str">
        <f>IF(T47="","",T47)</f>
        <v>Территория действия тарифа</v>
      </c>
      <c r="BG47" s="784"/>
      <c r="BH47" s="784"/>
      <c r="BI47" s="1439">
        <v>21</v>
      </c>
    </row>
    <row customHeight="1" ht="43.050000000000004">
      <c r="A48" s="1647" t="s">
        <v>306</v>
      </c>
      <c r="B48" s="1647" t="s">
        <v>307</v>
      </c>
      <c r="C48" s="1647" t="s">
        <v>308</v>
      </c>
      <c r="D48" s="1647"/>
      <c r="E48" s="2543"/>
      <c r="F48" s="2543"/>
      <c r="G48" s="2542">
        <v>1</v>
      </c>
      <c r="H48" s="1647"/>
      <c r="I48" s="1647"/>
      <c r="J48" s="1647"/>
      <c r="K48" s="1647"/>
      <c r="L48" s="1648"/>
      <c r="M48" s="1649"/>
      <c r="N48" s="1649"/>
      <c r="O48" s="1649"/>
      <c r="P48" s="1696"/>
      <c r="Q48" s="1695"/>
      <c r="R48" s="637"/>
      <c r="S48" s="1741" t="str">
        <f>INDEX(PT_DIFFERENTIATION_NUM_CS,MATCH(C48,PT_DIFFERENTIATION_CS_ID,0))</f>
        <v>..</v>
      </c>
      <c r="T48" s="593" t="s">
        <v>553</v>
      </c>
      <c r="U48" s="584"/>
      <c r="V48" s="2527"/>
      <c r="W48" s="2527"/>
      <c r="X48" s="2527"/>
      <c r="Y48" s="2527"/>
      <c r="Z48" s="2527"/>
      <c r="AA48" s="2527"/>
      <c r="AB48" s="2527"/>
      <c r="AC48" s="2528"/>
      <c r="AD48" s="2526" t="str">
        <f>INDEX(PT_DIFFERENTIATION_CS,MATCH(C48,PT_DIFFERENTIATION_CS_ID,0))</f>
        <v/>
      </c>
      <c r="AE48" s="2527"/>
      <c r="AF48" s="2527"/>
      <c r="AG48" s="2527"/>
      <c r="AH48" s="2527"/>
      <c r="AI48" s="2527"/>
      <c r="AJ48" s="2527"/>
      <c r="AK48" s="2527"/>
      <c r="AL48" s="2527"/>
      <c r="AM48" s="2527"/>
      <c r="AN48" s="2527"/>
      <c r="AO48" s="2527"/>
      <c r="AP48" s="2527"/>
      <c r="AQ48" s="2527"/>
      <c r="AR48" s="2527"/>
      <c r="AS48" s="2527"/>
      <c r="AT48" s="2527"/>
      <c r="AU48" s="2527"/>
      <c r="AV48" s="2527"/>
      <c r="AW48" s="2527"/>
      <c r="AX48" s="2527"/>
      <c r="AY48" s="2527"/>
      <c r="AZ48" s="2527"/>
      <c r="BA48" s="2527"/>
      <c r="BB48" s="2528"/>
      <c r="BC48" s="1542" t="s">
        <v>554</v>
      </c>
      <c r="BE48" s="784"/>
      <c r="BF48" s="784" t="str">
        <f>IF(T48="","",T48)</f>
        <v>Наименование централизованной системы холодного водоснабжения</v>
      </c>
      <c r="BG48" s="784"/>
      <c r="BH48" s="784"/>
      <c r="BI48" s="1439">
        <v>41</v>
      </c>
    </row>
    <row s="30621" customFormat="1" customHeight="1" ht="0">
      <c r="A49" s="1627" t="s">
        <v>306</v>
      </c>
      <c r="B49" s="1627" t="s">
        <v>307</v>
      </c>
      <c r="C49" s="1627" t="s">
        <v>308</v>
      </c>
      <c r="D49" s="1627" t="s">
        <v>587</v>
      </c>
      <c r="E49" s="2543"/>
      <c r="F49" s="2543"/>
      <c r="G49" s="2543"/>
      <c r="H49" s="2542">
        <v>1</v>
      </c>
      <c r="I49" s="1627"/>
      <c r="J49" s="1627"/>
      <c r="K49" s="1627"/>
      <c r="L49" s="1630"/>
      <c r="M49" s="1599"/>
      <c r="N49" s="1599"/>
      <c r="O49" s="1599"/>
      <c r="P49" s="1781"/>
      <c r="Q49" s="1782"/>
      <c r="R49" s="641"/>
      <c r="S49" s="1326"/>
      <c r="T49" s="1783"/>
      <c r="U49" s="1668"/>
      <c r="V49" s="2581"/>
      <c r="W49" s="2581"/>
      <c r="X49" s="2581"/>
      <c r="Y49" s="2581"/>
      <c r="Z49" s="2581"/>
      <c r="AA49" s="2581"/>
      <c r="AB49" s="2581"/>
      <c r="AC49" s="2582"/>
      <c r="AD49" s="2580"/>
      <c r="AE49" s="2581"/>
      <c r="AF49" s="2581"/>
      <c r="AG49" s="2581"/>
      <c r="AH49" s="2581"/>
      <c r="AI49" s="2581"/>
      <c r="AJ49" s="2581"/>
      <c r="AK49" s="2581"/>
      <c r="AL49" s="2581"/>
      <c r="AM49" s="2581"/>
      <c r="AN49" s="2581"/>
      <c r="AO49" s="2581"/>
      <c r="AP49" s="2581"/>
      <c r="AQ49" s="2581"/>
      <c r="AR49" s="2581"/>
      <c r="AS49" s="2581"/>
      <c r="AT49" s="2581"/>
      <c r="AU49" s="2581"/>
      <c r="AV49" s="2581"/>
      <c r="AW49" s="2581"/>
      <c r="AX49" s="2581"/>
      <c r="AY49" s="2581"/>
      <c r="AZ49" s="2581"/>
      <c r="BA49" s="2581"/>
      <c r="BB49" s="2582"/>
      <c r="BC49" s="1669" t="s">
        <v>462</v>
      </c>
      <c r="BE49" s="784"/>
      <c r="BF49" s="784" t="str">
        <f>IF(T49="","",T49)</f>
        <v/>
      </c>
      <c r="BG49" s="784"/>
      <c r="BH49" s="784"/>
      <c r="BI49" s="795">
        <v>0</v>
      </c>
    </row>
    <row s="30621" customFormat="1" customHeight="1" ht="0">
      <c r="A50" s="1627" t="s">
        <v>306</v>
      </c>
      <c r="B50" s="1627" t="s">
        <v>307</v>
      </c>
      <c r="C50" s="1627" t="s">
        <v>308</v>
      </c>
      <c r="D50" s="1627" t="s">
        <v>587</v>
      </c>
      <c r="E50" s="2543"/>
      <c r="F50" s="2543"/>
      <c r="G50" s="2543"/>
      <c r="H50" s="2543"/>
      <c r="I50" s="2540" t="str">
        <f>S49&amp;".1"</f>
        <v>.1</v>
      </c>
      <c r="J50" s="1627"/>
      <c r="K50" s="1627"/>
      <c r="L50" s="1630" t="s">
        <v>463</v>
      </c>
      <c r="M50" s="794"/>
      <c r="N50" s="794"/>
      <c r="O50" s="794"/>
      <c r="P50" s="2541">
        <v>1</v>
      </c>
      <c r="Q50" s="1746"/>
      <c r="R50" s="640"/>
      <c r="S50" s="1326"/>
      <c r="T50" s="1667"/>
      <c r="U50" s="1668"/>
      <c r="V50" s="2581"/>
      <c r="W50" s="2581"/>
      <c r="X50" s="2581"/>
      <c r="Y50" s="2581"/>
      <c r="Z50" s="2581"/>
      <c r="AA50" s="2581"/>
      <c r="AB50" s="2581"/>
      <c r="AC50" s="2582"/>
      <c r="AD50" s="2580"/>
      <c r="AE50" s="2581"/>
      <c r="AF50" s="2581"/>
      <c r="AG50" s="2581"/>
      <c r="AH50" s="2581"/>
      <c r="AI50" s="2581"/>
      <c r="AJ50" s="2581"/>
      <c r="AK50" s="2581"/>
      <c r="AL50" s="2581"/>
      <c r="AM50" s="2581"/>
      <c r="AN50" s="2581"/>
      <c r="AO50" s="2581"/>
      <c r="AP50" s="2581"/>
      <c r="AQ50" s="2581"/>
      <c r="AR50" s="2581"/>
      <c r="AS50" s="2581"/>
      <c r="AT50" s="2581"/>
      <c r="AU50" s="2581"/>
      <c r="AV50" s="2581"/>
      <c r="AW50" s="2581"/>
      <c r="AX50" s="2581"/>
      <c r="AY50" s="2581"/>
      <c r="AZ50" s="2581"/>
      <c r="BA50" s="2581"/>
      <c r="BB50" s="2582"/>
      <c r="BC50" s="1669"/>
      <c r="BE50" s="784"/>
      <c r="BF50" s="784" t="str">
        <f>IF(T50="","",T50)</f>
        <v/>
      </c>
      <c r="BG50" s="784"/>
      <c r="BH50" s="784"/>
      <c r="BI50" s="795">
        <v>0</v>
      </c>
    </row>
    <row s="30621" customFormat="1" customHeight="1" ht="0">
      <c r="A51" s="1627" t="s">
        <v>306</v>
      </c>
      <c r="B51" s="1627" t="s">
        <v>307</v>
      </c>
      <c r="C51" s="1627" t="s">
        <v>308</v>
      </c>
      <c r="D51" s="1627" t="s">
        <v>587</v>
      </c>
      <c r="E51" s="2543"/>
      <c r="F51" s="2543"/>
      <c r="G51" s="2543"/>
      <c r="H51" s="2543"/>
      <c r="I51" s="2570"/>
      <c r="J51" s="2540" t="str">
        <f>S49&amp;".1"</f>
        <v>.1</v>
      </c>
      <c r="K51" s="1627"/>
      <c r="L51" s="1630"/>
      <c r="M51" s="794"/>
      <c r="N51" s="794"/>
      <c r="O51" s="794"/>
      <c r="P51" s="2541"/>
      <c r="Q51" s="2541">
        <v>1</v>
      </c>
      <c r="R51" s="641"/>
      <c r="S51" s="1326"/>
      <c r="T51" s="1683"/>
      <c r="U51" s="1668"/>
      <c r="V51" s="2581"/>
      <c r="W51" s="2581"/>
      <c r="X51" s="2581"/>
      <c r="Y51" s="2581"/>
      <c r="Z51" s="2581"/>
      <c r="AA51" s="2581"/>
      <c r="AB51" s="2581"/>
      <c r="AC51" s="2582"/>
      <c r="AD51" s="2580"/>
      <c r="AE51" s="2581"/>
      <c r="AF51" s="2581"/>
      <c r="AG51" s="2581"/>
      <c r="AH51" s="2581"/>
      <c r="AI51" s="2581"/>
      <c r="AJ51" s="2581"/>
      <c r="AK51" s="2581"/>
      <c r="AL51" s="2581"/>
      <c r="AM51" s="2581"/>
      <c r="AN51" s="2648"/>
      <c r="AO51" s="2648"/>
      <c r="AP51" s="2581"/>
      <c r="AQ51" s="2581"/>
      <c r="AR51" s="2581"/>
      <c r="AS51" s="2581"/>
      <c r="AT51" s="2581"/>
      <c r="AU51" s="2581"/>
      <c r="AV51" s="2581"/>
      <c r="AW51" s="2581"/>
      <c r="AX51" s="2581"/>
      <c r="AY51" s="2581"/>
      <c r="AZ51" s="2581"/>
      <c r="BA51" s="2581"/>
      <c r="BB51" s="2582"/>
      <c r="BC51" s="1669"/>
      <c r="BE51" s="784"/>
      <c r="BF51" s="784" t="str">
        <f>IF(T51="","",T51)</f>
        <v/>
      </c>
      <c r="BG51" s="784"/>
      <c r="BH51" s="784"/>
      <c r="BI51" s="795">
        <v>0</v>
      </c>
    </row>
    <row customHeight="1" ht="11.549999999999999">
      <c r="A52" s="1647" t="s">
        <v>306</v>
      </c>
      <c r="B52" s="1647" t="s">
        <v>307</v>
      </c>
      <c r="C52" s="1647" t="s">
        <v>308</v>
      </c>
      <c r="D52" s="1647" t="s">
        <v>587</v>
      </c>
      <c r="E52" s="2543"/>
      <c r="F52" s="2543"/>
      <c r="G52" s="2543"/>
      <c r="H52" s="2543"/>
      <c r="I52" s="2570"/>
      <c r="J52" s="2570"/>
      <c r="K52" s="2540" t="str">
        <f>S48&amp;".1"</f>
        <v>...1</v>
      </c>
      <c r="L52" s="1648"/>
      <c r="P52" s="2541"/>
      <c r="Q52" s="2541"/>
      <c r="R52" s="641">
        <v>1</v>
      </c>
      <c r="S52" s="2625" t="str">
        <f>$K52</f>
        <v>...1</v>
      </c>
      <c r="T52" s="2644"/>
      <c r="U52" s="584"/>
      <c r="V52" s="1035"/>
      <c r="W52" s="1541"/>
      <c r="X52" s="1035"/>
      <c r="Y52" s="1541"/>
      <c r="Z52" s="2018"/>
      <c r="AA52" s="1743" t="s">
        <v>64</v>
      </c>
      <c r="AB52" s="2018"/>
      <c r="AC52" s="1743" t="s">
        <v>64</v>
      </c>
      <c r="AD52" s="2469" t="s">
        <v>64</v>
      </c>
      <c r="AE52" s="2610"/>
      <c r="AF52" s="2489">
        <v>1</v>
      </c>
      <c r="AG52" s="2647"/>
      <c r="AH52" s="2391" t="s">
        <v>64</v>
      </c>
      <c r="AI52" s="2610"/>
      <c r="AJ52" s="2489">
        <v>1</v>
      </c>
      <c r="AK52" s="2611" t="s">
        <v>28</v>
      </c>
      <c r="AL52" s="2391" t="s">
        <v>64</v>
      </c>
      <c r="AM52" s="2476"/>
      <c r="AN52" s="2489">
        <v>1</v>
      </c>
      <c r="AO52" s="2641"/>
      <c r="AP52" s="2642" t="s">
        <v>64</v>
      </c>
      <c r="AQ52" s="595"/>
      <c r="AR52" s="1747">
        <v>1</v>
      </c>
      <c r="AS52" s="1750" t="s">
        <v>28</v>
      </c>
      <c r="AT52" s="1035"/>
      <c r="AU52" s="1541"/>
      <c r="AV52" s="1035"/>
      <c r="AW52" s="1541"/>
      <c r="AX52" s="2018"/>
      <c r="AY52" s="1743" t="s">
        <v>64</v>
      </c>
      <c r="AZ52" s="2018"/>
      <c r="BA52" s="1743" t="s">
        <v>64</v>
      </c>
      <c r="BB52" s="1632"/>
      <c r="BC52" s="2537" t="s">
        <v>573</v>
      </c>
      <c r="BE52" s="784"/>
      <c r="BF52" s="784" t="str">
        <f>IF(T52="","",T52)</f>
        <v/>
      </c>
      <c r="BG52" s="784"/>
      <c r="BH52" s="784"/>
      <c r="BI52" s="1439">
        <v>11</v>
      </c>
    </row>
    <row customHeight="1" ht="11.549999999999999">
      <c r="A53" s="1647"/>
      <c r="B53" s="1647"/>
      <c r="C53" s="1647"/>
      <c r="D53" s="1647"/>
      <c r="E53" s="2543"/>
      <c r="F53" s="2543"/>
      <c r="G53" s="2543"/>
      <c r="H53" s="2543"/>
      <c r="I53" s="2570"/>
      <c r="J53" s="2570"/>
      <c r="K53" s="2540"/>
      <c r="L53" s="1648"/>
      <c r="P53" s="2541"/>
      <c r="Q53" s="2541"/>
      <c r="R53" s="641"/>
      <c r="S53" s="2626"/>
      <c r="T53" s="2645"/>
      <c r="U53" s="584"/>
      <c r="V53" s="1677"/>
      <c r="W53" s="1780"/>
      <c r="X53" s="1677"/>
      <c r="Y53" s="1780"/>
      <c r="Z53" s="1677"/>
      <c r="AA53" s="1677"/>
      <c r="AB53" s="1677"/>
      <c r="AC53" s="1677"/>
      <c r="AD53" s="2470"/>
      <c r="AE53" s="2610"/>
      <c r="AF53" s="2489"/>
      <c r="AG53" s="2647"/>
      <c r="AH53" s="2391"/>
      <c r="AI53" s="2610"/>
      <c r="AJ53" s="2489"/>
      <c r="AK53" s="2611"/>
      <c r="AL53" s="2391"/>
      <c r="AM53" s="2484"/>
      <c r="AN53" s="2489"/>
      <c r="AO53" s="2641"/>
      <c r="AP53" s="2643"/>
      <c r="AQ53" s="600"/>
      <c r="AR53" s="700"/>
      <c r="AS53" s="700" t="s">
        <v>574</v>
      </c>
      <c r="AT53" s="1677"/>
      <c r="AU53" s="1780"/>
      <c r="AV53" s="1677"/>
      <c r="AW53" s="1780"/>
      <c r="AX53" s="1677"/>
      <c r="AY53" s="1677"/>
      <c r="AZ53" s="1677"/>
      <c r="BA53" s="1677"/>
      <c r="BB53" s="1681"/>
      <c r="BC53" s="2538"/>
      <c r="BE53" s="784"/>
      <c r="BF53" s="784"/>
      <c r="BG53" s="784"/>
      <c r="BH53" s="784"/>
      <c r="BI53" s="1439">
        <v>11</v>
      </c>
    </row>
    <row customHeight="1" ht="11.549999999999999">
      <c r="A54" s="1647" t="s">
        <v>306</v>
      </c>
      <c r="B54" s="1647"/>
      <c r="C54" s="1647"/>
      <c r="D54" s="1647"/>
      <c r="E54" s="2543"/>
      <c r="F54" s="2543"/>
      <c r="G54" s="2543"/>
      <c r="H54" s="2543"/>
      <c r="I54" s="2570"/>
      <c r="J54" s="2570"/>
      <c r="K54" s="2540"/>
      <c r="L54" s="1648"/>
      <c r="P54" s="2541"/>
      <c r="Q54" s="2541"/>
      <c r="R54" s="641"/>
      <c r="S54" s="2626"/>
      <c r="T54" s="2645"/>
      <c r="U54" s="584"/>
      <c r="V54" s="1677"/>
      <c r="W54" s="1780"/>
      <c r="X54" s="1677"/>
      <c r="Y54" s="1780"/>
      <c r="Z54" s="1677"/>
      <c r="AA54" s="1677"/>
      <c r="AB54" s="1677"/>
      <c r="AC54" s="1677"/>
      <c r="AD54" s="2470"/>
      <c r="AE54" s="2610"/>
      <c r="AF54" s="2489"/>
      <c r="AG54" s="2647"/>
      <c r="AH54" s="2391"/>
      <c r="AI54" s="2610"/>
      <c r="AJ54" s="2489"/>
      <c r="AK54" s="2611"/>
      <c r="AL54" s="2391"/>
      <c r="AM54" s="600"/>
      <c r="AN54" s="1784"/>
      <c r="AO54" s="1784" t="s">
        <v>575</v>
      </c>
      <c r="AP54" s="700"/>
      <c r="AQ54" s="700"/>
      <c r="AR54" s="700"/>
      <c r="AS54" s="1677"/>
      <c r="AT54" s="1677"/>
      <c r="AU54" s="1780"/>
      <c r="AV54" s="1677"/>
      <c r="AW54" s="1780"/>
      <c r="AX54" s="1677"/>
      <c r="AY54" s="1677"/>
      <c r="AZ54" s="1677"/>
      <c r="BA54" s="1677"/>
      <c r="BB54" s="1681"/>
      <c r="BC54" s="2538"/>
      <c r="BE54" s="784"/>
      <c r="BF54" s="784"/>
      <c r="BG54" s="784"/>
      <c r="BH54" s="784"/>
      <c r="BI54" s="1439">
        <v>11</v>
      </c>
    </row>
    <row customHeight="1" ht="11.549999999999999">
      <c r="A55" s="1647" t="s">
        <v>306</v>
      </c>
      <c r="B55" s="1647"/>
      <c r="C55" s="1647"/>
      <c r="D55" s="1647"/>
      <c r="E55" s="2543"/>
      <c r="F55" s="2543"/>
      <c r="G55" s="2543"/>
      <c r="H55" s="2543"/>
      <c r="I55" s="2570"/>
      <c r="J55" s="2570"/>
      <c r="K55" s="2540"/>
      <c r="L55" s="1648"/>
      <c r="P55" s="2541"/>
      <c r="Q55" s="2541"/>
      <c r="R55" s="641"/>
      <c r="S55" s="2626"/>
      <c r="T55" s="2645"/>
      <c r="U55" s="584"/>
      <c r="V55" s="1677"/>
      <c r="W55" s="1780"/>
      <c r="X55" s="1677"/>
      <c r="Y55" s="1780"/>
      <c r="Z55" s="1677"/>
      <c r="AA55" s="1677"/>
      <c r="AB55" s="1677"/>
      <c r="AC55" s="1677"/>
      <c r="AD55" s="2470"/>
      <c r="AE55" s="2610"/>
      <c r="AF55" s="2489"/>
      <c r="AG55" s="2647"/>
      <c r="AH55" s="2391"/>
      <c r="AI55" s="578"/>
      <c r="AJ55" s="699"/>
      <c r="AK55" s="597" t="s">
        <v>576</v>
      </c>
      <c r="AL55" s="1677"/>
      <c r="AM55" s="1677"/>
      <c r="AN55" s="1677"/>
      <c r="AO55" s="1677"/>
      <c r="AP55" s="1677"/>
      <c r="AQ55" s="1677"/>
      <c r="AR55" s="1677"/>
      <c r="AS55" s="1677"/>
      <c r="AT55" s="1677"/>
      <c r="AU55" s="1780"/>
      <c r="AV55" s="1677"/>
      <c r="AW55" s="1780"/>
      <c r="AX55" s="1677"/>
      <c r="AY55" s="1677"/>
      <c r="AZ55" s="1677"/>
      <c r="BA55" s="1677"/>
      <c r="BB55" s="1681"/>
      <c r="BC55" s="2538"/>
      <c r="BE55" s="784"/>
      <c r="BF55" s="784"/>
      <c r="BG55" s="784"/>
      <c r="BH55" s="784"/>
      <c r="BI55" s="1439">
        <v>11</v>
      </c>
    </row>
    <row customHeight="1" ht="11.549999999999999">
      <c r="A56" s="1647" t="s">
        <v>306</v>
      </c>
      <c r="B56" s="1647" t="s">
        <v>307</v>
      </c>
      <c r="C56" s="1647" t="s">
        <v>308</v>
      </c>
      <c r="D56" s="1647" t="s">
        <v>587</v>
      </c>
      <c r="E56" s="2543"/>
      <c r="F56" s="2543"/>
      <c r="G56" s="2543"/>
      <c r="H56" s="2543"/>
      <c r="I56" s="2570"/>
      <c r="J56" s="2570"/>
      <c r="K56" s="2540"/>
      <c r="L56" s="1648"/>
      <c r="P56" s="2541"/>
      <c r="Q56" s="2541"/>
      <c r="R56" s="641"/>
      <c r="S56" s="2627"/>
      <c r="T56" s="2646"/>
      <c r="U56" s="584"/>
      <c r="V56" s="1677"/>
      <c r="W56" s="1678" t="str">
        <f>Z52&amp;"-"&amp;AB52</f>
        <v>-</v>
      </c>
      <c r="X56" s="1677"/>
      <c r="Y56" s="1678" t="str">
        <f>AB52&amp;"-"&amp;AD52</f>
        <v>-да</v>
      </c>
      <c r="Z56" s="1677"/>
      <c r="AA56" s="1677"/>
      <c r="AB56" s="1677"/>
      <c r="AC56" s="1677"/>
      <c r="AD56" s="2396"/>
      <c r="AE56" s="596"/>
      <c r="AF56" s="598"/>
      <c r="AG56" s="700" t="s">
        <v>577</v>
      </c>
      <c r="AH56" s="1677"/>
      <c r="AI56" s="1677"/>
      <c r="AJ56" s="1677"/>
      <c r="AK56" s="1677"/>
      <c r="AL56" s="1677"/>
      <c r="AM56" s="1677"/>
      <c r="AN56" s="1677"/>
      <c r="AO56" s="1677"/>
      <c r="AP56" s="1677"/>
      <c r="AQ56" s="1677"/>
      <c r="AR56" s="1677"/>
      <c r="AS56" s="1677"/>
      <c r="AT56" s="1677"/>
      <c r="AU56" s="1678" t="str">
        <f>AX52&amp;"-"&amp;AZ52</f>
        <v>-</v>
      </c>
      <c r="AV56" s="1677"/>
      <c r="AW56" s="1678" t="str">
        <f>AZ52&amp;"-"&amp;BB52</f>
        <v>-</v>
      </c>
      <c r="AX56" s="1677"/>
      <c r="AY56" s="1677"/>
      <c r="AZ56" s="1677"/>
      <c r="BA56" s="1677"/>
      <c r="BB56" s="1680" t="str">
        <f>BE52&amp;"-"&amp;BG52</f>
        <v>-</v>
      </c>
      <c r="BC56" s="2538"/>
      <c r="BE56" s="784"/>
      <c r="BF56" s="784" t="str">
        <f>IF(T56="","",T56)</f>
        <v/>
      </c>
      <c r="BG56" s="784"/>
      <c r="BH56" s="784"/>
      <c r="BI56" s="1439">
        <v>11</v>
      </c>
    </row>
    <row customHeight="1" ht="11.549999999999999">
      <c r="A57" s="1647" t="s">
        <v>306</v>
      </c>
      <c r="B57" s="1647" t="s">
        <v>307</v>
      </c>
      <c r="C57" s="1647" t="s">
        <v>308</v>
      </c>
      <c r="D57" s="1647" t="s">
        <v>587</v>
      </c>
      <c r="E57" s="2543"/>
      <c r="F57" s="2543"/>
      <c r="G57" s="2543"/>
      <c r="H57" s="2543"/>
      <c r="I57" s="2570"/>
      <c r="J57" s="2540"/>
      <c r="K57" s="1647"/>
      <c r="L57" s="1648"/>
      <c r="P57" s="2541"/>
      <c r="Q57" s="2541"/>
      <c r="R57" s="640"/>
      <c r="S57" s="1562"/>
      <c r="T57" s="571" t="s">
        <v>540</v>
      </c>
      <c r="U57" s="651"/>
      <c r="V57" s="651"/>
      <c r="W57" s="651"/>
      <c r="X57" s="651"/>
      <c r="Y57" s="651"/>
      <c r="Z57" s="651"/>
      <c r="AA57" s="651"/>
      <c r="AB57" s="651"/>
      <c r="AC57" s="608"/>
      <c r="AD57" s="1789"/>
      <c r="AE57" s="651"/>
      <c r="AF57" s="651"/>
      <c r="AG57" s="651"/>
      <c r="AH57" s="651"/>
      <c r="AI57" s="651"/>
      <c r="AJ57" s="651"/>
      <c r="AK57" s="651"/>
      <c r="AL57" s="651"/>
      <c r="AM57" s="651"/>
      <c r="AN57" s="651"/>
      <c r="AO57" s="651"/>
      <c r="AP57" s="651"/>
      <c r="AQ57" s="651"/>
      <c r="AR57" s="651"/>
      <c r="AS57" s="651"/>
      <c r="AT57" s="651"/>
      <c r="AU57" s="651"/>
      <c r="AV57" s="651"/>
      <c r="AW57" s="651"/>
      <c r="AX57" s="651"/>
      <c r="AY57" s="651"/>
      <c r="AZ57" s="651"/>
      <c r="BA57" s="651"/>
      <c r="BB57" s="608"/>
      <c r="BC57" s="2539"/>
      <c r="BE57" s="784"/>
      <c r="BF57" s="784" t="str">
        <f>IF(T57="","",T57)</f>
        <v>Добавить строку</v>
      </c>
      <c r="BG57" s="784"/>
      <c r="BH57" s="784"/>
      <c r="BI57" s="1439">
        <v>11</v>
      </c>
    </row>
    <row s="30621" customFormat="1" customHeight="1" ht="0">
      <c r="A58" s="1627" t="s">
        <v>306</v>
      </c>
      <c r="B58" s="1627" t="s">
        <v>307</v>
      </c>
      <c r="C58" s="1627" t="s">
        <v>308</v>
      </c>
      <c r="D58" s="1627" t="s">
        <v>587</v>
      </c>
      <c r="E58" s="2543"/>
      <c r="F58" s="2543"/>
      <c r="G58" s="2543"/>
      <c r="H58" s="2543"/>
      <c r="I58" s="2540"/>
      <c r="J58" s="1627"/>
      <c r="K58" s="1627"/>
      <c r="L58" s="1630"/>
      <c r="M58" s="794"/>
      <c r="N58" s="794"/>
      <c r="O58" s="794"/>
      <c r="P58" s="2541"/>
      <c r="Q58" s="1746"/>
      <c r="R58" s="640"/>
      <c r="S58" s="1670"/>
      <c r="T58" s="1671"/>
      <c r="U58" s="1672"/>
      <c r="V58" s="1672"/>
      <c r="W58" s="1672"/>
      <c r="X58" s="1672"/>
      <c r="Y58" s="1672"/>
      <c r="Z58" s="1672"/>
      <c r="AA58" s="1672"/>
      <c r="AB58" s="1672"/>
      <c r="AC58" s="1672"/>
      <c r="AD58" s="1672"/>
      <c r="AE58" s="1672"/>
      <c r="AF58" s="1672"/>
      <c r="AG58" s="1672"/>
      <c r="AH58" s="1672"/>
      <c r="AI58" s="1672"/>
      <c r="AJ58" s="1672"/>
      <c r="AK58" s="1672"/>
      <c r="AL58" s="1672"/>
      <c r="AM58" s="1672"/>
      <c r="AN58" s="1672"/>
      <c r="AO58" s="1672"/>
      <c r="AP58" s="1672"/>
      <c r="AQ58" s="1672"/>
      <c r="AR58" s="1672"/>
      <c r="AS58" s="1672"/>
      <c r="AT58" s="1672"/>
      <c r="AU58" s="1672"/>
      <c r="AV58" s="1672"/>
      <c r="AW58" s="1672"/>
      <c r="AX58" s="1672"/>
      <c r="AY58" s="1672"/>
      <c r="AZ58" s="1672"/>
      <c r="BA58" s="1672"/>
      <c r="BB58" s="1672"/>
      <c r="BC58" s="1673"/>
      <c r="BE58" s="784"/>
      <c r="BF58" s="784" t="str">
        <f>IF(T58="","",T58)</f>
        <v/>
      </c>
      <c r="BG58" s="784"/>
      <c r="BH58" s="784"/>
      <c r="BI58" s="795">
        <v>0</v>
      </c>
    </row>
    <row s="30621" customFormat="1" customHeight="1" ht="0">
      <c r="A59" s="1627" t="s">
        <v>306</v>
      </c>
      <c r="B59" s="1627" t="s">
        <v>307</v>
      </c>
      <c r="C59" s="1627" t="s">
        <v>308</v>
      </c>
      <c r="D59" s="1627" t="s">
        <v>587</v>
      </c>
      <c r="E59" s="2543"/>
      <c r="F59" s="2543"/>
      <c r="G59" s="2543"/>
      <c r="H59" s="2542"/>
      <c r="I59" s="1627"/>
      <c r="J59" s="1627"/>
      <c r="K59" s="1627"/>
      <c r="L59" s="1630"/>
      <c r="M59" s="1599"/>
      <c r="N59" s="1599"/>
      <c r="O59" s="802"/>
      <c r="P59" s="664"/>
      <c r="Q59" s="1628"/>
      <c r="R59" s="1685"/>
      <c r="S59" s="1670"/>
      <c r="T59" s="1671"/>
      <c r="U59" s="1672"/>
      <c r="V59" s="1672"/>
      <c r="W59" s="1672"/>
      <c r="X59" s="1672"/>
      <c r="Y59" s="1672"/>
      <c r="Z59" s="1672"/>
      <c r="AA59" s="1672"/>
      <c r="AB59" s="1672"/>
      <c r="AC59" s="1672"/>
      <c r="AD59" s="1672"/>
      <c r="AE59" s="1672"/>
      <c r="AF59" s="1672"/>
      <c r="AG59" s="1672"/>
      <c r="AH59" s="1672"/>
      <c r="AI59" s="1672"/>
      <c r="AJ59" s="1672"/>
      <c r="AK59" s="1672"/>
      <c r="AL59" s="1672"/>
      <c r="AM59" s="1672"/>
      <c r="AN59" s="1672"/>
      <c r="AO59" s="1672"/>
      <c r="AP59" s="1672"/>
      <c r="AQ59" s="1672"/>
      <c r="AR59" s="1672"/>
      <c r="AS59" s="1672"/>
      <c r="AT59" s="1672"/>
      <c r="AU59" s="1672"/>
      <c r="AV59" s="1672"/>
      <c r="AW59" s="1672"/>
      <c r="AX59" s="1672"/>
      <c r="AY59" s="1672"/>
      <c r="AZ59" s="1672"/>
      <c r="BA59" s="1672"/>
      <c r="BB59" s="1672"/>
      <c r="BC59" s="1673"/>
      <c r="BE59" s="784"/>
      <c r="BF59" s="784" t="str">
        <f>IF(T59="","",T59)</f>
        <v/>
      </c>
      <c r="BG59" s="784"/>
      <c r="BH59" s="784"/>
      <c r="BI59" s="795">
        <v>0</v>
      </c>
    </row>
    <row s="30621" customFormat="1" customHeight="1" ht="0">
      <c r="A60" s="1627" t="s">
        <v>306</v>
      </c>
      <c r="B60" s="1627" t="s">
        <v>307</v>
      </c>
      <c r="C60" s="1627" t="s">
        <v>308</v>
      </c>
      <c r="D60" s="1598"/>
      <c r="E60" s="2543"/>
      <c r="F60" s="2543"/>
      <c r="G60" s="2542"/>
      <c r="H60" s="1598"/>
      <c r="I60" s="1598"/>
      <c r="J60" s="1598"/>
      <c r="K60" s="1598"/>
      <c r="L60" s="1748"/>
      <c r="M60" s="1599"/>
      <c r="N60" s="1599"/>
      <c r="P60" s="1600"/>
      <c r="Q60" s="1601"/>
      <c r="R60" s="1600"/>
      <c r="S60" s="1606"/>
      <c r="T60" s="1609"/>
      <c r="U60" s="1608"/>
      <c r="V60" s="1608"/>
      <c r="W60" s="1608"/>
      <c r="X60" s="1608"/>
      <c r="Y60" s="1608"/>
      <c r="Z60" s="1608"/>
      <c r="AA60" s="1608"/>
      <c r="AB60" s="1608"/>
      <c r="AC60" s="1608"/>
      <c r="AD60" s="1608"/>
      <c r="AE60" s="1608"/>
      <c r="AF60" s="1608"/>
      <c r="AG60" s="1608"/>
      <c r="AH60" s="1608"/>
      <c r="AI60" s="1608"/>
      <c r="AJ60" s="1608"/>
      <c r="AK60" s="1608"/>
      <c r="AL60" s="1608"/>
      <c r="AM60" s="1608"/>
      <c r="AN60" s="1608"/>
      <c r="AO60" s="1608"/>
      <c r="AP60" s="1608"/>
      <c r="AQ60" s="1608"/>
      <c r="AR60" s="1608"/>
      <c r="AS60" s="1608"/>
      <c r="AT60" s="1608"/>
      <c r="AU60" s="1608"/>
      <c r="AV60" s="1608"/>
      <c r="AW60" s="1608"/>
      <c r="AX60" s="1608"/>
      <c r="AY60" s="1608"/>
      <c r="AZ60" s="1608"/>
      <c r="BA60" s="1608"/>
      <c r="BB60" s="1608"/>
      <c r="BC60" s="1608"/>
      <c r="BE60" s="1073"/>
      <c r="BF60" s="1073" t="str">
        <f>IF(T60="","",T60)</f>
        <v/>
      </c>
      <c r="BG60" s="1073"/>
      <c r="BH60" s="1073"/>
      <c r="BI60" s="802">
        <v>0</v>
      </c>
    </row>
    <row s="30621" customFormat="1" customHeight="1" ht="0">
      <c r="A61" s="1627" t="s">
        <v>306</v>
      </c>
      <c r="B61" s="1627" t="s">
        <v>307</v>
      </c>
      <c r="C61" s="1598"/>
      <c r="D61" s="1598"/>
      <c r="E61" s="2543"/>
      <c r="F61" s="2542"/>
      <c r="G61" s="1598"/>
      <c r="H61" s="1598"/>
      <c r="I61" s="1598"/>
      <c r="J61" s="1598"/>
      <c r="K61" s="1598"/>
      <c r="L61" s="1748"/>
      <c r="M61" s="1605"/>
      <c r="N61" s="1605"/>
      <c r="P61" s="1600"/>
      <c r="Q61" s="1601"/>
      <c r="R61" s="1600"/>
      <c r="S61" s="1606"/>
      <c r="T61" s="1609" t="s">
        <v>214</v>
      </c>
      <c r="U61" s="1608"/>
      <c r="V61" s="1608"/>
      <c r="W61" s="1608"/>
      <c r="X61" s="1608"/>
      <c r="Y61" s="1608"/>
      <c r="Z61" s="1608"/>
      <c r="AA61" s="1608"/>
      <c r="AB61" s="1608"/>
      <c r="AC61" s="1608"/>
      <c r="AD61" s="1608"/>
      <c r="AE61" s="1608"/>
      <c r="AF61" s="1608"/>
      <c r="AG61" s="1608"/>
      <c r="AH61" s="1608"/>
      <c r="AI61" s="1608"/>
      <c r="AJ61" s="1608"/>
      <c r="AK61" s="1608"/>
      <c r="AL61" s="1608"/>
      <c r="AM61" s="1608"/>
      <c r="AN61" s="1608"/>
      <c r="AO61" s="1608"/>
      <c r="AP61" s="1608"/>
      <c r="AQ61" s="1608"/>
      <c r="AR61" s="1608"/>
      <c r="AS61" s="1608"/>
      <c r="AT61" s="1608"/>
      <c r="AU61" s="1608"/>
      <c r="AV61" s="1608"/>
      <c r="AW61" s="1608"/>
      <c r="AX61" s="1608"/>
      <c r="AY61" s="1608"/>
      <c r="AZ61" s="1608"/>
      <c r="BA61" s="1608"/>
      <c r="BB61" s="1608"/>
      <c r="BC61" s="1608"/>
      <c r="BE61" s="1073"/>
      <c r="BF61" s="1073" t="str">
        <f>IF(T61="","",T61)</f>
        <v>Добавить централизованную систему для дифференциации</v>
      </c>
      <c r="BG61" s="1073"/>
      <c r="BH61" s="1073"/>
      <c r="BI61" s="802">
        <v>0</v>
      </c>
    </row>
    <row s="30621" customFormat="1" customHeight="1" ht="0">
      <c r="A62" s="1627" t="s">
        <v>306</v>
      </c>
      <c r="B62" s="1627"/>
      <c r="C62" s="1627"/>
      <c r="D62" s="1627"/>
      <c r="E62" s="2542"/>
      <c r="F62" s="1627"/>
      <c r="G62" s="1627"/>
      <c r="H62" s="1627"/>
      <c r="I62" s="1627"/>
      <c r="J62" s="1627"/>
      <c r="K62" s="1627"/>
      <c r="L62" s="1630"/>
      <c r="M62" s="1605"/>
      <c r="N62" s="1605"/>
      <c r="O62" s="802"/>
      <c r="P62" s="664"/>
      <c r="Q62" s="1628"/>
      <c r="R62" s="664"/>
      <c r="S62" s="1606"/>
      <c r="T62" s="1609" t="s">
        <v>230</v>
      </c>
      <c r="U62" s="1608"/>
      <c r="V62" s="1608"/>
      <c r="W62" s="1608"/>
      <c r="X62" s="1608"/>
      <c r="Y62" s="1608"/>
      <c r="Z62" s="1608"/>
      <c r="AA62" s="1608"/>
      <c r="AB62" s="1608"/>
      <c r="AC62" s="1608"/>
      <c r="AD62" s="1608"/>
      <c r="AE62" s="1608"/>
      <c r="AF62" s="1608"/>
      <c r="AG62" s="1608"/>
      <c r="AH62" s="1608"/>
      <c r="AI62" s="1608"/>
      <c r="AJ62" s="1608"/>
      <c r="AK62" s="1608"/>
      <c r="AL62" s="1608"/>
      <c r="AM62" s="1608"/>
      <c r="AN62" s="1608"/>
      <c r="AO62" s="1608"/>
      <c r="AP62" s="1608"/>
      <c r="AQ62" s="1608"/>
      <c r="AR62" s="1608"/>
      <c r="AS62" s="1608"/>
      <c r="AT62" s="1608"/>
      <c r="AU62" s="1608"/>
      <c r="AV62" s="1608"/>
      <c r="AW62" s="1608"/>
      <c r="AX62" s="1608"/>
      <c r="AY62" s="1608"/>
      <c r="AZ62" s="1608"/>
      <c r="BA62" s="1608"/>
      <c r="BB62" s="1608"/>
      <c r="BC62" s="1608"/>
      <c r="BE62" s="784"/>
      <c r="BF62" s="784" t="str">
        <f>IF(T62="","",T62)</f>
        <v>Добавить территорию для дифференциации</v>
      </c>
      <c r="BG62" s="784"/>
      <c r="BH62" s="784"/>
      <c r="BI62" s="795">
        <v>0</v>
      </c>
    </row>
    <row s="30621" customFormat="1" customHeight="1" ht="0">
      <c r="A63" s="1598"/>
      <c r="B63" s="1598"/>
      <c r="C63" s="1598"/>
      <c r="D63" s="1598"/>
      <c r="E63" s="1627"/>
      <c r="F63" s="1598"/>
      <c r="G63" s="1598"/>
      <c r="H63" s="1598"/>
      <c r="I63" s="1598"/>
      <c r="J63" s="1598"/>
      <c r="K63" s="1598"/>
      <c r="L63" s="1748"/>
      <c r="M63" s="1605"/>
      <c r="N63" s="1605"/>
      <c r="P63" s="1600"/>
      <c r="Q63" s="1601"/>
      <c r="R63" s="1600"/>
      <c r="S63" s="1606"/>
      <c r="T63" s="1609" t="s">
        <v>239</v>
      </c>
      <c r="U63" s="1608"/>
      <c r="V63" s="1608"/>
      <c r="W63" s="1608"/>
      <c r="X63" s="1608"/>
      <c r="Y63" s="1608"/>
      <c r="Z63" s="1608"/>
      <c r="AA63" s="1608"/>
      <c r="AB63" s="1608"/>
      <c r="AC63" s="1608"/>
      <c r="AD63" s="1608"/>
      <c r="AE63" s="1608"/>
      <c r="AF63" s="1608"/>
      <c r="AG63" s="1608"/>
      <c r="AH63" s="1608"/>
      <c r="AI63" s="1608"/>
      <c r="AJ63" s="1608"/>
      <c r="AK63" s="1608"/>
      <c r="AL63" s="1608"/>
      <c r="AM63" s="1608"/>
      <c r="AN63" s="1608"/>
      <c r="AO63" s="1608"/>
      <c r="AP63" s="1608"/>
      <c r="AQ63" s="1608"/>
      <c r="AR63" s="1608"/>
      <c r="AS63" s="1608"/>
      <c r="AT63" s="1608"/>
      <c r="AU63" s="1608"/>
      <c r="AV63" s="1608"/>
      <c r="AW63" s="1608"/>
      <c r="AX63" s="1608"/>
      <c r="AY63" s="1608"/>
      <c r="AZ63" s="1608"/>
      <c r="BA63" s="1608"/>
      <c r="BB63" s="1608"/>
      <c r="BC63" s="1608"/>
      <c r="BE63" s="1073"/>
      <c r="BF63" s="1073" t="str">
        <f>IF(T63="","",T63)</f>
        <v>Добавить наименование тарифа</v>
      </c>
      <c r="BG63" s="1073"/>
      <c r="BH63" s="1073"/>
      <c r="BI63" s="802">
        <v>0</v>
      </c>
    </row>
    <row customHeight="1" ht="11.549999999999999">
      <c r="M64" s="1444"/>
      <c r="N64" s="1444"/>
      <c r="O64" s="821"/>
      <c r="P64" s="1444"/>
      <c r="Q64" s="1444"/>
      <c r="R64" s="1439"/>
      <c r="S64" s="1439"/>
      <c r="BD64" s="1439"/>
      <c r="BE64" s="1439"/>
      <c r="BF64" s="1439"/>
      <c r="BG64" s="1439"/>
      <c r="BH64" s="1439"/>
      <c r="BI64" s="1439">
        <v>11</v>
      </c>
    </row>
    <row customHeight="1" ht="19.95">
      <c r="O65" s="821"/>
      <c r="S65" s="1537"/>
      <c r="T65" s="2569"/>
      <c r="U65" s="2569"/>
      <c r="V65" s="2569"/>
      <c r="W65" s="2569"/>
      <c r="X65" s="2569"/>
      <c r="Y65" s="2569"/>
      <c r="Z65" s="2569"/>
      <c r="AA65" s="2569"/>
      <c r="AB65" s="2569"/>
      <c r="AC65" s="2569"/>
      <c r="AD65" s="2569"/>
      <c r="AE65" s="2569"/>
      <c r="AF65" s="2569"/>
      <c r="AG65" s="2569"/>
      <c r="AH65" s="2569"/>
      <c r="AI65" s="2569"/>
      <c r="AJ65" s="2569"/>
      <c r="AK65" s="2569"/>
      <c r="AL65" s="2569"/>
      <c r="AM65" s="2569"/>
      <c r="AN65" s="2569"/>
      <c r="AO65" s="2569"/>
      <c r="AP65" s="2569"/>
      <c r="AQ65" s="2569"/>
      <c r="AR65" s="2569"/>
      <c r="AS65" s="2569"/>
      <c r="AT65" s="2569"/>
      <c r="AU65" s="2569"/>
      <c r="AV65" s="2569"/>
      <c r="AW65" s="2569"/>
      <c r="AX65" s="2569"/>
      <c r="AY65" s="2569"/>
      <c r="AZ65" s="2569"/>
      <c r="BA65" s="2569"/>
      <c r="BB65" s="2569"/>
      <c r="BC65" s="2569"/>
      <c r="BI65" s="1439">
        <v>19</v>
      </c>
    </row>
    <row customHeight="1" ht="14.699999999999998">
      <c r="O66" s="821"/>
      <c r="T66" s="1733"/>
      <c r="U66" s="1733"/>
      <c r="V66" s="1733"/>
      <c r="W66" s="1733"/>
      <c r="X66" s="1733"/>
      <c r="Y66" s="1733"/>
      <c r="Z66" s="1733"/>
      <c r="AA66" s="1733"/>
      <c r="AB66" s="1733"/>
      <c r="AC66" s="1733"/>
      <c r="AD66" s="1733"/>
      <c r="AE66" s="1733"/>
      <c r="AF66" s="1733"/>
      <c r="AG66" s="1733"/>
      <c r="AH66" s="1733"/>
      <c r="AI66" s="1733"/>
      <c r="AJ66" s="1733"/>
      <c r="AK66" s="1733"/>
      <c r="AL66" s="1733"/>
      <c r="AM66" s="1733"/>
      <c r="AN66" s="1733"/>
      <c r="AO66" s="1733"/>
      <c r="AP66" s="1733"/>
      <c r="AQ66" s="1733"/>
      <c r="AR66" s="1733"/>
      <c r="AS66" s="1733"/>
      <c r="AT66" s="1733"/>
      <c r="AU66" s="1733"/>
      <c r="AV66" s="1733"/>
      <c r="AW66" s="1733"/>
      <c r="AX66" s="1733"/>
      <c r="AY66" s="1733"/>
      <c r="AZ66" s="1733"/>
      <c r="BA66" s="1733"/>
      <c r="BB66" s="1733"/>
      <c r="BC66" s="1733"/>
      <c r="BI66" s="1439">
        <v>14</v>
      </c>
    </row>
    <row customHeight="1" ht="19.95">
      <c r="O67" s="821"/>
      <c r="S67" s="1537"/>
      <c r="T67" s="2569"/>
      <c r="U67" s="2569"/>
      <c r="V67" s="2569"/>
      <c r="W67" s="2569"/>
      <c r="X67" s="2569"/>
      <c r="Y67" s="2569"/>
      <c r="Z67" s="2569"/>
      <c r="AA67" s="2569"/>
      <c r="AB67" s="2569"/>
      <c r="AC67" s="2569"/>
      <c r="AD67" s="2569"/>
      <c r="AE67" s="2569"/>
      <c r="AF67" s="2569"/>
      <c r="AG67" s="2569"/>
      <c r="AH67" s="2569"/>
      <c r="AI67" s="2569"/>
      <c r="AJ67" s="2569"/>
      <c r="AK67" s="2569"/>
      <c r="AL67" s="2569"/>
      <c r="AM67" s="2569"/>
      <c r="AN67" s="2569"/>
      <c r="AO67" s="2569"/>
      <c r="AP67" s="2569"/>
      <c r="AQ67" s="2569"/>
      <c r="AR67" s="2569"/>
      <c r="AS67" s="2569"/>
      <c r="AT67" s="2569"/>
      <c r="AU67" s="2569"/>
      <c r="AV67" s="2569"/>
      <c r="AW67" s="2569"/>
      <c r="AX67" s="2569"/>
      <c r="AY67" s="2569"/>
      <c r="AZ67" s="2569"/>
      <c r="BA67" s="2569"/>
      <c r="BB67" s="2569"/>
      <c r="BC67" s="2569"/>
      <c r="BI67" s="1439">
        <v>19</v>
      </c>
    </row>
    <row customHeight="1" ht="14.699999999999998">
      <c r="O68" s="821"/>
      <c r="BI68" s="1439">
        <v>14</v>
      </c>
    </row>
    <row customHeight="1" ht="14.25" hidden="1">
      <c r="A69" s="1444" t="s">
        <v>85</v>
      </c>
      <c r="B69" s="1444">
        <v>0</v>
      </c>
      <c r="C69" s="1444">
        <v>0</v>
      </c>
      <c r="D69" s="1444">
        <v>0</v>
      </c>
      <c r="E69" s="1444">
        <v>0</v>
      </c>
      <c r="F69" s="1444">
        <v>0</v>
      </c>
      <c r="G69" s="1444">
        <v>0</v>
      </c>
      <c r="H69" s="1444">
        <v>0</v>
      </c>
      <c r="I69" s="1444">
        <v>0</v>
      </c>
      <c r="J69" s="1444">
        <v>0</v>
      </c>
      <c r="K69" s="1444">
        <v>0</v>
      </c>
      <c r="L69" s="1745">
        <v>0</v>
      </c>
      <c r="M69" s="1646">
        <v>0</v>
      </c>
      <c r="N69" s="1646">
        <v>0</v>
      </c>
      <c r="O69" s="1646">
        <v>0</v>
      </c>
      <c r="P69" s="1646">
        <v>0</v>
      </c>
      <c r="Q69" s="1655">
        <v>0</v>
      </c>
      <c r="R69" s="628">
        <v>3</v>
      </c>
      <c r="S69" s="865">
        <v>12</v>
      </c>
      <c r="T69" s="1439">
        <v>31</v>
      </c>
      <c r="U69" s="1439">
        <v>0</v>
      </c>
      <c r="V69" s="1439">
        <v>0</v>
      </c>
      <c r="W69" s="1439">
        <v>0</v>
      </c>
      <c r="X69" s="1439">
        <v>0</v>
      </c>
      <c r="Y69" s="1439">
        <v>0</v>
      </c>
      <c r="Z69" s="1439">
        <v>0</v>
      </c>
      <c r="AA69" s="1439">
        <v>0</v>
      </c>
      <c r="AB69" s="1439">
        <v>0</v>
      </c>
      <c r="AC69" s="1439">
        <v>0</v>
      </c>
      <c r="AD69" s="1439">
        <v>3</v>
      </c>
      <c r="AE69" s="1439">
        <v>3</v>
      </c>
      <c r="AF69" s="1439">
        <v>3</v>
      </c>
      <c r="AG69" s="1439">
        <v>24</v>
      </c>
      <c r="AH69" s="1439">
        <v>3</v>
      </c>
      <c r="AI69" s="1439">
        <v>3</v>
      </c>
      <c r="AJ69" s="1439">
        <v>3</v>
      </c>
      <c r="AK69" s="1439">
        <v>24</v>
      </c>
      <c r="AL69" s="1439">
        <v>3</v>
      </c>
      <c r="AM69" s="1439">
        <v>3</v>
      </c>
      <c r="AN69" s="1439">
        <v>3</v>
      </c>
      <c r="AO69" s="1439">
        <v>18</v>
      </c>
      <c r="AP69" s="1439">
        <v>3</v>
      </c>
      <c r="AQ69" s="1439">
        <v>3</v>
      </c>
      <c r="AR69" s="1439">
        <v>3</v>
      </c>
      <c r="AS69" s="1439">
        <v>18</v>
      </c>
      <c r="AT69" s="1439">
        <v>21</v>
      </c>
      <c r="AU69" s="1439">
        <v>21</v>
      </c>
      <c r="AV69" s="1439">
        <v>21</v>
      </c>
      <c r="AW69" s="1439">
        <v>21</v>
      </c>
      <c r="AX69" s="1439">
        <v>11</v>
      </c>
      <c r="AY69" s="1439">
        <v>3</v>
      </c>
      <c r="AZ69" s="1439">
        <v>11</v>
      </c>
      <c r="BA69" s="1439">
        <v>0</v>
      </c>
      <c r="BB69" s="1439">
        <v>4</v>
      </c>
      <c r="BC69" s="1439">
        <v>115</v>
      </c>
      <c r="BD69" s="795">
        <v>10</v>
      </c>
      <c r="BE69" s="795">
        <v>10</v>
      </c>
      <c r="BF69" s="795">
        <v>10</v>
      </c>
      <c r="BG69" s="795">
        <v>10</v>
      </c>
      <c r="BH69" s="795">
        <v>10</v>
      </c>
      <c r="BI69" s="1439">
        <v>23</v>
      </c>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EDC9EF-FF49-2978-53B7-4DAE66CDC6A2}"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30620" width="10.57421875" hidden="1"/>
    <col min="2" max="2" style="30620" width="11.00390625" hidden="1" customWidth="1"/>
    <col min="3" max="3" style="30620" width="10.57421875" hidden="1"/>
    <col min="4" max="4" style="30620" width="11.8515625" hidden="1" customWidth="1"/>
    <col min="5" max="5" style="30620" width="10.00390625" hidden="1" customWidth="1"/>
    <col min="6" max="6" style="30620" width="8.7109375" hidden="1" customWidth="1"/>
    <col min="7" max="7" style="30620" width="7.57421875" hidden="1" customWidth="1"/>
    <col min="8" max="8" style="30620" width="11.421875" hidden="1" customWidth="1"/>
    <col min="9" max="9" style="30620" width="14.140625" hidden="1" customWidth="1"/>
    <col min="10" max="10" style="30620" width="9.8515625" hidden="1" customWidth="1"/>
    <col min="11" max="11" style="30620" width="14.7109375" hidden="1" customWidth="1"/>
    <col min="12" max="12" style="31502" width="19.140625" hidden="1" customWidth="1"/>
    <col min="13" max="14" style="31503" width="12.28125" hidden="1" customWidth="1"/>
    <col min="15" max="15" style="31503" width="23.421875" hidden="1" customWidth="1"/>
    <col min="16" max="16" style="31504" width="3.00390625" customWidth="1"/>
    <col min="17" max="18" style="31505" width="3.00390625" customWidth="1"/>
    <col min="19" max="19" style="31506" width="12.00390625" customWidth="1"/>
    <col min="20" max="20" style="30541" width="35.00390625" customWidth="1"/>
    <col min="21" max="21" style="30541" width="0.140625" customWidth="1"/>
    <col min="22" max="24" style="30541" width="24.7109375" hidden="1" customWidth="1"/>
    <col min="25" max="25" style="30541" width="11.7109375" hidden="1" customWidth="1"/>
    <col min="26" max="26" style="30541" width="3.7109375" hidden="1" customWidth="1"/>
    <col min="27" max="27" style="30541" width="11.7109375" hidden="1" customWidth="1"/>
    <col min="28" max="28" style="30541" width="8.57421875" hidden="1" customWidth="1"/>
    <col min="29" max="29" style="30541" width="24.7109375" customWidth="1"/>
    <col min="30" max="31" style="30541" width="24.00390625" customWidth="1"/>
    <col min="32" max="32" style="30541" width="11.00390625" customWidth="1"/>
    <col min="33" max="33" style="30541" width="3.7109375" customWidth="1"/>
    <col min="34" max="34" style="30541" width="11.00390625" customWidth="1"/>
    <col min="35" max="35" style="30541" width="8.57421875" hidden="1" customWidth="1"/>
    <col min="36" max="36" style="30541" width="4.00390625" customWidth="1"/>
    <col min="37" max="37" style="30541" width="115.00390625" customWidth="1"/>
    <col min="38" max="42" style="30621" width="10.00390625" customWidth="1"/>
    <col min="43" max="43" style="30541" width="10.57421875" hidden="1"/>
  </cols>
  <sheetData>
    <row customHeight="1" ht="22.5" hidden="1">
      <c r="X1" s="611"/>
      <c r="Y1" s="611"/>
      <c r="AE1" s="611"/>
      <c r="AF1" s="611"/>
      <c r="AQ1" s="1439" t="s">
        <v>14</v>
      </c>
    </row>
    <row customHeight="1" ht="23.25" hidden="1">
      <c r="A2" s="1647"/>
      <c r="B2" s="1647"/>
      <c r="C2" s="1647"/>
      <c r="D2" s="1647"/>
      <c r="E2" s="2542">
        <v>1</v>
      </c>
      <c r="F2" s="1647"/>
      <c r="G2" s="1647"/>
      <c r="H2" s="1647"/>
      <c r="I2" s="1647"/>
      <c r="J2" s="1647"/>
      <c r="K2" s="1647"/>
      <c r="L2" s="1648"/>
      <c r="M2" s="1649"/>
      <c r="N2" s="1649"/>
      <c r="O2" s="1649"/>
      <c r="P2" s="645"/>
      <c r="Q2" s="644"/>
      <c r="R2" s="639"/>
      <c r="S2" s="1777">
        <f>INDEX(PT_DIFFERENTIATION_NUM_NTAR,MATCH(A2,PT_DIFFERENTIATION_NTAR_ID,0))</f>
      </c>
      <c r="T2" s="582" t="s">
        <v>153</v>
      </c>
      <c r="U2" s="584"/>
      <c r="V2" s="2526"/>
      <c r="W2" s="2527"/>
      <c r="X2" s="2527"/>
      <c r="Y2" s="2527"/>
      <c r="Z2" s="2527"/>
      <c r="AA2" s="2527"/>
      <c r="AB2" s="2528"/>
      <c r="AC2" s="2526">
        <f>INDEX(PT_DIFFERENTIATION_NTAR,MATCH(A2,PT_DIFFERENTIATION_NTAR_ID,0))</f>
      </c>
      <c r="AD2" s="2527"/>
      <c r="AE2" s="2527"/>
      <c r="AF2" s="2527"/>
      <c r="AG2" s="2527"/>
      <c r="AH2" s="2527"/>
      <c r="AI2" s="2527"/>
      <c r="AJ2" s="2528"/>
      <c r="AK2"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784"/>
      <c r="AN2" s="784" t="str">
        <f>IF(T2="","",T2)</f>
        <v>Наименование тарифа</v>
      </c>
      <c r="AO2" s="784"/>
      <c r="AP2" s="784"/>
      <c r="AQ2" s="1439">
        <v>0</v>
      </c>
    </row>
    <row customHeight="1" ht="23.25" hidden="1">
      <c r="A3" s="1647"/>
      <c r="B3" s="1647"/>
      <c r="C3" s="1647"/>
      <c r="D3" s="1647"/>
      <c r="E3" s="2543"/>
      <c r="F3" s="2542">
        <v>1</v>
      </c>
      <c r="G3" s="1647"/>
      <c r="H3" s="1647"/>
      <c r="I3" s="1647"/>
      <c r="J3" s="1647"/>
      <c r="K3" s="1647"/>
      <c r="L3" s="1648"/>
      <c r="M3" s="1649"/>
      <c r="N3" s="1649"/>
      <c r="O3" s="1649"/>
      <c r="P3" s="1771"/>
      <c r="Q3" s="636"/>
      <c r="R3" s="637"/>
      <c r="S3" s="1777">
        <f>INDEX(PT_DIFFERENTIATION_NUM_TER,MATCH(B3,PT_DIFFERENTIATION_TER_ID,0))</f>
      </c>
      <c r="T3" s="592" t="s">
        <v>457</v>
      </c>
      <c r="U3" s="584"/>
      <c r="V3" s="2526"/>
      <c r="W3" s="2527"/>
      <c r="X3" s="2527"/>
      <c r="Y3" s="2527"/>
      <c r="Z3" s="2527"/>
      <c r="AA3" s="2527"/>
      <c r="AB3" s="2528"/>
      <c r="AC3" s="2526">
        <f>INDEX(PT_DIFFERENTIATION_TER,MATCH(B3,PT_DIFFERENTIATION_TER_ID,0))</f>
      </c>
      <c r="AD3" s="2527"/>
      <c r="AE3" s="2527"/>
      <c r="AF3" s="2527"/>
      <c r="AG3" s="2527"/>
      <c r="AH3" s="2527"/>
      <c r="AI3" s="2527"/>
      <c r="AJ3" s="2528"/>
      <c r="AK3" s="1542" t="s">
        <v>458</v>
      </c>
      <c r="AM3" s="784"/>
      <c r="AN3" s="784" t="str">
        <f>IF(T3="","",T3)</f>
        <v>Территория действия тарифа</v>
      </c>
      <c r="AO3" s="784"/>
      <c r="AP3" s="784"/>
      <c r="AQ3" s="1439">
        <v>0</v>
      </c>
    </row>
    <row customHeight="1" ht="23.25" hidden="1">
      <c r="A4" s="1647"/>
      <c r="B4" s="1647"/>
      <c r="C4" s="1647"/>
      <c r="D4" s="1647"/>
      <c r="E4" s="2543"/>
      <c r="F4" s="2543"/>
      <c r="G4" s="2542">
        <v>1</v>
      </c>
      <c r="H4" s="1647"/>
      <c r="I4" s="1647"/>
      <c r="J4" s="1647"/>
      <c r="K4" s="1647"/>
      <c r="L4" s="1648"/>
      <c r="M4" s="1649"/>
      <c r="N4" s="1649"/>
      <c r="O4" s="1649"/>
      <c r="P4" s="638"/>
      <c r="Q4" s="636"/>
      <c r="R4" s="637"/>
      <c r="S4" s="1777">
        <f>INDEX(PT_DIFFERENTIATION_NUM_CS,MATCH(C4,PT_DIFFERENTIATION_CS_ID,0))</f>
      </c>
      <c r="T4" s="593" t="s">
        <v>588</v>
      </c>
      <c r="U4" s="584"/>
      <c r="V4" s="2526"/>
      <c r="W4" s="2527"/>
      <c r="X4" s="2527"/>
      <c r="Y4" s="2527"/>
      <c r="Z4" s="2527"/>
      <c r="AA4" s="2527"/>
      <c r="AB4" s="2528"/>
      <c r="AC4" s="2526">
        <f>INDEX(PT_DIFFERENTIATION_CS,MATCH(C4,PT_DIFFERENTIATION_CS_ID,0))</f>
      </c>
      <c r="AD4" s="2527"/>
      <c r="AE4" s="2527"/>
      <c r="AF4" s="2527"/>
      <c r="AG4" s="2527"/>
      <c r="AH4" s="2527"/>
      <c r="AI4" s="2527"/>
      <c r="AJ4" s="2528"/>
      <c r="AK4" s="1542" t="s">
        <v>589</v>
      </c>
      <c r="AM4" s="784"/>
      <c r="AN4" s="784" t="str">
        <f>IF(T4="","",T4)</f>
        <v>Наименование централизованной системы водоотведения</v>
      </c>
      <c r="AO4" s="784"/>
      <c r="AP4" s="784"/>
      <c r="AQ4" s="1439">
        <v>0</v>
      </c>
    </row>
    <row customHeight="1" ht="23.25" hidden="1">
      <c r="A5" s="1647"/>
      <c r="B5" s="1647"/>
      <c r="C5" s="1647"/>
      <c r="D5" s="1647"/>
      <c r="E5" s="2543"/>
      <c r="F5" s="2543"/>
      <c r="G5" s="2543"/>
      <c r="H5" s="2543"/>
      <c r="I5" s="2540">
        <f>S4&amp;".1"</f>
      </c>
      <c r="J5" s="1647"/>
      <c r="K5" s="1647"/>
      <c r="L5" s="1648"/>
      <c r="P5" s="2541">
        <v>1</v>
      </c>
      <c r="Q5" s="1765"/>
      <c r="R5" s="640"/>
      <c r="S5" s="1777">
        <f>$I5</f>
      </c>
      <c r="T5" s="569" t="s">
        <v>555</v>
      </c>
      <c r="U5" s="584"/>
      <c r="V5" s="2634"/>
      <c r="W5" s="2635"/>
      <c r="X5" s="2635"/>
      <c r="Y5" s="2635"/>
      <c r="Z5" s="2635"/>
      <c r="AA5" s="2635"/>
      <c r="AB5" s="2636"/>
      <c r="AC5" s="2637"/>
      <c r="AD5" s="2638"/>
      <c r="AE5" s="2638"/>
      <c r="AF5" s="2638"/>
      <c r="AG5" s="2638"/>
      <c r="AH5" s="2638"/>
      <c r="AI5" s="2638"/>
      <c r="AJ5" s="2639"/>
      <c r="AK5" s="1542" t="s">
        <v>556</v>
      </c>
      <c r="AM5" s="784"/>
      <c r="AN5" s="784" t="str">
        <f>IF(T5="","",T5)</f>
        <v>Наименование признака дифференциации</v>
      </c>
      <c r="AO5" s="784"/>
      <c r="AP5" s="784"/>
      <c r="AQ5" s="1439">
        <v>0</v>
      </c>
    </row>
    <row customHeight="1" ht="23.25" hidden="1">
      <c r="A6" s="1647"/>
      <c r="B6" s="1647"/>
      <c r="C6" s="1647"/>
      <c r="D6" s="1647"/>
      <c r="E6" s="2543"/>
      <c r="F6" s="2543"/>
      <c r="G6" s="2543"/>
      <c r="H6" s="2543"/>
      <c r="I6" s="2570"/>
      <c r="J6" s="2540">
        <f>I5&amp;".1"</f>
      </c>
      <c r="K6" s="1647"/>
      <c r="L6" s="1648" t="s">
        <v>466</v>
      </c>
      <c r="P6" s="2541"/>
      <c r="Q6" s="2541">
        <v>1</v>
      </c>
      <c r="R6" s="641"/>
      <c r="S6" s="1777">
        <f>$J6</f>
      </c>
      <c r="T6" s="570" t="s">
        <v>467</v>
      </c>
      <c r="U6" s="584"/>
      <c r="V6" s="2529"/>
      <c r="W6" s="2530"/>
      <c r="X6" s="2530"/>
      <c r="Y6" s="2530"/>
      <c r="Z6" s="2530"/>
      <c r="AA6" s="2530"/>
      <c r="AB6" s="2531"/>
      <c r="AC6" s="2529"/>
      <c r="AD6" s="2530"/>
      <c r="AE6" s="2530"/>
      <c r="AF6" s="2530"/>
      <c r="AG6" s="2530"/>
      <c r="AH6" s="2530"/>
      <c r="AI6" s="2530"/>
      <c r="AJ6" s="2531"/>
      <c r="AK6" s="1591" t="s">
        <v>557</v>
      </c>
      <c r="AM6" s="784"/>
      <c r="AN6" s="784" t="str">
        <f>IF(T6="","",T6)</f>
        <v>Группа потребителей</v>
      </c>
      <c r="AO6" s="784"/>
      <c r="AP6" s="784"/>
      <c r="AQ6" s="1439">
        <v>0</v>
      </c>
    </row>
    <row customHeight="1" ht="23.25" hidden="1">
      <c r="A7" s="1647"/>
      <c r="B7" s="1647"/>
      <c r="C7" s="1647"/>
      <c r="D7" s="1647"/>
      <c r="E7" s="2543"/>
      <c r="F7" s="2543"/>
      <c r="G7" s="2543"/>
      <c r="H7" s="2543"/>
      <c r="I7" s="2570"/>
      <c r="J7" s="2570"/>
      <c r="K7" s="2540">
        <f>J6&amp;".1"</f>
      </c>
      <c r="L7" s="1648"/>
      <c r="P7" s="2541"/>
      <c r="Q7" s="2541"/>
      <c r="R7" s="641">
        <v>1</v>
      </c>
      <c r="S7" s="1777">
        <f>$K7</f>
      </c>
      <c r="T7" s="1721"/>
      <c r="U7" s="584"/>
      <c r="V7" s="1035"/>
      <c r="W7" s="1035"/>
      <c r="X7" s="1541"/>
      <c r="Y7" s="2549"/>
      <c r="Z7" s="2391" t="s">
        <v>64</v>
      </c>
      <c r="AA7" s="2549"/>
      <c r="AB7" s="2391" t="s">
        <v>64</v>
      </c>
      <c r="AC7" s="1035"/>
      <c r="AD7" s="1035"/>
      <c r="AE7" s="1541"/>
      <c r="AF7" s="2549"/>
      <c r="AG7" s="2391" t="s">
        <v>64</v>
      </c>
      <c r="AH7" s="2571"/>
      <c r="AI7" s="2391" t="s">
        <v>64</v>
      </c>
      <c r="AJ7" s="1722"/>
      <c r="AK7" s="26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95">
        <f>STRCHECKDATE(V8:AJ8)</f>
      </c>
      <c r="AM7" s="784"/>
      <c r="AN7" s="784" t="str">
        <f>IF(T7="","",T7)</f>
        <v/>
      </c>
      <c r="AO7" s="784"/>
      <c r="AP7" s="784"/>
      <c r="AQ7" s="1439">
        <v>0</v>
      </c>
    </row>
    <row customHeight="1" ht="14.25" hidden="1">
      <c r="A8" s="1647"/>
      <c r="B8" s="1647"/>
      <c r="C8" s="1647"/>
      <c r="D8" s="1647"/>
      <c r="E8" s="2543"/>
      <c r="F8" s="2543"/>
      <c r="G8" s="2543"/>
      <c r="H8" s="2543"/>
      <c r="I8" s="2570"/>
      <c r="J8" s="2570"/>
      <c r="K8" s="2540"/>
      <c r="L8" s="1648"/>
      <c r="P8" s="2541"/>
      <c r="Q8" s="2541"/>
      <c r="R8" s="641"/>
      <c r="S8" s="1774"/>
      <c r="T8" s="584"/>
      <c r="U8" s="584"/>
      <c r="V8" s="609"/>
      <c r="W8" s="609"/>
      <c r="X8" s="612" t="str">
        <f>Y7&amp;"-"&amp;AA7</f>
        <v>-</v>
      </c>
      <c r="Y8" s="2550"/>
      <c r="Z8" s="2391"/>
      <c r="AA8" s="2550"/>
      <c r="AB8" s="2391"/>
      <c r="AC8" s="609"/>
      <c r="AD8" s="609"/>
      <c r="AE8" s="612" t="str">
        <f>AF7&amp;"-"&amp;AH7</f>
        <v>-</v>
      </c>
      <c r="AF8" s="2550"/>
      <c r="AG8" s="2391"/>
      <c r="AH8" s="2572"/>
      <c r="AI8" s="2391"/>
      <c r="AJ8" s="1723"/>
      <c r="AK8" s="2633"/>
      <c r="AM8" s="784"/>
      <c r="AN8" s="784" t="str">
        <f>IF(T8="","",T8)</f>
        <v/>
      </c>
      <c r="AO8" s="784"/>
      <c r="AP8" s="784"/>
      <c r="AQ8" s="1439">
        <v>0</v>
      </c>
    </row>
    <row customHeight="1" ht="21" hidden="1">
      <c r="A9" s="1647"/>
      <c r="B9" s="1647"/>
      <c r="C9" s="1647"/>
      <c r="D9" s="1647"/>
      <c r="E9" s="2543"/>
      <c r="F9" s="2543"/>
      <c r="G9" s="2543"/>
      <c r="H9" s="2543"/>
      <c r="I9" s="2570"/>
      <c r="J9" s="2540"/>
      <c r="K9" s="1647"/>
      <c r="L9" s="1648"/>
      <c r="P9" s="2541"/>
      <c r="Q9" s="2541"/>
      <c r="R9" s="640"/>
      <c r="S9" s="1562"/>
      <c r="T9" s="571" t="s">
        <v>558</v>
      </c>
      <c r="U9" s="651"/>
      <c r="V9" s="651"/>
      <c r="W9" s="651"/>
      <c r="X9" s="651"/>
      <c r="Y9" s="651"/>
      <c r="Z9" s="651"/>
      <c r="AA9" s="651"/>
      <c r="AB9" s="651"/>
      <c r="AC9" s="651"/>
      <c r="AD9" s="651"/>
      <c r="AE9" s="651"/>
      <c r="AF9" s="651"/>
      <c r="AG9" s="651"/>
      <c r="AH9" s="651"/>
      <c r="AI9" s="651"/>
      <c r="AJ9" s="651"/>
      <c r="AK9" s="1542" t="s">
        <v>559</v>
      </c>
      <c r="AM9" s="784"/>
      <c r="AN9" s="784" t="str">
        <f>IF(T9="","",T9)</f>
        <v>Добавить значение признака дифференциации</v>
      </c>
      <c r="AO9" s="784"/>
      <c r="AP9" s="784"/>
      <c r="AQ9" s="1439">
        <v>0</v>
      </c>
    </row>
    <row customHeight="1" ht="21" hidden="1">
      <c r="A10" s="1647"/>
      <c r="B10" s="1647"/>
      <c r="C10" s="1647"/>
      <c r="D10" s="1647"/>
      <c r="E10" s="2543"/>
      <c r="F10" s="2543"/>
      <c r="G10" s="2543"/>
      <c r="H10" s="2543"/>
      <c r="I10" s="2540"/>
      <c r="J10" s="1647"/>
      <c r="K10" s="1647"/>
      <c r="L10" s="1648"/>
      <c r="P10" s="2541"/>
      <c r="Q10" s="1765"/>
      <c r="R10" s="640"/>
      <c r="S10" s="1562"/>
      <c r="T10" s="649" t="s">
        <v>472</v>
      </c>
      <c r="U10" s="651"/>
      <c r="V10" s="651"/>
      <c r="W10" s="651"/>
      <c r="X10" s="651"/>
      <c r="Y10" s="651"/>
      <c r="Z10" s="651"/>
      <c r="AA10" s="651"/>
      <c r="AB10" s="650"/>
      <c r="AC10" s="651"/>
      <c r="AD10" s="651"/>
      <c r="AE10" s="651"/>
      <c r="AF10" s="651"/>
      <c r="AG10" s="651"/>
      <c r="AH10" s="651"/>
      <c r="AI10" s="650"/>
      <c r="AJ10" s="651"/>
      <c r="AK10" s="1724"/>
      <c r="AM10" s="784"/>
      <c r="AN10" s="784" t="str">
        <f>IF(T10="","",T10)</f>
        <v>Добавить группу потребителей</v>
      </c>
      <c r="AO10" s="784"/>
      <c r="AP10" s="784"/>
      <c r="AQ10" s="1439">
        <v>0</v>
      </c>
    </row>
    <row customHeight="1" ht="21" hidden="1">
      <c r="A11" s="1647"/>
      <c r="B11" s="1647"/>
      <c r="C11" s="1647"/>
      <c r="D11" s="1647"/>
      <c r="E11" s="2543"/>
      <c r="F11" s="2543"/>
      <c r="G11" s="2543"/>
      <c r="H11" s="2542"/>
      <c r="I11" s="1647"/>
      <c r="J11" s="1647"/>
      <c r="K11" s="1647"/>
      <c r="L11" s="1648"/>
      <c r="M11" s="1649"/>
      <c r="N11" s="1649"/>
      <c r="O11" s="821"/>
      <c r="P11" s="644"/>
      <c r="Q11" s="659"/>
      <c r="R11" s="639"/>
      <c r="S11" s="1562"/>
      <c r="T11" s="656" t="s">
        <v>560</v>
      </c>
      <c r="U11" s="651"/>
      <c r="V11" s="651"/>
      <c r="W11" s="651"/>
      <c r="X11" s="651"/>
      <c r="Y11" s="651"/>
      <c r="Z11" s="651"/>
      <c r="AA11" s="651"/>
      <c r="AB11" s="650"/>
      <c r="AC11" s="651"/>
      <c r="AD11" s="651"/>
      <c r="AE11" s="651"/>
      <c r="AF11" s="651"/>
      <c r="AG11" s="651"/>
      <c r="AH11" s="651"/>
      <c r="AI11" s="650"/>
      <c r="AJ11" s="651"/>
      <c r="AK11" s="587"/>
      <c r="AM11" s="784"/>
      <c r="AN11" s="784" t="str">
        <f>IF(T11="","",T11)</f>
        <v>Добавить наименование признака дифференциации</v>
      </c>
      <c r="AO11" s="784"/>
      <c r="AP11" s="784"/>
      <c r="AQ11" s="1439">
        <v>0</v>
      </c>
    </row>
    <row s="30621" customFormat="1" customHeight="1" ht="14.25" hidden="1">
      <c r="A12" s="1627"/>
      <c r="B12" s="1627"/>
      <c r="C12" s="1598"/>
      <c r="D12" s="1598"/>
      <c r="E12" s="2543"/>
      <c r="F12" s="2542"/>
      <c r="G12" s="1598"/>
      <c r="H12" s="1598"/>
      <c r="I12" s="1598"/>
      <c r="J12" s="1598"/>
      <c r="K12" s="1598"/>
      <c r="L12" s="1778"/>
      <c r="M12" s="1605"/>
      <c r="N12" s="1605"/>
      <c r="P12" s="1600"/>
      <c r="Q12" s="1601"/>
      <c r="R12" s="1600"/>
      <c r="S12" s="1606"/>
      <c r="T12" s="1609" t="s">
        <v>214</v>
      </c>
      <c r="U12" s="1608"/>
      <c r="V12" s="1608"/>
      <c r="W12" s="1608"/>
      <c r="X12" s="1608"/>
      <c r="Y12" s="1608"/>
      <c r="Z12" s="1608"/>
      <c r="AA12" s="1608"/>
      <c r="AB12" s="1608"/>
      <c r="AC12" s="1608"/>
      <c r="AD12" s="1608"/>
      <c r="AE12" s="1608"/>
      <c r="AF12" s="1608"/>
      <c r="AG12" s="1608"/>
      <c r="AH12" s="1608"/>
      <c r="AI12" s="1608"/>
      <c r="AJ12" s="1608"/>
      <c r="AK12" s="1608"/>
      <c r="AM12" s="1073"/>
      <c r="AN12" s="1073" t="str">
        <f>IF(T12="","",T12)</f>
        <v>Добавить централизованную систему для дифференциации</v>
      </c>
      <c r="AO12" s="1073"/>
      <c r="AP12" s="1073"/>
      <c r="AQ12" s="802">
        <v>0</v>
      </c>
    </row>
    <row s="30621" customFormat="1" customHeight="1" ht="14.25" hidden="1">
      <c r="A13" s="1627"/>
      <c r="B13" s="1627"/>
      <c r="C13" s="1627"/>
      <c r="D13" s="1627"/>
      <c r="E13" s="2542"/>
      <c r="F13" s="1627"/>
      <c r="G13" s="1627"/>
      <c r="H13" s="1627"/>
      <c r="I13" s="1627"/>
      <c r="J13" s="1627"/>
      <c r="K13" s="1627"/>
      <c r="L13" s="1630"/>
      <c r="M13" s="1605"/>
      <c r="N13" s="1605"/>
      <c r="O13" s="802"/>
      <c r="P13" s="664"/>
      <c r="Q13" s="1628"/>
      <c r="R13" s="664"/>
      <c r="S13" s="1606"/>
      <c r="T13" s="1609" t="s">
        <v>230</v>
      </c>
      <c r="U13" s="1608"/>
      <c r="V13" s="1608"/>
      <c r="W13" s="1608"/>
      <c r="X13" s="1608"/>
      <c r="Y13" s="1608"/>
      <c r="Z13" s="1608"/>
      <c r="AA13" s="1608"/>
      <c r="AB13" s="1608"/>
      <c r="AC13" s="1608"/>
      <c r="AD13" s="1608"/>
      <c r="AE13" s="1608"/>
      <c r="AF13" s="1608"/>
      <c r="AG13" s="1608"/>
      <c r="AH13" s="1608"/>
      <c r="AI13" s="1608"/>
      <c r="AJ13" s="1608"/>
      <c r="AK13" s="1608"/>
      <c r="AM13" s="784"/>
      <c r="AN13" s="784" t="str">
        <f>IF(T13="","",T13)</f>
        <v>Добавить территорию для дифференциации</v>
      </c>
      <c r="AO13" s="784"/>
      <c r="AP13" s="784"/>
      <c r="AQ13" s="795">
        <v>0</v>
      </c>
    </row>
    <row customHeight="1" ht="14.25" hidden="1">
      <c r="AB14" s="611"/>
      <c r="AI14" s="611"/>
      <c r="AQ14" s="1439">
        <v>0</v>
      </c>
    </row>
    <row customHeight="1" ht="14.25" hidden="1">
      <c r="AC15" s="1644"/>
      <c r="AD15" s="1644"/>
      <c r="AE15" s="1645"/>
      <c r="AF15" s="2551"/>
      <c r="AG15" s="2552" t="s">
        <v>64</v>
      </c>
      <c r="AH15" s="2551"/>
      <c r="AI15" s="2552" t="s">
        <v>64</v>
      </c>
      <c r="AQ15" s="1439">
        <v>0</v>
      </c>
    </row>
    <row customHeight="1" ht="14.25" hidden="1">
      <c r="AC16" s="1644"/>
      <c r="AD16" s="1644"/>
      <c r="AE16" s="612" t="str">
        <f>AF15&amp;"-"&amp;AH15</f>
        <v>-</v>
      </c>
      <c r="AF16" s="2552"/>
      <c r="AG16" s="2552"/>
      <c r="AH16" s="2552"/>
      <c r="AI16" s="2552"/>
      <c r="AQ16" s="1439">
        <v>0</v>
      </c>
    </row>
    <row customHeight="1" ht="14.25" hidden="1">
      <c r="AI17" s="611"/>
      <c r="AQ17" s="1439">
        <v>0</v>
      </c>
    </row>
    <row s="30620" customFormat="1" customHeight="1" ht="22.5" hidden="1">
      <c r="L18" s="1762"/>
      <c r="M18" s="1646"/>
      <c r="N18" s="1646"/>
      <c r="O18" s="1651" t="s">
        <v>474</v>
      </c>
      <c r="P18" s="1646"/>
      <c r="Q18" s="1655"/>
      <c r="R18" s="1655"/>
      <c r="S18" s="1013"/>
      <c r="Y18" s="1651"/>
      <c r="AA18" s="1651"/>
      <c r="AB18" s="1650"/>
      <c r="AF18" s="1651"/>
      <c r="AH18" s="1651"/>
      <c r="AI18" s="1650"/>
      <c r="AL18" s="795"/>
      <c r="AM18" s="795"/>
      <c r="AN18" s="795"/>
      <c r="AO18" s="795"/>
      <c r="AP18" s="795"/>
      <c r="AQ18" s="1444">
        <v>0</v>
      </c>
    </row>
    <row s="30620" customFormat="1" customHeight="1" ht="14.25" hidden="1">
      <c r="L19" s="1762"/>
      <c r="M19" s="1646"/>
      <c r="N19" s="1646"/>
      <c r="O19" s="1646"/>
      <c r="P19" s="1646"/>
      <c r="Q19" s="1655"/>
      <c r="R19" s="1655"/>
      <c r="S19" s="1013"/>
      <c r="AB19" s="1650"/>
      <c r="AI19" s="1650"/>
      <c r="AL19" s="795"/>
      <c r="AM19" s="795"/>
      <c r="AN19" s="795"/>
      <c r="AO19" s="795"/>
      <c r="AP19" s="795"/>
      <c r="AQ19" s="1444">
        <v>0</v>
      </c>
    </row>
    <row s="30620" customFormat="1" customHeight="1" ht="12" hidden="1">
      <c r="L20" s="1762"/>
      <c r="M20" s="1646"/>
      <c r="N20" s="1646"/>
      <c r="O20" s="1648" t="s">
        <v>475</v>
      </c>
      <c r="P20" s="1646"/>
      <c r="Q20" s="1726"/>
      <c r="R20" s="1726"/>
      <c r="S20" s="1013"/>
      <c r="T20" s="1444" t="s">
        <v>476</v>
      </c>
      <c r="Z20" s="470" t="s">
        <v>477</v>
      </c>
      <c r="AB20" s="470" t="s">
        <v>478</v>
      </c>
      <c r="AC20" s="1444" t="s">
        <v>476</v>
      </c>
      <c r="AG20" s="470" t="s">
        <v>479</v>
      </c>
      <c r="AI20" s="470" t="s">
        <v>478</v>
      </c>
      <c r="AQ20" s="1444">
        <v>0</v>
      </c>
    </row>
    <row customHeight="1" ht="14.25" hidden="1">
      <c r="O21" s="1648"/>
      <c r="AQ21" s="1439">
        <v>0</v>
      </c>
    </row>
    <row customHeight="1" ht="14.25" hidden="1">
      <c r="O22" s="1648"/>
      <c r="AQ22" s="1439">
        <v>0</v>
      </c>
    </row>
    <row customHeight="1" ht="14.699999999999998">
      <c r="Q23" s="660"/>
      <c r="R23" s="660"/>
      <c r="S23" s="1559"/>
      <c r="T23" s="647"/>
      <c r="U23" s="647"/>
      <c r="V23" s="793"/>
      <c r="W23" s="793"/>
      <c r="X23" s="793"/>
      <c r="Y23" s="793"/>
      <c r="Z23" s="793"/>
      <c r="AA23" s="793"/>
      <c r="AB23" s="793"/>
      <c r="AC23" s="793"/>
      <c r="AD23" s="793"/>
      <c r="AE23" s="793"/>
      <c r="AF23" s="793"/>
      <c r="AG23" s="793"/>
      <c r="AH23" s="793"/>
      <c r="AI23" s="793"/>
      <c r="AQ23" s="1439">
        <v>14</v>
      </c>
    </row>
    <row customHeight="1" ht="14.699999999999998">
      <c r="Q24" s="660"/>
      <c r="R24" s="660"/>
      <c r="S24" s="253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32"/>
      <c r="U24" s="2532"/>
      <c r="V24" s="2532"/>
      <c r="W24" s="2532"/>
      <c r="X24" s="2532"/>
      <c r="Y24" s="2532"/>
      <c r="Z24" s="2532"/>
      <c r="AA24" s="2532"/>
      <c r="AB24" s="2532"/>
      <c r="AC24" s="2532"/>
      <c r="AD24" s="2532"/>
      <c r="AE24" s="2532"/>
      <c r="AF24" s="2532"/>
      <c r="AG24" s="2532"/>
      <c r="AH24" s="2532"/>
      <c r="AI24" s="1527"/>
      <c r="AQ24" s="1439">
        <v>14</v>
      </c>
    </row>
    <row customHeight="1" ht="14.699999999999998">
      <c r="Q25" s="660"/>
      <c r="R25" s="660"/>
      <c r="S25" s="2533" t="str">
        <f>IF(org=0,"Не определено",org)</f>
        <v>АО "ДГК"</v>
      </c>
      <c r="T25" s="2533"/>
      <c r="U25" s="2533"/>
      <c r="V25" s="2533"/>
      <c r="W25" s="2533"/>
      <c r="X25" s="2533"/>
      <c r="Y25" s="2533"/>
      <c r="Z25" s="2533"/>
      <c r="AA25" s="2533"/>
      <c r="AB25" s="2533"/>
      <c r="AC25" s="2533"/>
      <c r="AD25" s="2533"/>
      <c r="AE25" s="2533"/>
      <c r="AF25" s="2533"/>
      <c r="AG25" s="2533"/>
      <c r="AH25" s="2533"/>
      <c r="AI25" s="1527"/>
      <c r="AQ25" s="1439">
        <v>14</v>
      </c>
    </row>
    <row customHeight="1" ht="14.25">
      <c r="Q26" s="660"/>
      <c r="R26" s="660"/>
      <c r="S26" s="1559"/>
      <c r="T26" s="647"/>
      <c r="U26" s="647"/>
      <c r="V26" s="606"/>
      <c r="W26" s="606"/>
      <c r="X26" s="606"/>
      <c r="Y26" s="606"/>
      <c r="Z26" s="606"/>
      <c r="AA26" s="606"/>
      <c r="AB26" s="606"/>
      <c r="AC26" s="606"/>
      <c r="AD26" s="606"/>
      <c r="AE26" s="606"/>
      <c r="AF26" s="606"/>
      <c r="AG26" s="606"/>
      <c r="AH26" s="606"/>
      <c r="AI26" s="606"/>
      <c r="AJ26" s="793"/>
      <c r="AQ26" s="1439">
        <v>0</v>
      </c>
    </row>
    <row s="30764" customFormat="1" customHeight="1" ht="25.5">
      <c r="A27" s="1652"/>
      <c r="B27" s="1652"/>
      <c r="C27" s="1652"/>
      <c r="D27" s="1652"/>
      <c r="E27" s="1652"/>
      <c r="F27" s="1652"/>
      <c r="G27" s="1652"/>
      <c r="H27" s="1652"/>
      <c r="I27" s="1652"/>
      <c r="J27" s="1652"/>
      <c r="K27" s="1652"/>
      <c r="L27" s="1653"/>
      <c r="M27" s="1652"/>
      <c r="N27" s="1652"/>
      <c r="O27" s="1652"/>
      <c r="S27" s="2534" t="s">
        <v>42</v>
      </c>
      <c r="T27" s="2534"/>
      <c r="U27" s="1656"/>
      <c r="V27" s="2535" t="str">
        <f>IF(TITLE_NAME_OR_PR_CHANGE="",IF(TITLE_NAME_OR_PR="","",TITLE_NAME_OR_PR),TITLE_NAME_OR_PR_CHANGE)</f>
        <v>Комитет по ценам и тарифам Правительства Хабаровского края</v>
      </c>
      <c r="W27" s="2535"/>
      <c r="X27" s="2535"/>
      <c r="Y27" s="2535"/>
      <c r="Z27" s="2535"/>
      <c r="AA27" s="2535"/>
      <c r="AB27" s="610"/>
      <c r="AC27" s="2535" t="str">
        <f>IF(TITLE_NAME_OR_PR_CHANGE="",IF(TITLE_NAME_OR_PR="","",TITLE_NAME_OR_PR),TITLE_NAME_OR_PR_CHANGE)</f>
        <v>Комитет по ценам и тарифам Правительства Хабаровского края</v>
      </c>
      <c r="AD27" s="2535"/>
      <c r="AE27" s="2535"/>
      <c r="AF27" s="2535"/>
      <c r="AG27" s="2535"/>
      <c r="AH27" s="2535"/>
      <c r="AI27" s="610"/>
      <c r="AJ27" s="610"/>
      <c r="AK27" s="564"/>
      <c r="AL27" s="652"/>
      <c r="AM27" s="652"/>
      <c r="AN27" s="652"/>
      <c r="AO27" s="652"/>
      <c r="AP27" s="652"/>
      <c r="AQ27" s="702">
        <v>0</v>
      </c>
    </row>
    <row s="30764" customFormat="1" customHeight="1" ht="18.75">
      <c r="A28" s="1652"/>
      <c r="B28" s="1652"/>
      <c r="C28" s="1652"/>
      <c r="D28" s="1652"/>
      <c r="E28" s="1652"/>
      <c r="F28" s="1652"/>
      <c r="G28" s="1652"/>
      <c r="H28" s="1652"/>
      <c r="I28" s="1652"/>
      <c r="J28" s="1652"/>
      <c r="K28" s="1652"/>
      <c r="L28" s="1653"/>
      <c r="M28" s="1652"/>
      <c r="N28" s="1652"/>
      <c r="O28" s="1652"/>
      <c r="S28" s="2534" t="s">
        <v>480</v>
      </c>
      <c r="T28" s="2534"/>
      <c r="U28" s="1656"/>
      <c r="V28" s="2548" t="str">
        <f>IF(TITLE_DATE_PR_CHANGE="",IF(TITLE_DATE_PR="","",TITLE_DATE_PR),TITLE_DATE_PR_CHANGE)</f>
        <v>45645</v>
      </c>
      <c r="W28" s="2548"/>
      <c r="X28" s="2548"/>
      <c r="Y28" s="2548"/>
      <c r="Z28" s="2548"/>
      <c r="AA28" s="2548"/>
      <c r="AB28" s="610"/>
      <c r="AC28" s="2548" t="str">
        <f>IF(TITLE_DATE_PR_CHANGE="",IF(TITLE_DATE_PR="","",TITLE_DATE_PR),TITLE_DATE_PR_CHANGE)</f>
        <v>45645</v>
      </c>
      <c r="AD28" s="2548"/>
      <c r="AE28" s="2548"/>
      <c r="AF28" s="2548"/>
      <c r="AG28" s="2548"/>
      <c r="AH28" s="2548"/>
      <c r="AI28" s="610"/>
      <c r="AJ28" s="610"/>
      <c r="AK28" s="564"/>
      <c r="AL28" s="652"/>
      <c r="AM28" s="652"/>
      <c r="AN28" s="652"/>
      <c r="AO28" s="652"/>
      <c r="AP28" s="652"/>
      <c r="AQ28" s="702">
        <v>0</v>
      </c>
    </row>
    <row s="30764" customFormat="1" customHeight="1" ht="18.75">
      <c r="A29" s="1652"/>
      <c r="B29" s="1652"/>
      <c r="C29" s="1652"/>
      <c r="D29" s="1652"/>
      <c r="E29" s="1652"/>
      <c r="F29" s="1652"/>
      <c r="G29" s="1652"/>
      <c r="H29" s="1652"/>
      <c r="I29" s="1652"/>
      <c r="J29" s="1652"/>
      <c r="K29" s="1652"/>
      <c r="L29" s="1653"/>
      <c r="M29" s="1652"/>
      <c r="N29" s="1652"/>
      <c r="O29" s="1652"/>
      <c r="S29" s="2534" t="s">
        <v>481</v>
      </c>
      <c r="T29" s="2534"/>
      <c r="U29" s="1656"/>
      <c r="V29" s="2535" t="str">
        <f>IF(TITLE_NUMBER_PR_CHANGE="",IF(TITLE_NUMBER_PR="","",TITLE_NUMBER_PR),TITLE_NUMBER_PR_CHANGE)</f>
        <v>№ 40/8</v>
      </c>
      <c r="W29" s="2535"/>
      <c r="X29" s="2535"/>
      <c r="Y29" s="2535"/>
      <c r="Z29" s="2535"/>
      <c r="AA29" s="2535"/>
      <c r="AB29" s="610"/>
      <c r="AC29" s="2535" t="str">
        <f>IF(TITLE_NUMBER_PR_CHANGE="",IF(TITLE_NUMBER_PR="","",TITLE_NUMBER_PR),TITLE_NUMBER_PR_CHANGE)</f>
        <v>№ 40/8</v>
      </c>
      <c r="AD29" s="2535"/>
      <c r="AE29" s="2535"/>
      <c r="AF29" s="2535"/>
      <c r="AG29" s="2535"/>
      <c r="AH29" s="2535"/>
      <c r="AI29" s="610"/>
      <c r="AJ29" s="610"/>
      <c r="AK29" s="564"/>
      <c r="AL29" s="652"/>
      <c r="AM29" s="652"/>
      <c r="AN29" s="652"/>
      <c r="AO29" s="652"/>
      <c r="AP29" s="652"/>
      <c r="AQ29" s="702">
        <v>0</v>
      </c>
    </row>
    <row s="30764" customFormat="1" customHeight="1" ht="18.75">
      <c r="A30" s="1652"/>
      <c r="B30" s="1652"/>
      <c r="C30" s="1652"/>
      <c r="D30" s="1652"/>
      <c r="E30" s="1652"/>
      <c r="F30" s="1652"/>
      <c r="G30" s="1652"/>
      <c r="H30" s="1652"/>
      <c r="I30" s="1652"/>
      <c r="J30" s="1652"/>
      <c r="K30" s="1652"/>
      <c r="L30" s="1653"/>
      <c r="M30" s="1652"/>
      <c r="N30" s="1652"/>
      <c r="O30" s="1652"/>
      <c r="S30" s="2534" t="s">
        <v>44</v>
      </c>
      <c r="T30" s="2534"/>
      <c r="U30" s="1656"/>
      <c r="V30" s="2535" t="str">
        <f>IF(TITLE_IST_PUB_CHANGE="",IF(TITLE_IST_PUB="","",TITLE_IST_PUB),TITLE_IST_PUB_CHANGE)</f>
        <v>Официальный интернет - портал нормативных правовых актов Хабаровского края https://laws.khv.gov.ru/</v>
      </c>
      <c r="W30" s="2535"/>
      <c r="X30" s="2535"/>
      <c r="Y30" s="2535"/>
      <c r="Z30" s="2535"/>
      <c r="AA30" s="2535"/>
      <c r="AB30" s="610"/>
      <c r="AC30" s="2535" t="str">
        <f>IF(TITLE_IST_PUB_CHANGE="",IF(TITLE_IST_PUB="","",TITLE_IST_PUB),TITLE_IST_PUB_CHANGE)</f>
        <v>Официальный интернет - портал нормативных правовых актов Хабаровского края https://laws.khv.gov.ru/</v>
      </c>
      <c r="AD30" s="2535"/>
      <c r="AE30" s="2535"/>
      <c r="AF30" s="2535"/>
      <c r="AG30" s="2535"/>
      <c r="AH30" s="2535"/>
      <c r="AI30" s="610"/>
      <c r="AJ30" s="610"/>
      <c r="AK30" s="564"/>
      <c r="AL30" s="652"/>
      <c r="AM30" s="652"/>
      <c r="AN30" s="652"/>
      <c r="AO30" s="652"/>
      <c r="AP30" s="652"/>
      <c r="AQ30" s="702">
        <v>0</v>
      </c>
    </row>
    <row customHeight="1" ht="14.25" hidden="1">
      <c r="Q31" s="660"/>
      <c r="R31" s="660"/>
      <c r="S31" s="1559"/>
      <c r="T31" s="647"/>
      <c r="U31" s="647"/>
      <c r="V31" s="606"/>
      <c r="W31" s="606"/>
      <c r="X31" s="606"/>
      <c r="Y31" s="606"/>
      <c r="Z31" s="606"/>
      <c r="AA31" s="606"/>
      <c r="AB31" s="606"/>
      <c r="AC31" s="606"/>
      <c r="AD31" s="606"/>
      <c r="AE31" s="606"/>
      <c r="AF31" s="606"/>
      <c r="AG31" s="606"/>
      <c r="AH31" s="606"/>
      <c r="AI31" s="606"/>
      <c r="AJ31" s="793"/>
      <c r="AQ31" s="1439">
        <v>0</v>
      </c>
    </row>
    <row s="30764" customFormat="1" customHeight="1" ht="18.75" hidden="1">
      <c r="A32" s="1652"/>
      <c r="B32" s="1652"/>
      <c r="C32" s="1652"/>
      <c r="D32" s="1652"/>
      <c r="E32" s="1652"/>
      <c r="F32" s="1652"/>
      <c r="G32" s="1652"/>
      <c r="H32" s="1652"/>
      <c r="I32" s="1652"/>
      <c r="J32" s="1652"/>
      <c r="K32" s="1652"/>
      <c r="L32" s="1653"/>
      <c r="M32" s="1652"/>
      <c r="N32" s="1652"/>
      <c r="O32" s="1652"/>
      <c r="S32" s="2534" t="s">
        <v>482</v>
      </c>
      <c r="T32" s="2534"/>
      <c r="U32" s="1656"/>
      <c r="V32" s="2548" t="str">
        <f>IF(TITLE_DATE_PR_CHANGE="",IF(TITLE_DATE_PR="","",TITLE_DATE_PR),TITLE_DATE_PR_CHANGE)</f>
        <v>45645</v>
      </c>
      <c r="W32" s="2548"/>
      <c r="X32" s="2548"/>
      <c r="Y32" s="2548"/>
      <c r="Z32" s="2548"/>
      <c r="AA32" s="2548"/>
      <c r="AB32" s="610"/>
      <c r="AC32" s="2548" t="str">
        <f>IF(TITLE_DATE_PR_CHANGE="",IF(TITLE_DATE_PR="","",TITLE_DATE_PR),TITLE_DATE_PR_CHANGE)</f>
        <v>45645</v>
      </c>
      <c r="AD32" s="2548"/>
      <c r="AE32" s="2548"/>
      <c r="AF32" s="2548"/>
      <c r="AG32" s="2548"/>
      <c r="AH32" s="2548"/>
      <c r="AI32" s="610"/>
      <c r="AJ32" s="610"/>
      <c r="AK32" s="564"/>
      <c r="AL32" s="652"/>
      <c r="AM32" s="652"/>
      <c r="AN32" s="652"/>
      <c r="AO32" s="652"/>
      <c r="AP32" s="652"/>
      <c r="AQ32" s="702">
        <v>0</v>
      </c>
    </row>
    <row s="30764" customFormat="1" customHeight="1" ht="18.75" hidden="1">
      <c r="A33" s="1652"/>
      <c r="B33" s="1652"/>
      <c r="C33" s="1652"/>
      <c r="D33" s="1652"/>
      <c r="E33" s="1652"/>
      <c r="F33" s="1652"/>
      <c r="G33" s="1652"/>
      <c r="H33" s="1652"/>
      <c r="I33" s="1652"/>
      <c r="J33" s="1652"/>
      <c r="K33" s="1652"/>
      <c r="L33" s="1653"/>
      <c r="M33" s="1652"/>
      <c r="N33" s="1652"/>
      <c r="O33" s="1652"/>
      <c r="S33" s="2534" t="s">
        <v>483</v>
      </c>
      <c r="T33" s="2534"/>
      <c r="U33" s="1656"/>
      <c r="V33" s="2535" t="str">
        <f>IF(TITLE_NUMBER_PR_CHANGE="",IF(TITLE_NUMBER_PR="","",TITLE_NUMBER_PR),TITLE_NUMBER_PR_CHANGE)</f>
        <v>№ 40/8</v>
      </c>
      <c r="W33" s="2535"/>
      <c r="X33" s="2535"/>
      <c r="Y33" s="2535"/>
      <c r="Z33" s="2535"/>
      <c r="AA33" s="2535"/>
      <c r="AB33" s="610"/>
      <c r="AC33" s="2535" t="str">
        <f>IF(TITLE_NUMBER_PR_CHANGE="",IF(TITLE_NUMBER_PR="","",TITLE_NUMBER_PR),TITLE_NUMBER_PR_CHANGE)</f>
        <v>№ 40/8</v>
      </c>
      <c r="AD33" s="2535"/>
      <c r="AE33" s="2535"/>
      <c r="AF33" s="2535"/>
      <c r="AG33" s="2535"/>
      <c r="AH33" s="2535"/>
      <c r="AI33" s="610"/>
      <c r="AJ33" s="610"/>
      <c r="AK33" s="564"/>
      <c r="AL33" s="652"/>
      <c r="AM33" s="652"/>
      <c r="AN33" s="652"/>
      <c r="AO33" s="652"/>
      <c r="AP33" s="652"/>
      <c r="AQ33" s="702">
        <v>0</v>
      </c>
    </row>
    <row s="30764" customFormat="1" customHeight="1" ht="1.05">
      <c r="A34" s="1652"/>
      <c r="B34" s="1652"/>
      <c r="C34" s="1652"/>
      <c r="D34" s="1652"/>
      <c r="E34" s="1652"/>
      <c r="F34" s="1652"/>
      <c r="G34" s="1652"/>
      <c r="H34" s="1652"/>
      <c r="I34" s="1652"/>
      <c r="J34" s="1652"/>
      <c r="K34" s="1652"/>
      <c r="L34" s="1653"/>
      <c r="M34" s="1652"/>
      <c r="N34" s="1652"/>
      <c r="O34" s="1652"/>
      <c r="S34" s="607"/>
      <c r="T34" s="607"/>
      <c r="U34" s="1772"/>
      <c r="V34" s="610"/>
      <c r="W34" s="610"/>
      <c r="X34" s="610"/>
      <c r="Y34" s="610"/>
      <c r="Z34" s="610"/>
      <c r="AA34" s="610"/>
      <c r="AB34" s="562" t="s">
        <v>484</v>
      </c>
      <c r="AC34" s="610"/>
      <c r="AD34" s="610"/>
      <c r="AE34" s="610"/>
      <c r="AF34" s="610"/>
      <c r="AG34" s="610"/>
      <c r="AH34" s="610"/>
      <c r="AI34" s="562" t="s">
        <v>484</v>
      </c>
      <c r="AL34" s="652"/>
      <c r="AM34" s="652"/>
      <c r="AN34" s="652"/>
      <c r="AO34" s="652"/>
      <c r="AP34" s="652"/>
      <c r="AQ34" s="702">
        <v>1</v>
      </c>
    </row>
    <row customHeight="1" ht="14.699999999999998">
      <c r="Q35" s="660"/>
      <c r="R35" s="660"/>
      <c r="S35" s="1559"/>
      <c r="T35" s="647"/>
      <c r="U35" s="1528"/>
      <c r="V35" s="2536"/>
      <c r="W35" s="2536"/>
      <c r="X35" s="2536"/>
      <c r="Y35" s="2536"/>
      <c r="Z35" s="2536"/>
      <c r="AA35" s="2536"/>
      <c r="AB35" s="2536"/>
      <c r="AC35" s="2536"/>
      <c r="AD35" s="2536"/>
      <c r="AE35" s="2536"/>
      <c r="AF35" s="2536"/>
      <c r="AG35" s="2536"/>
      <c r="AH35" s="2536"/>
      <c r="AI35" s="2536"/>
      <c r="AQ35" s="1439">
        <v>14</v>
      </c>
    </row>
    <row customHeight="1" ht="14.699999999999998">
      <c r="Q36" s="660"/>
      <c r="R36" s="660"/>
      <c r="S36" s="2411" t="s">
        <v>360</v>
      </c>
      <c r="T36" s="2411"/>
      <c r="U36" s="2411"/>
      <c r="V36" s="2411"/>
      <c r="W36" s="2411"/>
      <c r="X36" s="2411"/>
      <c r="Y36" s="2411"/>
      <c r="Z36" s="2411"/>
      <c r="AA36" s="2411"/>
      <c r="AB36" s="2411"/>
      <c r="AC36" s="2411"/>
      <c r="AD36" s="2411"/>
      <c r="AE36" s="2411"/>
      <c r="AF36" s="2411"/>
      <c r="AG36" s="2411"/>
      <c r="AH36" s="2411"/>
      <c r="AI36" s="2411"/>
      <c r="AJ36" s="2411"/>
      <c r="AK36" s="2411" t="s">
        <v>361</v>
      </c>
      <c r="AQ36" s="1439">
        <v>14</v>
      </c>
    </row>
    <row customHeight="1" ht="14.699999999999998">
      <c r="Q37" s="660"/>
      <c r="R37" s="660"/>
      <c r="S37" s="2557" t="s">
        <v>91</v>
      </c>
      <c r="T37" s="2493" t="s">
        <v>485</v>
      </c>
      <c r="U37" s="585"/>
      <c r="V37" s="2558" t="s">
        <v>486</v>
      </c>
      <c r="W37" s="2559"/>
      <c r="X37" s="2559"/>
      <c r="Y37" s="2559"/>
      <c r="Z37" s="2559"/>
      <c r="AA37" s="2560"/>
      <c r="AB37" s="2561" t="s">
        <v>487</v>
      </c>
      <c r="AC37" s="2558" t="s">
        <v>486</v>
      </c>
      <c r="AD37" s="2559"/>
      <c r="AE37" s="2559"/>
      <c r="AF37" s="2559"/>
      <c r="AG37" s="2559"/>
      <c r="AH37" s="2560"/>
      <c r="AI37" s="2561" t="s">
        <v>488</v>
      </c>
      <c r="AJ37" s="2564" t="s">
        <v>489</v>
      </c>
      <c r="AK37" s="2411"/>
      <c r="AQ37" s="1439">
        <v>14</v>
      </c>
    </row>
    <row customHeight="1" ht="35.699999999999996">
      <c r="Q38" s="660"/>
      <c r="R38" s="660"/>
      <c r="S38" s="2557"/>
      <c r="T38" s="2493"/>
      <c r="U38" s="1315"/>
      <c r="V38" s="1767" t="s">
        <v>561</v>
      </c>
      <c r="W38" s="2546" t="s">
        <v>492</v>
      </c>
      <c r="X38" s="2547"/>
      <c r="Y38" s="2546" t="s">
        <v>493</v>
      </c>
      <c r="Z38" s="2553"/>
      <c r="AA38" s="2547"/>
      <c r="AB38" s="2562"/>
      <c r="AC38" s="1767" t="s">
        <v>561</v>
      </c>
      <c r="AD38" s="2546" t="s">
        <v>492</v>
      </c>
      <c r="AE38" s="2547"/>
      <c r="AF38" s="2546" t="s">
        <v>493</v>
      </c>
      <c r="AG38" s="2553"/>
      <c r="AH38" s="2547"/>
      <c r="AI38" s="2562"/>
      <c r="AJ38" s="2565"/>
      <c r="AK38" s="2411"/>
      <c r="AQ38" s="1439">
        <v>34</v>
      </c>
    </row>
    <row customHeight="1" ht="90.3">
      <c r="A39" s="1654"/>
      <c r="B39" s="1654" t="s">
        <v>165</v>
      </c>
      <c r="C39" s="1654" t="s">
        <v>166</v>
      </c>
      <c r="D39" s="1654" t="s">
        <v>167</v>
      </c>
      <c r="E39" s="1648" t="s">
        <v>494</v>
      </c>
      <c r="F39" s="1648" t="s">
        <v>495</v>
      </c>
      <c r="G39" s="1648" t="s">
        <v>496</v>
      </c>
      <c r="H39" s="1648"/>
      <c r="I39" s="1648" t="s">
        <v>562</v>
      </c>
      <c r="J39" s="1648" t="s">
        <v>499</v>
      </c>
      <c r="K39" s="1648" t="s">
        <v>563</v>
      </c>
      <c r="L39" s="1648" t="s">
        <v>475</v>
      </c>
      <c r="Q39" s="660"/>
      <c r="R39" s="660"/>
      <c r="S39" s="2557"/>
      <c r="T39" s="2493"/>
      <c r="U39" s="586"/>
      <c r="V39" s="1767" t="s">
        <v>590</v>
      </c>
      <c r="W39" s="1506" t="s">
        <v>591</v>
      </c>
      <c r="X39" s="1506" t="s">
        <v>566</v>
      </c>
      <c r="Y39" s="1773" t="s">
        <v>503</v>
      </c>
      <c r="Z39" s="2554" t="s">
        <v>504</v>
      </c>
      <c r="AA39" s="2555"/>
      <c r="AB39" s="2563"/>
      <c r="AC39" s="1767" t="s">
        <v>590</v>
      </c>
      <c r="AD39" s="1506" t="s">
        <v>591</v>
      </c>
      <c r="AE39" s="1506" t="s">
        <v>566</v>
      </c>
      <c r="AF39" s="1773" t="s">
        <v>503</v>
      </c>
      <c r="AG39" s="2554" t="s">
        <v>504</v>
      </c>
      <c r="AH39" s="2555"/>
      <c r="AI39" s="2563"/>
      <c r="AJ39" s="2566"/>
      <c r="AK39" s="2411"/>
      <c r="AQ39" s="1439">
        <v>86</v>
      </c>
    </row>
    <row s="31261" customFormat="1" customHeight="1" ht="11.25" hidden="1">
      <c r="A40" s="1654"/>
      <c r="B40" s="1654"/>
      <c r="C40" s="1654"/>
      <c r="D40" s="1654"/>
      <c r="E40" s="1654"/>
      <c r="F40" s="1654"/>
      <c r="G40" s="1654"/>
      <c r="H40" s="1654"/>
      <c r="I40" s="1654"/>
      <c r="J40" s="1654"/>
      <c r="K40" s="1654"/>
      <c r="L40" s="1648"/>
      <c r="M40" s="1646"/>
      <c r="N40" s="1646"/>
      <c r="O40" s="1646"/>
      <c r="P40" s="1530"/>
      <c r="Q40" s="1531"/>
      <c r="R40" s="1538">
        <v>1</v>
      </c>
      <c r="S40" s="1561" t="s">
        <v>141</v>
      </c>
      <c r="T40" s="1539" t="s">
        <v>105</v>
      </c>
      <c r="U40" s="1529" t="str">
        <f>OFFSET(U40,0,-1)</f>
        <v>2</v>
      </c>
      <c r="V40" s="1766">
        <f>OFFSET(V40,0,-1)+1</f>
        <v>3</v>
      </c>
      <c r="W40" s="1766">
        <f>OFFSET(W40,0,-1)+1</f>
        <v>4</v>
      </c>
      <c r="X40" s="1766">
        <f>OFFSET(X40,0,-1)+1</f>
        <v>5</v>
      </c>
      <c r="Y40" s="1766">
        <f>OFFSET(Y40,0,-1)+1</f>
        <v>6</v>
      </c>
      <c r="Z40" s="2556">
        <f>OFFSET(Z40,0,-1)+1</f>
        <v>7</v>
      </c>
      <c r="AA40" s="2556"/>
      <c r="AB40" s="1766">
        <f>OFFSET(AB40,0,-2)+1</f>
        <v>8</v>
      </c>
      <c r="AC40" s="1766">
        <f>OFFSET(AC40,0,-1)+1</f>
        <v>9</v>
      </c>
      <c r="AD40" s="1766">
        <f>OFFSET(AD40,0,-1)+1</f>
        <v>10</v>
      </c>
      <c r="AE40" s="1766">
        <f>OFFSET(AE40,0,-1)+1</f>
        <v>11</v>
      </c>
      <c r="AF40" s="1766">
        <f>OFFSET(AF40,0,-1)+1</f>
        <v>12</v>
      </c>
      <c r="AG40" s="2556">
        <f>OFFSET(AG40,0,-1)+1</f>
        <v>13</v>
      </c>
      <c r="AH40" s="2556"/>
      <c r="AI40" s="1766">
        <f>OFFSET(AI40,0,-2)+1</f>
        <v>14</v>
      </c>
      <c r="AJ40" s="1529">
        <f>OFFSET(AJ40,0,-1)</f>
        <v>14</v>
      </c>
      <c r="AK40" s="1766">
        <f>OFFSET(AK40,0,-1)+1</f>
        <v>15</v>
      </c>
      <c r="AL40" s="795"/>
      <c r="AM40" s="795"/>
      <c r="AN40" s="795"/>
      <c r="AO40" s="795"/>
      <c r="AP40" s="795"/>
      <c r="AQ40" s="780">
        <v>0</v>
      </c>
    </row>
    <row customHeight="1" ht="24">
      <c r="A41" s="1647" t="s">
        <v>326</v>
      </c>
      <c r="B41" s="1647"/>
      <c r="C41" s="1647"/>
      <c r="D41" s="1647"/>
      <c r="E41" s="2542">
        <v>1</v>
      </c>
      <c r="F41" s="1647"/>
      <c r="G41" s="1647"/>
      <c r="H41" s="1647"/>
      <c r="I41" s="1647"/>
      <c r="J41" s="1647"/>
      <c r="K41" s="1647"/>
      <c r="L41" s="1648"/>
      <c r="M41" s="1649"/>
      <c r="N41" s="1649"/>
      <c r="O41" s="1649"/>
      <c r="P41" s="645"/>
      <c r="Q41" s="644"/>
      <c r="R41" s="639"/>
      <c r="S41" s="1777">
        <f>INDEX(PT_DIFFERENTIATION_NUM_NTAR,MATCH(A41,PT_DIFFERENTIATION_NTAR_ID,0))</f>
        <v>0</v>
      </c>
      <c r="T41" s="582" t="s">
        <v>153</v>
      </c>
      <c r="U41" s="584"/>
      <c r="V41" s="2526"/>
      <c r="W41" s="2527"/>
      <c r="X41" s="2527"/>
      <c r="Y41" s="2527"/>
      <c r="Z41" s="2527"/>
      <c r="AA41" s="2527"/>
      <c r="AB41" s="2528"/>
      <c r="AC41" s="2526" t="str">
        <f>INDEX(PT_DIFFERENTIATION_NTAR,MATCH(A41,PT_DIFFERENTIATION_NTAR_ID,0))</f>
        <v/>
      </c>
      <c r="AD41" s="2527"/>
      <c r="AE41" s="2527"/>
      <c r="AF41" s="2527"/>
      <c r="AG41" s="2527"/>
      <c r="AH41" s="2527"/>
      <c r="AI41" s="2527"/>
      <c r="AJ41" s="2528"/>
      <c r="AK41"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784"/>
      <c r="AN41" s="784" t="str">
        <f>IF(T41="","",T41)</f>
        <v>Наименование тарифа</v>
      </c>
      <c r="AO41" s="784"/>
      <c r="AP41" s="784"/>
      <c r="AQ41" s="1439">
        <v>23</v>
      </c>
    </row>
    <row customHeight="1" ht="24">
      <c r="A42" s="1647" t="s">
        <v>326</v>
      </c>
      <c r="B42" s="1647" t="s">
        <v>327</v>
      </c>
      <c r="C42" s="1647"/>
      <c r="D42" s="1647"/>
      <c r="E42" s="2543"/>
      <c r="F42" s="2542">
        <v>1</v>
      </c>
      <c r="G42" s="1647"/>
      <c r="H42" s="1647"/>
      <c r="I42" s="1647"/>
      <c r="J42" s="1647"/>
      <c r="K42" s="1647"/>
      <c r="L42" s="1648"/>
      <c r="M42" s="1649"/>
      <c r="N42" s="1649"/>
      <c r="O42" s="1649"/>
      <c r="P42" s="1771"/>
      <c r="Q42" s="636"/>
      <c r="R42" s="637"/>
      <c r="S42" s="1777" t="str">
        <f>INDEX(PT_DIFFERENTIATION_NUM_TER,MATCH(B42,PT_DIFFERENTIATION_TER_ID,0))</f>
        <v>.</v>
      </c>
      <c r="T42" s="592" t="s">
        <v>457</v>
      </c>
      <c r="U42" s="584"/>
      <c r="V42" s="2526"/>
      <c r="W42" s="2527"/>
      <c r="X42" s="2527"/>
      <c r="Y42" s="2527"/>
      <c r="Z42" s="2527"/>
      <c r="AA42" s="2527"/>
      <c r="AB42" s="2528"/>
      <c r="AC42" s="2526" t="str">
        <f>INDEX(PT_DIFFERENTIATION_TER,MATCH(B42,PT_DIFFERENTIATION_TER_ID,0))</f>
        <v/>
      </c>
      <c r="AD42" s="2527"/>
      <c r="AE42" s="2527"/>
      <c r="AF42" s="2527"/>
      <c r="AG42" s="2527"/>
      <c r="AH42" s="2527"/>
      <c r="AI42" s="2527"/>
      <c r="AJ42" s="2528"/>
      <c r="AK42" s="1542" t="s">
        <v>458</v>
      </c>
      <c r="AM42" s="784"/>
      <c r="AN42" s="784" t="str">
        <f>IF(T42="","",T42)</f>
        <v>Территория действия тарифа</v>
      </c>
      <c r="AO42" s="784"/>
      <c r="AP42" s="784"/>
      <c r="AQ42" s="1439">
        <v>23</v>
      </c>
    </row>
    <row customHeight="1" ht="24">
      <c r="A43" s="1647" t="s">
        <v>326</v>
      </c>
      <c r="B43" s="1647" t="s">
        <v>327</v>
      </c>
      <c r="C43" s="1647" t="s">
        <v>328</v>
      </c>
      <c r="D43" s="1647"/>
      <c r="E43" s="2543"/>
      <c r="F43" s="2543"/>
      <c r="G43" s="2542">
        <v>1</v>
      </c>
      <c r="H43" s="1647"/>
      <c r="I43" s="1647"/>
      <c r="J43" s="1647"/>
      <c r="K43" s="1647"/>
      <c r="L43" s="1648"/>
      <c r="M43" s="1649"/>
      <c r="N43" s="1649"/>
      <c r="O43" s="1649"/>
      <c r="P43" s="638"/>
      <c r="Q43" s="636"/>
      <c r="R43" s="637"/>
      <c r="S43" s="1777" t="str">
        <f>INDEX(PT_DIFFERENTIATION_NUM_CS,MATCH(C43,PT_DIFFERENTIATION_CS_ID,0))</f>
        <v>..</v>
      </c>
      <c r="T43" s="593" t="s">
        <v>588</v>
      </c>
      <c r="U43" s="584"/>
      <c r="V43" s="2526"/>
      <c r="W43" s="2527"/>
      <c r="X43" s="2527"/>
      <c r="Y43" s="2527"/>
      <c r="Z43" s="2527"/>
      <c r="AA43" s="2527"/>
      <c r="AB43" s="2528"/>
      <c r="AC43" s="2526" t="str">
        <f>INDEX(PT_DIFFERENTIATION_CS,MATCH(C43,PT_DIFFERENTIATION_CS_ID,0))</f>
        <v/>
      </c>
      <c r="AD43" s="2527"/>
      <c r="AE43" s="2527"/>
      <c r="AF43" s="2527"/>
      <c r="AG43" s="2527"/>
      <c r="AH43" s="2527"/>
      <c r="AI43" s="2527"/>
      <c r="AJ43" s="2528"/>
      <c r="AK43" s="1542" t="s">
        <v>589</v>
      </c>
      <c r="AM43" s="784"/>
      <c r="AN43" s="784" t="str">
        <f>IF(T43="","",T43)</f>
        <v>Наименование централизованной системы водоотведения</v>
      </c>
      <c r="AO43" s="784"/>
      <c r="AP43" s="784"/>
      <c r="AQ43" s="1439">
        <v>23</v>
      </c>
    </row>
    <row customHeight="1" ht="24">
      <c r="A44" s="1647" t="s">
        <v>326</v>
      </c>
      <c r="B44" s="1647" t="s">
        <v>327</v>
      </c>
      <c r="C44" s="1647" t="s">
        <v>328</v>
      </c>
      <c r="D44" s="1647" t="s">
        <v>592</v>
      </c>
      <c r="E44" s="2543"/>
      <c r="F44" s="2543"/>
      <c r="G44" s="2543"/>
      <c r="H44" s="2543"/>
      <c r="I44" s="2540" t="str">
        <f>S43&amp;".1"</f>
        <v>...1</v>
      </c>
      <c r="J44" s="1647"/>
      <c r="K44" s="1647"/>
      <c r="L44" s="1648"/>
      <c r="P44" s="2541">
        <v>1</v>
      </c>
      <c r="Q44" s="1765"/>
      <c r="R44" s="640"/>
      <c r="S44" s="1777" t="str">
        <f>$I44</f>
        <v>...1</v>
      </c>
      <c r="T44" s="569" t="s">
        <v>555</v>
      </c>
      <c r="U44" s="584"/>
      <c r="V44" s="2634"/>
      <c r="W44" s="2635"/>
      <c r="X44" s="2635"/>
      <c r="Y44" s="2635"/>
      <c r="Z44" s="2635"/>
      <c r="AA44" s="2635"/>
      <c r="AB44" s="2636"/>
      <c r="AC44" s="2637"/>
      <c r="AD44" s="2638"/>
      <c r="AE44" s="2638"/>
      <c r="AF44" s="2638"/>
      <c r="AG44" s="2638"/>
      <c r="AH44" s="2638"/>
      <c r="AI44" s="2638"/>
      <c r="AJ44" s="2639"/>
      <c r="AK44" s="1542" t="s">
        <v>556</v>
      </c>
      <c r="AM44" s="784"/>
      <c r="AN44" s="784" t="str">
        <f>IF(T44="","",T44)</f>
        <v>Наименование признака дифференциации</v>
      </c>
      <c r="AO44" s="784"/>
      <c r="AP44" s="784"/>
      <c r="AQ44" s="1439">
        <v>23</v>
      </c>
    </row>
    <row customHeight="1" ht="24">
      <c r="A45" s="1647" t="s">
        <v>326</v>
      </c>
      <c r="B45" s="1647" t="s">
        <v>327</v>
      </c>
      <c r="C45" s="1647" t="s">
        <v>328</v>
      </c>
      <c r="D45" s="1647" t="s">
        <v>592</v>
      </c>
      <c r="E45" s="2543"/>
      <c r="F45" s="2543"/>
      <c r="G45" s="2543"/>
      <c r="H45" s="2543"/>
      <c r="I45" s="2570"/>
      <c r="J45" s="2540" t="str">
        <f>I44&amp;".1"</f>
        <v>...1.1</v>
      </c>
      <c r="K45" s="1647"/>
      <c r="L45" s="1648" t="s">
        <v>466</v>
      </c>
      <c r="P45" s="2541"/>
      <c r="Q45" s="2541">
        <v>1</v>
      </c>
      <c r="R45" s="641"/>
      <c r="S45" s="1777" t="str">
        <f>$J45</f>
        <v>...1.1</v>
      </c>
      <c r="T45" s="570" t="s">
        <v>467</v>
      </c>
      <c r="U45" s="584"/>
      <c r="V45" s="2529"/>
      <c r="W45" s="2530"/>
      <c r="X45" s="2530"/>
      <c r="Y45" s="2530"/>
      <c r="Z45" s="2530"/>
      <c r="AA45" s="2530"/>
      <c r="AB45" s="2531"/>
      <c r="AC45" s="2529"/>
      <c r="AD45" s="2530"/>
      <c r="AE45" s="2530"/>
      <c r="AF45" s="2530"/>
      <c r="AG45" s="2530"/>
      <c r="AH45" s="2530"/>
      <c r="AI45" s="2530"/>
      <c r="AJ45" s="2531"/>
      <c r="AK45" s="1591" t="s">
        <v>557</v>
      </c>
      <c r="AM45" s="784"/>
      <c r="AN45" s="784" t="str">
        <f>IF(T45="","",T45)</f>
        <v>Группа потребителей</v>
      </c>
      <c r="AO45" s="784"/>
      <c r="AP45" s="784"/>
      <c r="AQ45" s="1439">
        <v>23</v>
      </c>
    </row>
    <row customHeight="1" ht="24">
      <c r="A46" s="1647" t="s">
        <v>326</v>
      </c>
      <c r="B46" s="1647" t="s">
        <v>327</v>
      </c>
      <c r="C46" s="1647" t="s">
        <v>328</v>
      </c>
      <c r="D46" s="1647" t="s">
        <v>592</v>
      </c>
      <c r="E46" s="2543"/>
      <c r="F46" s="2543"/>
      <c r="G46" s="2543"/>
      <c r="H46" s="2543"/>
      <c r="I46" s="2570"/>
      <c r="J46" s="2570"/>
      <c r="K46" s="2540" t="str">
        <f>J45&amp;".1"</f>
        <v>...1.1.1</v>
      </c>
      <c r="L46" s="1648"/>
      <c r="P46" s="2541"/>
      <c r="Q46" s="2541"/>
      <c r="R46" s="641">
        <v>1</v>
      </c>
      <c r="S46" s="1777" t="str">
        <f>$K46</f>
        <v>...1.1.1</v>
      </c>
      <c r="T46" s="1721"/>
      <c r="U46" s="584"/>
      <c r="V46" s="1644"/>
      <c r="W46" s="1644"/>
      <c r="X46" s="1645"/>
      <c r="Y46" s="2551"/>
      <c r="Z46" s="2552" t="s">
        <v>64</v>
      </c>
      <c r="AA46" s="2551"/>
      <c r="AB46" s="2552" t="s">
        <v>64</v>
      </c>
      <c r="AC46" s="1035"/>
      <c r="AD46" s="1035"/>
      <c r="AE46" s="1541"/>
      <c r="AF46" s="2549"/>
      <c r="AG46" s="2391" t="s">
        <v>64</v>
      </c>
      <c r="AH46" s="2571"/>
      <c r="AI46" s="2391" t="s">
        <v>19</v>
      </c>
      <c r="AJ46" s="1722"/>
      <c r="AK46" s="26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95">
        <f>STRCHECKDATE(V47:AJ47)</f>
      </c>
      <c r="AM46" s="784"/>
      <c r="AN46" s="784" t="str">
        <f>IF(T46="","",T46)</f>
        <v/>
      </c>
      <c r="AO46" s="784"/>
      <c r="AP46" s="784"/>
      <c r="AQ46" s="1439">
        <v>23</v>
      </c>
    </row>
    <row customHeight="1" ht="0">
      <c r="A47" s="1647" t="s">
        <v>326</v>
      </c>
      <c r="B47" s="1647" t="s">
        <v>327</v>
      </c>
      <c r="C47" s="1647" t="s">
        <v>328</v>
      </c>
      <c r="D47" s="1647" t="s">
        <v>592</v>
      </c>
      <c r="E47" s="2543"/>
      <c r="F47" s="2543"/>
      <c r="G47" s="2543"/>
      <c r="H47" s="2543"/>
      <c r="I47" s="2570"/>
      <c r="J47" s="2570"/>
      <c r="K47" s="2540"/>
      <c r="L47" s="1648"/>
      <c r="P47" s="2541"/>
      <c r="Q47" s="2541"/>
      <c r="R47" s="641"/>
      <c r="S47" s="1774"/>
      <c r="T47" s="584"/>
      <c r="U47" s="584"/>
      <c r="V47" s="1644"/>
      <c r="W47" s="1644"/>
      <c r="X47" s="612" t="str">
        <f>Y46&amp;"-"&amp;AA46</f>
        <v>-</v>
      </c>
      <c r="Y47" s="2552"/>
      <c r="Z47" s="2552"/>
      <c r="AA47" s="2552"/>
      <c r="AB47" s="2552"/>
      <c r="AC47" s="609"/>
      <c r="AD47" s="609"/>
      <c r="AE47" s="612" t="str">
        <f>AF46&amp;"-"&amp;AH46</f>
        <v>-</v>
      </c>
      <c r="AF47" s="2550"/>
      <c r="AG47" s="2391"/>
      <c r="AH47" s="2572"/>
      <c r="AI47" s="2391"/>
      <c r="AJ47" s="1723"/>
      <c r="AK47" s="2633"/>
      <c r="AM47" s="784"/>
      <c r="AN47" s="784" t="str">
        <f>IF(T47="","",T47)</f>
        <v/>
      </c>
      <c r="AO47" s="784"/>
      <c r="AP47" s="784"/>
      <c r="AQ47" s="1439">
        <v>0</v>
      </c>
    </row>
    <row customHeight="1" ht="21">
      <c r="A48" s="1647" t="s">
        <v>326</v>
      </c>
      <c r="B48" s="1647" t="s">
        <v>327</v>
      </c>
      <c r="C48" s="1647" t="s">
        <v>328</v>
      </c>
      <c r="D48" s="1647" t="s">
        <v>592</v>
      </c>
      <c r="E48" s="2543"/>
      <c r="F48" s="2543"/>
      <c r="G48" s="2543"/>
      <c r="H48" s="2543"/>
      <c r="I48" s="2570"/>
      <c r="J48" s="2540"/>
      <c r="K48" s="1647"/>
      <c r="L48" s="1648"/>
      <c r="P48" s="2541"/>
      <c r="Q48" s="2541"/>
      <c r="R48" s="640"/>
      <c r="S48" s="1562"/>
      <c r="T48" s="571" t="s">
        <v>558</v>
      </c>
      <c r="U48" s="651"/>
      <c r="V48" s="651"/>
      <c r="W48" s="651"/>
      <c r="X48" s="651"/>
      <c r="Y48" s="651"/>
      <c r="Z48" s="651"/>
      <c r="AA48" s="651"/>
      <c r="AB48" s="651"/>
      <c r="AC48" s="651"/>
      <c r="AD48" s="651"/>
      <c r="AE48" s="651"/>
      <c r="AF48" s="651"/>
      <c r="AG48" s="651"/>
      <c r="AH48" s="651"/>
      <c r="AI48" s="651"/>
      <c r="AJ48" s="651"/>
      <c r="AK48" s="1542" t="s">
        <v>559</v>
      </c>
      <c r="AM48" s="784"/>
      <c r="AN48" s="784" t="str">
        <f>IF(T48="","",T48)</f>
        <v>Добавить значение признака дифференциации</v>
      </c>
      <c r="AO48" s="784"/>
      <c r="AP48" s="784"/>
      <c r="AQ48" s="1439">
        <v>20</v>
      </c>
    </row>
    <row customHeight="1" ht="22.049999999999997">
      <c r="A49" s="1647" t="s">
        <v>326</v>
      </c>
      <c r="B49" s="1647" t="s">
        <v>327</v>
      </c>
      <c r="C49" s="1647" t="s">
        <v>328</v>
      </c>
      <c r="D49" s="1647" t="s">
        <v>592</v>
      </c>
      <c r="E49" s="2543"/>
      <c r="F49" s="2543"/>
      <c r="G49" s="2543"/>
      <c r="H49" s="2543"/>
      <c r="I49" s="2540"/>
      <c r="J49" s="1647"/>
      <c r="K49" s="1647"/>
      <c r="L49" s="1648"/>
      <c r="P49" s="2541"/>
      <c r="Q49" s="1765"/>
      <c r="R49" s="640"/>
      <c r="S49" s="1562"/>
      <c r="T49" s="649" t="s">
        <v>472</v>
      </c>
      <c r="U49" s="651"/>
      <c r="V49" s="651"/>
      <c r="W49" s="651"/>
      <c r="X49" s="651"/>
      <c r="Y49" s="651"/>
      <c r="Z49" s="651"/>
      <c r="AA49" s="651"/>
      <c r="AB49" s="650"/>
      <c r="AC49" s="651"/>
      <c r="AD49" s="651"/>
      <c r="AE49" s="651"/>
      <c r="AF49" s="651"/>
      <c r="AG49" s="651"/>
      <c r="AH49" s="651"/>
      <c r="AI49" s="650"/>
      <c r="AJ49" s="651"/>
      <c r="AK49" s="1724"/>
      <c r="AM49" s="784"/>
      <c r="AN49" s="784" t="str">
        <f>IF(T49="","",T49)</f>
        <v>Добавить группу потребителей</v>
      </c>
      <c r="AO49" s="784"/>
      <c r="AP49" s="784"/>
      <c r="AQ49" s="1439">
        <v>21</v>
      </c>
    </row>
    <row customHeight="1" ht="22.049999999999997">
      <c r="A50" s="1647" t="s">
        <v>326</v>
      </c>
      <c r="B50" s="1647" t="s">
        <v>327</v>
      </c>
      <c r="C50" s="1647" t="s">
        <v>328</v>
      </c>
      <c r="D50" s="1647" t="s">
        <v>592</v>
      </c>
      <c r="E50" s="2543"/>
      <c r="F50" s="2543"/>
      <c r="G50" s="2543"/>
      <c r="H50" s="2542"/>
      <c r="I50" s="1647"/>
      <c r="J50" s="1647"/>
      <c r="K50" s="1647"/>
      <c r="L50" s="1648"/>
      <c r="M50" s="1649"/>
      <c r="N50" s="1649"/>
      <c r="O50" s="821"/>
      <c r="P50" s="644"/>
      <c r="Q50" s="659"/>
      <c r="R50" s="639"/>
      <c r="S50" s="1562"/>
      <c r="T50" s="656" t="s">
        <v>560</v>
      </c>
      <c r="U50" s="651"/>
      <c r="V50" s="651"/>
      <c r="W50" s="651"/>
      <c r="X50" s="651"/>
      <c r="Y50" s="651"/>
      <c r="Z50" s="651"/>
      <c r="AA50" s="651"/>
      <c r="AB50" s="650"/>
      <c r="AC50" s="651"/>
      <c r="AD50" s="651"/>
      <c r="AE50" s="651"/>
      <c r="AF50" s="651"/>
      <c r="AG50" s="651"/>
      <c r="AH50" s="651"/>
      <c r="AI50" s="650"/>
      <c r="AJ50" s="651"/>
      <c r="AK50" s="587"/>
      <c r="AM50" s="784"/>
      <c r="AN50" s="784" t="str">
        <f>IF(T50="","",T50)</f>
        <v>Добавить наименование признака дифференциации</v>
      </c>
      <c r="AO50" s="784"/>
      <c r="AP50" s="784"/>
      <c r="AQ50" s="1439">
        <v>21</v>
      </c>
    </row>
    <row s="30621" customFormat="1" customHeight="1" ht="0">
      <c r="A51" s="1627" t="s">
        <v>326</v>
      </c>
      <c r="B51" s="1627" t="s">
        <v>327</v>
      </c>
      <c r="C51" s="1598"/>
      <c r="D51" s="1598"/>
      <c r="E51" s="2543"/>
      <c r="F51" s="2542"/>
      <c r="G51" s="1598"/>
      <c r="H51" s="1598"/>
      <c r="I51" s="1598"/>
      <c r="J51" s="1598"/>
      <c r="K51" s="1598"/>
      <c r="L51" s="1778"/>
      <c r="M51" s="1605"/>
      <c r="N51" s="1605"/>
      <c r="P51" s="1600"/>
      <c r="Q51" s="1601"/>
      <c r="R51" s="1600"/>
      <c r="S51" s="1606"/>
      <c r="T51" s="1609" t="s">
        <v>214</v>
      </c>
      <c r="U51" s="1608"/>
      <c r="V51" s="1608"/>
      <c r="W51" s="1608"/>
      <c r="X51" s="1608"/>
      <c r="Y51" s="1608"/>
      <c r="Z51" s="1608"/>
      <c r="AA51" s="1608"/>
      <c r="AB51" s="1608"/>
      <c r="AC51" s="1608"/>
      <c r="AD51" s="1608"/>
      <c r="AE51" s="1608"/>
      <c r="AF51" s="1608"/>
      <c r="AG51" s="1608"/>
      <c r="AH51" s="1608"/>
      <c r="AI51" s="1608"/>
      <c r="AJ51" s="1608"/>
      <c r="AK51" s="1608"/>
      <c r="AM51" s="1073"/>
      <c r="AN51" s="1073" t="str">
        <f>IF(T51="","",T51)</f>
        <v>Добавить централизованную систему для дифференциации</v>
      </c>
      <c r="AO51" s="1073"/>
      <c r="AP51" s="1073"/>
      <c r="AQ51" s="802">
        <v>0</v>
      </c>
    </row>
    <row s="30621" customFormat="1" customHeight="1" ht="0">
      <c r="A52" s="1627" t="s">
        <v>326</v>
      </c>
      <c r="B52" s="1627"/>
      <c r="C52" s="1627"/>
      <c r="D52" s="1627"/>
      <c r="E52" s="2542"/>
      <c r="F52" s="1627"/>
      <c r="G52" s="1627"/>
      <c r="H52" s="1627"/>
      <c r="I52" s="1627"/>
      <c r="J52" s="1627"/>
      <c r="K52" s="1627"/>
      <c r="L52" s="1630"/>
      <c r="M52" s="1605"/>
      <c r="N52" s="1605"/>
      <c r="O52" s="802"/>
      <c r="P52" s="664"/>
      <c r="Q52" s="1628"/>
      <c r="R52" s="664"/>
      <c r="S52" s="1606"/>
      <c r="T52" s="1609" t="s">
        <v>230</v>
      </c>
      <c r="U52" s="1608"/>
      <c r="V52" s="1608"/>
      <c r="W52" s="1608"/>
      <c r="X52" s="1608"/>
      <c r="Y52" s="1608"/>
      <c r="Z52" s="1608"/>
      <c r="AA52" s="1608"/>
      <c r="AB52" s="1608"/>
      <c r="AC52" s="1608"/>
      <c r="AD52" s="1608"/>
      <c r="AE52" s="1608"/>
      <c r="AF52" s="1608"/>
      <c r="AG52" s="1608"/>
      <c r="AH52" s="1608"/>
      <c r="AI52" s="1608"/>
      <c r="AJ52" s="1608"/>
      <c r="AK52" s="1608"/>
      <c r="AM52" s="784"/>
      <c r="AN52" s="784" t="str">
        <f>IF(T52="","",T52)</f>
        <v>Добавить территорию для дифференциации</v>
      </c>
      <c r="AO52" s="784"/>
      <c r="AP52" s="784"/>
      <c r="AQ52" s="795">
        <v>0</v>
      </c>
    </row>
    <row s="30621" customFormat="1" customHeight="1" ht="0">
      <c r="A53" s="1598"/>
      <c r="B53" s="1598"/>
      <c r="C53" s="1598"/>
      <c r="D53" s="1598"/>
      <c r="E53" s="1627"/>
      <c r="F53" s="1598"/>
      <c r="G53" s="1598"/>
      <c r="H53" s="1598"/>
      <c r="I53" s="1598"/>
      <c r="J53" s="1598"/>
      <c r="K53" s="1598"/>
      <c r="L53" s="1778"/>
      <c r="M53" s="1605"/>
      <c r="N53" s="1605"/>
      <c r="P53" s="1600"/>
      <c r="Q53" s="1601"/>
      <c r="R53" s="1600"/>
      <c r="S53" s="1606"/>
      <c r="T53" s="1609" t="s">
        <v>239</v>
      </c>
      <c r="U53" s="1608"/>
      <c r="V53" s="1608"/>
      <c r="W53" s="1608"/>
      <c r="X53" s="1608"/>
      <c r="Y53" s="1608"/>
      <c r="Z53" s="1608"/>
      <c r="AA53" s="1608"/>
      <c r="AB53" s="1608"/>
      <c r="AC53" s="1608"/>
      <c r="AD53" s="1608"/>
      <c r="AE53" s="1608"/>
      <c r="AF53" s="1608"/>
      <c r="AG53" s="1608"/>
      <c r="AH53" s="1608"/>
      <c r="AI53" s="1608"/>
      <c r="AJ53" s="1608"/>
      <c r="AK53" s="1608"/>
      <c r="AM53" s="1073"/>
      <c r="AN53" s="1073" t="str">
        <f>IF(T53="","",T53)</f>
        <v>Добавить наименование тарифа</v>
      </c>
      <c r="AO53" s="1073"/>
      <c r="AP53" s="1073"/>
      <c r="AQ53" s="802">
        <v>0</v>
      </c>
    </row>
    <row customHeight="1" ht="11.549999999999999">
      <c r="M54" s="1444"/>
      <c r="N54" s="1444"/>
      <c r="O54" s="821"/>
      <c r="P54" s="1439"/>
      <c r="Q54" s="1439"/>
      <c r="R54" s="1439"/>
      <c r="S54" s="1439"/>
      <c r="AL54" s="1439"/>
      <c r="AM54" s="1439"/>
      <c r="AN54" s="1439"/>
      <c r="AO54" s="1439"/>
      <c r="AP54" s="1439"/>
      <c r="AQ54" s="1439">
        <v>11</v>
      </c>
    </row>
    <row customHeight="1" ht="14.699999999999998">
      <c r="O55" s="821"/>
      <c r="S55" s="1537"/>
      <c r="T55" s="2569"/>
      <c r="U55" s="2569"/>
      <c r="V55" s="2569"/>
      <c r="W55" s="2569"/>
      <c r="X55" s="2569"/>
      <c r="Y55" s="2569"/>
      <c r="Z55" s="2569"/>
      <c r="AA55" s="2569"/>
      <c r="AB55" s="2569"/>
      <c r="AC55" s="2569"/>
      <c r="AD55" s="2569"/>
      <c r="AE55" s="2569"/>
      <c r="AF55" s="2569"/>
      <c r="AG55" s="2569"/>
      <c r="AH55" s="2569"/>
      <c r="AI55" s="2569"/>
      <c r="AJ55" s="2569"/>
      <c r="AK55" s="2569"/>
      <c r="AQ55" s="1439">
        <v>14</v>
      </c>
    </row>
    <row customHeight="1" ht="14.699999999999998">
      <c r="O56" s="821"/>
      <c r="AQ56" s="1439">
        <v>14</v>
      </c>
    </row>
    <row customHeight="1" ht="14.699999999999998">
      <c r="O57" s="821"/>
      <c r="S57" s="1537"/>
      <c r="T57" s="2569"/>
      <c r="U57" s="2569"/>
      <c r="V57" s="2569"/>
      <c r="W57" s="2569"/>
      <c r="X57" s="2569"/>
      <c r="Y57" s="2569"/>
      <c r="Z57" s="2569"/>
      <c r="AA57" s="2569"/>
      <c r="AB57" s="2569"/>
      <c r="AC57" s="2569"/>
      <c r="AD57" s="2569"/>
      <c r="AE57" s="2569"/>
      <c r="AF57" s="2569"/>
      <c r="AG57" s="2569"/>
      <c r="AH57" s="2569"/>
      <c r="AI57" s="2569"/>
      <c r="AJ57" s="2569"/>
      <c r="AK57" s="2569"/>
      <c r="AQ57" s="1439">
        <v>14</v>
      </c>
    </row>
    <row customHeight="1" ht="22.5" hidden="1">
      <c r="A58" s="1444" t="s">
        <v>85</v>
      </c>
      <c r="B58" s="1444">
        <v>0</v>
      </c>
      <c r="C58" s="1444">
        <v>0</v>
      </c>
      <c r="D58" s="1444">
        <v>0</v>
      </c>
      <c r="E58" s="1444">
        <v>0</v>
      </c>
      <c r="F58" s="1444">
        <v>0</v>
      </c>
      <c r="G58" s="1444">
        <v>0</v>
      </c>
      <c r="H58" s="1444">
        <v>0</v>
      </c>
      <c r="I58" s="1444">
        <v>0</v>
      </c>
      <c r="J58" s="1444">
        <v>0</v>
      </c>
      <c r="K58" s="1444">
        <v>0</v>
      </c>
      <c r="L58" s="1762">
        <v>0</v>
      </c>
      <c r="M58" s="1646">
        <v>0</v>
      </c>
      <c r="N58" s="1646">
        <v>0</v>
      </c>
      <c r="O58" s="1646">
        <v>0</v>
      </c>
      <c r="P58" s="1757">
        <v>3</v>
      </c>
      <c r="Q58" s="628">
        <v>3</v>
      </c>
      <c r="R58" s="628">
        <v>3</v>
      </c>
      <c r="S58" s="865">
        <v>12</v>
      </c>
      <c r="T58" s="1439">
        <v>35</v>
      </c>
      <c r="U58" s="1439">
        <v>0</v>
      </c>
      <c r="V58" s="1439">
        <v>0</v>
      </c>
      <c r="W58" s="1439">
        <v>0</v>
      </c>
      <c r="X58" s="1439">
        <v>0</v>
      </c>
      <c r="Y58" s="1439">
        <v>0</v>
      </c>
      <c r="Z58" s="1439">
        <v>0</v>
      </c>
      <c r="AA58" s="1439">
        <v>0</v>
      </c>
      <c r="AB58" s="1439">
        <v>0</v>
      </c>
      <c r="AC58" s="1439">
        <v>24</v>
      </c>
      <c r="AD58" s="1439">
        <v>24</v>
      </c>
      <c r="AE58" s="1439">
        <v>24</v>
      </c>
      <c r="AF58" s="1439">
        <v>11</v>
      </c>
      <c r="AG58" s="1439">
        <v>3</v>
      </c>
      <c r="AH58" s="1439">
        <v>11</v>
      </c>
      <c r="AI58" s="1439">
        <v>0</v>
      </c>
      <c r="AJ58" s="1439">
        <v>4</v>
      </c>
      <c r="AK58" s="1439">
        <v>115</v>
      </c>
      <c r="AL58" s="795">
        <v>10</v>
      </c>
      <c r="AM58" s="795">
        <v>10</v>
      </c>
      <c r="AN58" s="795">
        <v>10</v>
      </c>
      <c r="AO58" s="795">
        <v>10</v>
      </c>
      <c r="AP58" s="795">
        <v>10</v>
      </c>
      <c r="AQ58" s="1439">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B2B07B-53D5-21C9-06AB-431B37D22203}"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30620" width="10.57421875" hidden="1"/>
    <col min="2" max="2" style="30620" width="11.00390625" hidden="1" customWidth="1"/>
    <col min="3" max="3" style="30620" width="10.57421875" hidden="1"/>
    <col min="4" max="4" style="30620" width="11.8515625" hidden="1" customWidth="1"/>
    <col min="5" max="5" style="30620" width="10.00390625" hidden="1" customWidth="1"/>
    <col min="6" max="6" style="30620" width="8.7109375" hidden="1" customWidth="1"/>
    <col min="7" max="7" style="30620" width="7.57421875" hidden="1" customWidth="1"/>
    <col min="8" max="8" style="30620" width="11.421875" hidden="1" customWidth="1"/>
    <col min="9" max="9" style="30620" width="14.140625" hidden="1" customWidth="1"/>
    <col min="10" max="10" style="30620" width="9.8515625" hidden="1" customWidth="1"/>
    <col min="11" max="11" style="30620" width="14.7109375" hidden="1" customWidth="1"/>
    <col min="12" max="12" style="31502" width="19.140625" hidden="1" customWidth="1"/>
    <col min="13" max="14" style="31503" width="12.28125" hidden="1" customWidth="1"/>
    <col min="15" max="15" style="31503" width="23.421875" hidden="1" customWidth="1"/>
    <col min="16" max="16" style="31504" width="3.00390625" customWidth="1"/>
    <col min="17" max="18" style="31505" width="3.00390625" customWidth="1"/>
    <col min="19" max="19" style="31506" width="12.00390625" customWidth="1"/>
    <col min="20" max="20" style="30541" width="35.00390625" customWidth="1"/>
    <col min="21" max="21" style="30541" width="0.140625" customWidth="1"/>
    <col min="22" max="24" style="30541" width="24.7109375" hidden="1" customWidth="1"/>
    <col min="25" max="25" style="30541" width="11.7109375" hidden="1" customWidth="1"/>
    <col min="26" max="26" style="30541" width="3.7109375" hidden="1" customWidth="1"/>
    <col min="27" max="27" style="30541" width="11.7109375" hidden="1" customWidth="1"/>
    <col min="28" max="28" style="30541" width="8.57421875" hidden="1" customWidth="1"/>
    <col min="29" max="29" style="30541" width="24.7109375" customWidth="1"/>
    <col min="30" max="31" style="30541" width="24.00390625" customWidth="1"/>
    <col min="32" max="32" style="30541" width="11.00390625" customWidth="1"/>
    <col min="33" max="33" style="30541" width="3.7109375" customWidth="1"/>
    <col min="34" max="34" style="30541" width="11.00390625" customWidth="1"/>
    <col min="35" max="35" style="30541" width="8.57421875" hidden="1" customWidth="1"/>
    <col min="36" max="36" style="30541" width="4.00390625" customWidth="1"/>
    <col min="37" max="37" style="30541" width="115.00390625" customWidth="1"/>
    <col min="38" max="42" style="30621" width="10.00390625" customWidth="1"/>
    <col min="43" max="43" style="30541" width="10.57421875" hidden="1"/>
  </cols>
  <sheetData>
    <row customHeight="1" ht="22.5" hidden="1">
      <c r="X1" s="611"/>
      <c r="Y1" s="611"/>
      <c r="AE1" s="611"/>
      <c r="AF1" s="611"/>
      <c r="AQ1" s="1439" t="s">
        <v>14</v>
      </c>
    </row>
    <row customHeight="1" ht="23.25" hidden="1">
      <c r="A2" s="1647"/>
      <c r="B2" s="1647"/>
      <c r="C2" s="1647"/>
      <c r="D2" s="1647"/>
      <c r="E2" s="2542">
        <v>1</v>
      </c>
      <c r="F2" s="1647"/>
      <c r="G2" s="1647"/>
      <c r="H2" s="1647"/>
      <c r="I2" s="1647"/>
      <c r="J2" s="1647"/>
      <c r="K2" s="1647"/>
      <c r="L2" s="1648"/>
      <c r="M2" s="1649"/>
      <c r="N2" s="1649"/>
      <c r="O2" s="1649"/>
      <c r="P2" s="645"/>
      <c r="Q2" s="644"/>
      <c r="R2" s="639"/>
      <c r="S2" s="1777">
        <f>INDEX(PT_DIFFERENTIATION_NUM_NTAR,MATCH(A2,PT_DIFFERENTIATION_NTAR_ID,0))</f>
      </c>
      <c r="T2" s="582" t="s">
        <v>153</v>
      </c>
      <c r="U2" s="584"/>
      <c r="V2" s="2526"/>
      <c r="W2" s="2527"/>
      <c r="X2" s="2527"/>
      <c r="Y2" s="2527"/>
      <c r="Z2" s="2527"/>
      <c r="AA2" s="2527"/>
      <c r="AB2" s="2528"/>
      <c r="AC2" s="2526">
        <f>INDEX(PT_DIFFERENTIATION_NTAR,MATCH(A2,PT_DIFFERENTIATION_NTAR_ID,0))</f>
      </c>
      <c r="AD2" s="2527"/>
      <c r="AE2" s="2527"/>
      <c r="AF2" s="2527"/>
      <c r="AG2" s="2527"/>
      <c r="AH2" s="2527"/>
      <c r="AI2" s="2527"/>
      <c r="AJ2" s="2528"/>
      <c r="AK2"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784"/>
      <c r="AN2" s="784" t="str">
        <f>IF(T2="","",T2)</f>
        <v>Наименование тарифа</v>
      </c>
      <c r="AO2" s="784"/>
      <c r="AP2" s="784"/>
      <c r="AQ2" s="1439">
        <v>0</v>
      </c>
    </row>
    <row customHeight="1" ht="23.25" hidden="1">
      <c r="A3" s="1647"/>
      <c r="B3" s="1647"/>
      <c r="C3" s="1647"/>
      <c r="D3" s="1647"/>
      <c r="E3" s="2543"/>
      <c r="F3" s="2542">
        <v>1</v>
      </c>
      <c r="G3" s="1647"/>
      <c r="H3" s="1647"/>
      <c r="I3" s="1647"/>
      <c r="J3" s="1647"/>
      <c r="K3" s="1647"/>
      <c r="L3" s="1648"/>
      <c r="M3" s="1649"/>
      <c r="N3" s="1649"/>
      <c r="O3" s="1649"/>
      <c r="P3" s="1771"/>
      <c r="Q3" s="636"/>
      <c r="R3" s="637"/>
      <c r="S3" s="1777">
        <f>INDEX(PT_DIFFERENTIATION_NUM_TER,MATCH(B3,PT_DIFFERENTIATION_TER_ID,0))</f>
      </c>
      <c r="T3" s="592" t="s">
        <v>457</v>
      </c>
      <c r="U3" s="584"/>
      <c r="V3" s="2526"/>
      <c r="W3" s="2527"/>
      <c r="X3" s="2527"/>
      <c r="Y3" s="2527"/>
      <c r="Z3" s="2527"/>
      <c r="AA3" s="2527"/>
      <c r="AB3" s="2528"/>
      <c r="AC3" s="2526">
        <f>INDEX(PT_DIFFERENTIATION_TER,MATCH(B3,PT_DIFFERENTIATION_TER_ID,0))</f>
      </c>
      <c r="AD3" s="2527"/>
      <c r="AE3" s="2527"/>
      <c r="AF3" s="2527"/>
      <c r="AG3" s="2527"/>
      <c r="AH3" s="2527"/>
      <c r="AI3" s="2527"/>
      <c r="AJ3" s="2528"/>
      <c r="AK3" s="1542" t="s">
        <v>458</v>
      </c>
      <c r="AM3" s="784"/>
      <c r="AN3" s="784" t="str">
        <f>IF(T3="","",T3)</f>
        <v>Территория действия тарифа</v>
      </c>
      <c r="AO3" s="784"/>
      <c r="AP3" s="784"/>
      <c r="AQ3" s="1439">
        <v>0</v>
      </c>
    </row>
    <row customHeight="1" ht="23.25" hidden="1">
      <c r="A4" s="1647"/>
      <c r="B4" s="1647"/>
      <c r="C4" s="1647"/>
      <c r="D4" s="1647"/>
      <c r="E4" s="2543"/>
      <c r="F4" s="2543"/>
      <c r="G4" s="2542">
        <v>1</v>
      </c>
      <c r="H4" s="1647"/>
      <c r="I4" s="1647"/>
      <c r="J4" s="1647"/>
      <c r="K4" s="1647"/>
      <c r="L4" s="1648"/>
      <c r="M4" s="1649"/>
      <c r="N4" s="1649"/>
      <c r="O4" s="1649"/>
      <c r="P4" s="638"/>
      <c r="Q4" s="636"/>
      <c r="R4" s="637"/>
      <c r="S4" s="1777">
        <f>INDEX(PT_DIFFERENTIATION_NUM_CS,MATCH(C4,PT_DIFFERENTIATION_CS_ID,0))</f>
      </c>
      <c r="T4" s="593" t="s">
        <v>588</v>
      </c>
      <c r="U4" s="584"/>
      <c r="V4" s="2526"/>
      <c r="W4" s="2527"/>
      <c r="X4" s="2527"/>
      <c r="Y4" s="2527"/>
      <c r="Z4" s="2527"/>
      <c r="AA4" s="2527"/>
      <c r="AB4" s="2528"/>
      <c r="AC4" s="2526">
        <f>INDEX(PT_DIFFERENTIATION_CS,MATCH(C4,PT_DIFFERENTIATION_CS_ID,0))</f>
      </c>
      <c r="AD4" s="2527"/>
      <c r="AE4" s="2527"/>
      <c r="AF4" s="2527"/>
      <c r="AG4" s="2527"/>
      <c r="AH4" s="2527"/>
      <c r="AI4" s="2527"/>
      <c r="AJ4" s="2528"/>
      <c r="AK4" s="1542" t="s">
        <v>589</v>
      </c>
      <c r="AM4" s="784"/>
      <c r="AN4" s="784" t="str">
        <f>IF(T4="","",T4)</f>
        <v>Наименование централизованной системы водоотведения</v>
      </c>
      <c r="AO4" s="784"/>
      <c r="AP4" s="784"/>
      <c r="AQ4" s="1439">
        <v>0</v>
      </c>
    </row>
    <row customHeight="1" ht="23.25" hidden="1">
      <c r="A5" s="1647"/>
      <c r="B5" s="1647"/>
      <c r="C5" s="1647"/>
      <c r="D5" s="1647"/>
      <c r="E5" s="2543"/>
      <c r="F5" s="2543"/>
      <c r="G5" s="2543"/>
      <c r="H5" s="2543"/>
      <c r="I5" s="2540">
        <f>S4&amp;".1"</f>
      </c>
      <c r="J5" s="1647"/>
      <c r="K5" s="1647"/>
      <c r="L5" s="1648"/>
      <c r="P5" s="2541">
        <v>1</v>
      </c>
      <c r="Q5" s="1765"/>
      <c r="R5" s="640"/>
      <c r="S5" s="1777">
        <f>$I5</f>
      </c>
      <c r="T5" s="569" t="s">
        <v>555</v>
      </c>
      <c r="U5" s="584"/>
      <c r="V5" s="2634"/>
      <c r="W5" s="2635"/>
      <c r="X5" s="2635"/>
      <c r="Y5" s="2635"/>
      <c r="Z5" s="2635"/>
      <c r="AA5" s="2635"/>
      <c r="AB5" s="2636"/>
      <c r="AC5" s="2637"/>
      <c r="AD5" s="2638"/>
      <c r="AE5" s="2638"/>
      <c r="AF5" s="2638"/>
      <c r="AG5" s="2638"/>
      <c r="AH5" s="2638"/>
      <c r="AI5" s="2638"/>
      <c r="AJ5" s="2639"/>
      <c r="AK5" s="1542" t="s">
        <v>556</v>
      </c>
      <c r="AM5" s="784"/>
      <c r="AN5" s="784" t="str">
        <f>IF(T5="","",T5)</f>
        <v>Наименование признака дифференциации</v>
      </c>
      <c r="AO5" s="784"/>
      <c r="AP5" s="784"/>
      <c r="AQ5" s="1439">
        <v>0</v>
      </c>
    </row>
    <row customHeight="1" ht="23.25" hidden="1">
      <c r="A6" s="1647"/>
      <c r="B6" s="1647"/>
      <c r="C6" s="1647"/>
      <c r="D6" s="1647"/>
      <c r="E6" s="2543"/>
      <c r="F6" s="2543"/>
      <c r="G6" s="2543"/>
      <c r="H6" s="2543"/>
      <c r="I6" s="2570"/>
      <c r="J6" s="2540">
        <f>I5&amp;".1"</f>
      </c>
      <c r="K6" s="1647"/>
      <c r="L6" s="1648" t="s">
        <v>466</v>
      </c>
      <c r="P6" s="2541"/>
      <c r="Q6" s="2541">
        <v>1</v>
      </c>
      <c r="R6" s="641"/>
      <c r="S6" s="1777">
        <f>$J6</f>
      </c>
      <c r="T6" s="570" t="s">
        <v>467</v>
      </c>
      <c r="U6" s="584"/>
      <c r="V6" s="2529"/>
      <c r="W6" s="2530"/>
      <c r="X6" s="2530"/>
      <c r="Y6" s="2530"/>
      <c r="Z6" s="2530"/>
      <c r="AA6" s="2530"/>
      <c r="AB6" s="2531"/>
      <c r="AC6" s="2529"/>
      <c r="AD6" s="2530"/>
      <c r="AE6" s="2530"/>
      <c r="AF6" s="2530"/>
      <c r="AG6" s="2530"/>
      <c r="AH6" s="2530"/>
      <c r="AI6" s="2530"/>
      <c r="AJ6" s="2531"/>
      <c r="AK6" s="1591" t="s">
        <v>557</v>
      </c>
      <c r="AM6" s="784"/>
      <c r="AN6" s="784" t="str">
        <f>IF(T6="","",T6)</f>
        <v>Группа потребителей</v>
      </c>
      <c r="AO6" s="784"/>
      <c r="AP6" s="784"/>
      <c r="AQ6" s="1439">
        <v>0</v>
      </c>
    </row>
    <row customHeight="1" ht="23.25" hidden="1">
      <c r="A7" s="1647"/>
      <c r="B7" s="1647"/>
      <c r="C7" s="1647"/>
      <c r="D7" s="1647"/>
      <c r="E7" s="2543"/>
      <c r="F7" s="2543"/>
      <c r="G7" s="2543"/>
      <c r="H7" s="2543"/>
      <c r="I7" s="2570"/>
      <c r="J7" s="2570"/>
      <c r="K7" s="2540">
        <f>J6&amp;".1"</f>
      </c>
      <c r="L7" s="1648"/>
      <c r="P7" s="2541"/>
      <c r="Q7" s="2541"/>
      <c r="R7" s="641">
        <v>1</v>
      </c>
      <c r="S7" s="1777">
        <f>$K7</f>
      </c>
      <c r="T7" s="1721"/>
      <c r="U7" s="584"/>
      <c r="V7" s="1035"/>
      <c r="W7" s="1035"/>
      <c r="X7" s="1541"/>
      <c r="Y7" s="2549"/>
      <c r="Z7" s="2391" t="s">
        <v>64</v>
      </c>
      <c r="AA7" s="2549"/>
      <c r="AB7" s="2391" t="s">
        <v>64</v>
      </c>
      <c r="AC7" s="1035"/>
      <c r="AD7" s="1035"/>
      <c r="AE7" s="1541"/>
      <c r="AF7" s="2549"/>
      <c r="AG7" s="2391" t="s">
        <v>64</v>
      </c>
      <c r="AH7" s="2571"/>
      <c r="AI7" s="2391" t="s">
        <v>64</v>
      </c>
      <c r="AJ7" s="1722"/>
      <c r="AK7" s="26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95">
        <f>STRCHECKDATE(V8:AJ8)</f>
      </c>
      <c r="AM7" s="784"/>
      <c r="AN7" s="784" t="str">
        <f>IF(T7="","",T7)</f>
        <v/>
      </c>
      <c r="AO7" s="784"/>
      <c r="AP7" s="784"/>
      <c r="AQ7" s="1439">
        <v>0</v>
      </c>
    </row>
    <row customHeight="1" ht="14.25" hidden="1">
      <c r="A8" s="1647"/>
      <c r="B8" s="1647"/>
      <c r="C8" s="1647"/>
      <c r="D8" s="1647"/>
      <c r="E8" s="2543"/>
      <c r="F8" s="2543"/>
      <c r="G8" s="2543"/>
      <c r="H8" s="2543"/>
      <c r="I8" s="2570"/>
      <c r="J8" s="2570"/>
      <c r="K8" s="2540"/>
      <c r="L8" s="1648"/>
      <c r="P8" s="2541"/>
      <c r="Q8" s="2541"/>
      <c r="R8" s="641"/>
      <c r="S8" s="1774"/>
      <c r="T8" s="584"/>
      <c r="U8" s="584"/>
      <c r="V8" s="609"/>
      <c r="W8" s="609"/>
      <c r="X8" s="612" t="str">
        <f>Y7&amp;"-"&amp;AA7</f>
        <v>-</v>
      </c>
      <c r="Y8" s="2550"/>
      <c r="Z8" s="2391"/>
      <c r="AA8" s="2550"/>
      <c r="AB8" s="2391"/>
      <c r="AC8" s="609"/>
      <c r="AD8" s="609"/>
      <c r="AE8" s="612" t="str">
        <f>AF7&amp;"-"&amp;AH7</f>
        <v>-</v>
      </c>
      <c r="AF8" s="2550"/>
      <c r="AG8" s="2391"/>
      <c r="AH8" s="2572"/>
      <c r="AI8" s="2391"/>
      <c r="AJ8" s="1723"/>
      <c r="AK8" s="2633"/>
      <c r="AM8" s="784"/>
      <c r="AN8" s="784" t="str">
        <f>IF(T8="","",T8)</f>
        <v/>
      </c>
      <c r="AO8" s="784"/>
      <c r="AP8" s="784"/>
      <c r="AQ8" s="1439">
        <v>0</v>
      </c>
    </row>
    <row customHeight="1" ht="21" hidden="1">
      <c r="A9" s="1647"/>
      <c r="B9" s="1647"/>
      <c r="C9" s="1647"/>
      <c r="D9" s="1647"/>
      <c r="E9" s="2543"/>
      <c r="F9" s="2543"/>
      <c r="G9" s="2543"/>
      <c r="H9" s="2543"/>
      <c r="I9" s="2570"/>
      <c r="J9" s="2540"/>
      <c r="K9" s="1647"/>
      <c r="L9" s="1648"/>
      <c r="P9" s="2541"/>
      <c r="Q9" s="2541"/>
      <c r="R9" s="640"/>
      <c r="S9" s="1562"/>
      <c r="T9" s="571" t="s">
        <v>558</v>
      </c>
      <c r="U9" s="651"/>
      <c r="V9" s="651"/>
      <c r="W9" s="651"/>
      <c r="X9" s="651"/>
      <c r="Y9" s="651"/>
      <c r="Z9" s="651"/>
      <c r="AA9" s="651"/>
      <c r="AB9" s="651"/>
      <c r="AC9" s="651"/>
      <c r="AD9" s="651"/>
      <c r="AE9" s="651"/>
      <c r="AF9" s="651"/>
      <c r="AG9" s="651"/>
      <c r="AH9" s="651"/>
      <c r="AI9" s="651"/>
      <c r="AJ9" s="651"/>
      <c r="AK9" s="1542" t="s">
        <v>559</v>
      </c>
      <c r="AM9" s="784"/>
      <c r="AN9" s="784" t="str">
        <f>IF(T9="","",T9)</f>
        <v>Добавить значение признака дифференциации</v>
      </c>
      <c r="AO9" s="784"/>
      <c r="AP9" s="784"/>
      <c r="AQ9" s="1439">
        <v>0</v>
      </c>
    </row>
    <row customHeight="1" ht="21" hidden="1">
      <c r="A10" s="1647"/>
      <c r="B10" s="1647"/>
      <c r="C10" s="1647"/>
      <c r="D10" s="1647"/>
      <c r="E10" s="2543"/>
      <c r="F10" s="2543"/>
      <c r="G10" s="2543"/>
      <c r="H10" s="2543"/>
      <c r="I10" s="2540"/>
      <c r="J10" s="1647"/>
      <c r="K10" s="1647"/>
      <c r="L10" s="1648"/>
      <c r="P10" s="2541"/>
      <c r="Q10" s="1765"/>
      <c r="R10" s="640"/>
      <c r="S10" s="1562"/>
      <c r="T10" s="649" t="s">
        <v>472</v>
      </c>
      <c r="U10" s="651"/>
      <c r="V10" s="651"/>
      <c r="W10" s="651"/>
      <c r="X10" s="651"/>
      <c r="Y10" s="651"/>
      <c r="Z10" s="651"/>
      <c r="AA10" s="651"/>
      <c r="AB10" s="650"/>
      <c r="AC10" s="651"/>
      <c r="AD10" s="651"/>
      <c r="AE10" s="651"/>
      <c r="AF10" s="651"/>
      <c r="AG10" s="651"/>
      <c r="AH10" s="651"/>
      <c r="AI10" s="650"/>
      <c r="AJ10" s="651"/>
      <c r="AK10" s="1724"/>
      <c r="AM10" s="784"/>
      <c r="AN10" s="784" t="str">
        <f>IF(T10="","",T10)</f>
        <v>Добавить группу потребителей</v>
      </c>
      <c r="AO10" s="784"/>
      <c r="AP10" s="784"/>
      <c r="AQ10" s="1439">
        <v>0</v>
      </c>
    </row>
    <row customHeight="1" ht="21" hidden="1">
      <c r="A11" s="1647"/>
      <c r="B11" s="1647"/>
      <c r="C11" s="1647"/>
      <c r="D11" s="1647"/>
      <c r="E11" s="2543"/>
      <c r="F11" s="2543"/>
      <c r="G11" s="2543"/>
      <c r="H11" s="2542"/>
      <c r="I11" s="1647"/>
      <c r="J11" s="1647"/>
      <c r="K11" s="1647"/>
      <c r="L11" s="1648"/>
      <c r="M11" s="1649"/>
      <c r="N11" s="1649"/>
      <c r="O11" s="821"/>
      <c r="P11" s="644"/>
      <c r="Q11" s="659"/>
      <c r="R11" s="639"/>
      <c r="S11" s="1562"/>
      <c r="T11" s="656" t="s">
        <v>560</v>
      </c>
      <c r="U11" s="651"/>
      <c r="V11" s="651"/>
      <c r="W11" s="651"/>
      <c r="X11" s="651"/>
      <c r="Y11" s="651"/>
      <c r="Z11" s="651"/>
      <c r="AA11" s="651"/>
      <c r="AB11" s="650"/>
      <c r="AC11" s="651"/>
      <c r="AD11" s="651"/>
      <c r="AE11" s="651"/>
      <c r="AF11" s="651"/>
      <c r="AG11" s="651"/>
      <c r="AH11" s="651"/>
      <c r="AI11" s="650"/>
      <c r="AJ11" s="651"/>
      <c r="AK11" s="587"/>
      <c r="AM11" s="784"/>
      <c r="AN11" s="784" t="str">
        <f>IF(T11="","",T11)</f>
        <v>Добавить наименование признака дифференциации</v>
      </c>
      <c r="AO11" s="784"/>
      <c r="AP11" s="784"/>
      <c r="AQ11" s="1439">
        <v>0</v>
      </c>
    </row>
    <row s="30621" customFormat="1" customHeight="1" ht="14.25" hidden="1">
      <c r="A12" s="1627"/>
      <c r="B12" s="1627"/>
      <c r="C12" s="1598"/>
      <c r="D12" s="1598"/>
      <c r="E12" s="2543"/>
      <c r="F12" s="2542"/>
      <c r="G12" s="1598"/>
      <c r="H12" s="1598"/>
      <c r="I12" s="1598"/>
      <c r="J12" s="1598"/>
      <c r="K12" s="1598"/>
      <c r="L12" s="1778"/>
      <c r="M12" s="1605"/>
      <c r="N12" s="1605"/>
      <c r="P12" s="1600"/>
      <c r="Q12" s="1601"/>
      <c r="R12" s="1600"/>
      <c r="S12" s="1606"/>
      <c r="T12" s="1609" t="s">
        <v>214</v>
      </c>
      <c r="U12" s="1608"/>
      <c r="V12" s="1608"/>
      <c r="W12" s="1608"/>
      <c r="X12" s="1608"/>
      <c r="Y12" s="1608"/>
      <c r="Z12" s="1608"/>
      <c r="AA12" s="1608"/>
      <c r="AB12" s="1608"/>
      <c r="AC12" s="1608"/>
      <c r="AD12" s="1608"/>
      <c r="AE12" s="1608"/>
      <c r="AF12" s="1608"/>
      <c r="AG12" s="1608"/>
      <c r="AH12" s="1608"/>
      <c r="AI12" s="1608"/>
      <c r="AJ12" s="1608"/>
      <c r="AK12" s="1608"/>
      <c r="AM12" s="1073"/>
      <c r="AN12" s="1073" t="str">
        <f>IF(T12="","",T12)</f>
        <v>Добавить централизованную систему для дифференциации</v>
      </c>
      <c r="AO12" s="1073"/>
      <c r="AP12" s="1073"/>
      <c r="AQ12" s="802">
        <v>0</v>
      </c>
    </row>
    <row s="30621" customFormat="1" customHeight="1" ht="14.25" hidden="1">
      <c r="A13" s="1627"/>
      <c r="B13" s="1627"/>
      <c r="C13" s="1627"/>
      <c r="D13" s="1627"/>
      <c r="E13" s="2542"/>
      <c r="F13" s="1627"/>
      <c r="G13" s="1627"/>
      <c r="H13" s="1627"/>
      <c r="I13" s="1627"/>
      <c r="J13" s="1627"/>
      <c r="K13" s="1627"/>
      <c r="L13" s="1630"/>
      <c r="M13" s="1605"/>
      <c r="N13" s="1605"/>
      <c r="O13" s="802"/>
      <c r="P13" s="664"/>
      <c r="Q13" s="1628"/>
      <c r="R13" s="664"/>
      <c r="S13" s="1606"/>
      <c r="T13" s="1609" t="s">
        <v>230</v>
      </c>
      <c r="U13" s="1608"/>
      <c r="V13" s="1608"/>
      <c r="W13" s="1608"/>
      <c r="X13" s="1608"/>
      <c r="Y13" s="1608"/>
      <c r="Z13" s="1608"/>
      <c r="AA13" s="1608"/>
      <c r="AB13" s="1608"/>
      <c r="AC13" s="1608"/>
      <c r="AD13" s="1608"/>
      <c r="AE13" s="1608"/>
      <c r="AF13" s="1608"/>
      <c r="AG13" s="1608"/>
      <c r="AH13" s="1608"/>
      <c r="AI13" s="1608"/>
      <c r="AJ13" s="1608"/>
      <c r="AK13" s="1608"/>
      <c r="AM13" s="784"/>
      <c r="AN13" s="784" t="str">
        <f>IF(T13="","",T13)</f>
        <v>Добавить территорию для дифференциации</v>
      </c>
      <c r="AO13" s="784"/>
      <c r="AP13" s="784"/>
      <c r="AQ13" s="795">
        <v>0</v>
      </c>
    </row>
    <row customHeight="1" ht="14.25" hidden="1">
      <c r="AB14" s="611"/>
      <c r="AI14" s="611"/>
      <c r="AQ14" s="1439">
        <v>0</v>
      </c>
    </row>
    <row customHeight="1" ht="14.25" hidden="1">
      <c r="AC15" s="1644"/>
      <c r="AD15" s="1644"/>
      <c r="AE15" s="1645"/>
      <c r="AF15" s="2551"/>
      <c r="AG15" s="2552" t="s">
        <v>64</v>
      </c>
      <c r="AH15" s="2551"/>
      <c r="AI15" s="2552" t="s">
        <v>64</v>
      </c>
      <c r="AQ15" s="1439">
        <v>0</v>
      </c>
    </row>
    <row customHeight="1" ht="14.25" hidden="1">
      <c r="AC16" s="1644"/>
      <c r="AD16" s="1644"/>
      <c r="AE16" s="612" t="str">
        <f>AF15&amp;"-"&amp;AH15</f>
        <v>-</v>
      </c>
      <c r="AF16" s="2552"/>
      <c r="AG16" s="2552"/>
      <c r="AH16" s="2552"/>
      <c r="AI16" s="2552"/>
      <c r="AQ16" s="1439">
        <v>0</v>
      </c>
    </row>
    <row customHeight="1" ht="14.25" hidden="1">
      <c r="AI17" s="611"/>
      <c r="AQ17" s="1439">
        <v>0</v>
      </c>
    </row>
    <row s="30620" customFormat="1" customHeight="1" ht="22.5" hidden="1">
      <c r="L18" s="1762"/>
      <c r="M18" s="1646"/>
      <c r="N18" s="1646"/>
      <c r="O18" s="1651" t="s">
        <v>474</v>
      </c>
      <c r="P18" s="1646"/>
      <c r="Q18" s="1655"/>
      <c r="R18" s="1655"/>
      <c r="S18" s="1013"/>
      <c r="Y18" s="1651"/>
      <c r="AA18" s="1651"/>
      <c r="AB18" s="1650"/>
      <c r="AF18" s="1651"/>
      <c r="AH18" s="1651"/>
      <c r="AI18" s="1650"/>
      <c r="AL18" s="795"/>
      <c r="AM18" s="795"/>
      <c r="AN18" s="795"/>
      <c r="AO18" s="795"/>
      <c r="AP18" s="795"/>
      <c r="AQ18" s="1444">
        <v>0</v>
      </c>
    </row>
    <row s="30620" customFormat="1" customHeight="1" ht="14.25" hidden="1">
      <c r="L19" s="1762"/>
      <c r="M19" s="1646"/>
      <c r="N19" s="1646"/>
      <c r="O19" s="1646"/>
      <c r="P19" s="1646"/>
      <c r="Q19" s="1655"/>
      <c r="R19" s="1655"/>
      <c r="S19" s="1013"/>
      <c r="AB19" s="1650"/>
      <c r="AI19" s="1650"/>
      <c r="AL19" s="795"/>
      <c r="AM19" s="795"/>
      <c r="AN19" s="795"/>
      <c r="AO19" s="795"/>
      <c r="AP19" s="795"/>
      <c r="AQ19" s="1444">
        <v>0</v>
      </c>
    </row>
    <row s="30620" customFormat="1" customHeight="1" ht="12" hidden="1">
      <c r="L20" s="1762"/>
      <c r="M20" s="1646"/>
      <c r="N20" s="1646"/>
      <c r="O20" s="1648" t="s">
        <v>475</v>
      </c>
      <c r="P20" s="1646"/>
      <c r="Q20" s="1726"/>
      <c r="R20" s="1726"/>
      <c r="S20" s="1013"/>
      <c r="T20" s="1444" t="s">
        <v>476</v>
      </c>
      <c r="Z20" s="470" t="s">
        <v>477</v>
      </c>
      <c r="AB20" s="470" t="s">
        <v>478</v>
      </c>
      <c r="AC20" s="1444" t="s">
        <v>476</v>
      </c>
      <c r="AG20" s="470" t="s">
        <v>479</v>
      </c>
      <c r="AI20" s="470" t="s">
        <v>478</v>
      </c>
      <c r="AQ20" s="1444">
        <v>0</v>
      </c>
    </row>
    <row customHeight="1" ht="14.25" hidden="1">
      <c r="O21" s="1648"/>
      <c r="AQ21" s="1439">
        <v>0</v>
      </c>
    </row>
    <row customHeight="1" ht="14.25" hidden="1">
      <c r="O22" s="1648"/>
      <c r="AQ22" s="1439">
        <v>0</v>
      </c>
    </row>
    <row customHeight="1" ht="14.699999999999998">
      <c r="Q23" s="660"/>
      <c r="R23" s="660"/>
      <c r="S23" s="1559"/>
      <c r="T23" s="647"/>
      <c r="U23" s="647"/>
      <c r="V23" s="793"/>
      <c r="W23" s="793"/>
      <c r="X23" s="793"/>
      <c r="Y23" s="793"/>
      <c r="Z23" s="793"/>
      <c r="AA23" s="793"/>
      <c r="AB23" s="793"/>
      <c r="AC23" s="793"/>
      <c r="AD23" s="793"/>
      <c r="AE23" s="793"/>
      <c r="AF23" s="793"/>
      <c r="AG23" s="793"/>
      <c r="AH23" s="793"/>
      <c r="AI23" s="793"/>
      <c r="AQ23" s="1439">
        <v>14</v>
      </c>
    </row>
    <row customHeight="1" ht="14.699999999999998">
      <c r="Q24" s="660"/>
      <c r="R24" s="660"/>
      <c r="S24" s="253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32"/>
      <c r="U24" s="2532"/>
      <c r="V24" s="2532"/>
      <c r="W24" s="2532"/>
      <c r="X24" s="2532"/>
      <c r="Y24" s="2532"/>
      <c r="Z24" s="2532"/>
      <c r="AA24" s="2532"/>
      <c r="AB24" s="2532"/>
      <c r="AC24" s="2532"/>
      <c r="AD24" s="2532"/>
      <c r="AE24" s="2532"/>
      <c r="AF24" s="2532"/>
      <c r="AG24" s="2532"/>
      <c r="AH24" s="2532"/>
      <c r="AI24" s="1527"/>
      <c r="AQ24" s="1439">
        <v>14</v>
      </c>
    </row>
    <row customHeight="1" ht="14.699999999999998">
      <c r="Q25" s="660"/>
      <c r="R25" s="660"/>
      <c r="S25" s="2533" t="str">
        <f>IF(org=0,"Не определено",org)</f>
        <v>АО "ДГК"</v>
      </c>
      <c r="T25" s="2533"/>
      <c r="U25" s="2533"/>
      <c r="V25" s="2533"/>
      <c r="W25" s="2533"/>
      <c r="X25" s="2533"/>
      <c r="Y25" s="2533"/>
      <c r="Z25" s="2533"/>
      <c r="AA25" s="2533"/>
      <c r="AB25" s="2533"/>
      <c r="AC25" s="2533"/>
      <c r="AD25" s="2533"/>
      <c r="AE25" s="2533"/>
      <c r="AF25" s="2533"/>
      <c r="AG25" s="2533"/>
      <c r="AH25" s="2533"/>
      <c r="AI25" s="1527"/>
      <c r="AQ25" s="1439">
        <v>14</v>
      </c>
    </row>
    <row customHeight="1" ht="14.25">
      <c r="Q26" s="660"/>
      <c r="R26" s="660"/>
      <c r="S26" s="1559"/>
      <c r="T26" s="647"/>
      <c r="U26" s="647"/>
      <c r="V26" s="606"/>
      <c r="W26" s="606"/>
      <c r="X26" s="606"/>
      <c r="Y26" s="606"/>
      <c r="Z26" s="606"/>
      <c r="AA26" s="606"/>
      <c r="AB26" s="606"/>
      <c r="AC26" s="606"/>
      <c r="AD26" s="606"/>
      <c r="AE26" s="606"/>
      <c r="AF26" s="606"/>
      <c r="AG26" s="606"/>
      <c r="AH26" s="606"/>
      <c r="AI26" s="606"/>
      <c r="AJ26" s="793"/>
      <c r="AQ26" s="1439">
        <v>0</v>
      </c>
    </row>
    <row s="30764" customFormat="1" customHeight="1" ht="25.5">
      <c r="A27" s="1652"/>
      <c r="B27" s="1652"/>
      <c r="C27" s="1652"/>
      <c r="D27" s="1652"/>
      <c r="E27" s="1652"/>
      <c r="F27" s="1652"/>
      <c r="G27" s="1652"/>
      <c r="H27" s="1652"/>
      <c r="I27" s="1652"/>
      <c r="J27" s="1652"/>
      <c r="K27" s="1652"/>
      <c r="L27" s="1653"/>
      <c r="M27" s="1652"/>
      <c r="N27" s="1652"/>
      <c r="O27" s="1652"/>
      <c r="S27" s="2534" t="s">
        <v>42</v>
      </c>
      <c r="T27" s="2534"/>
      <c r="U27" s="1656"/>
      <c r="V27" s="2535" t="str">
        <f>IF(TITLE_NAME_OR_PR_CHANGE="",IF(TITLE_NAME_OR_PR="","",TITLE_NAME_OR_PR),TITLE_NAME_OR_PR_CHANGE)</f>
        <v>Комитет по ценам и тарифам Правительства Хабаровского края</v>
      </c>
      <c r="W27" s="2535"/>
      <c r="X27" s="2535"/>
      <c r="Y27" s="2535"/>
      <c r="Z27" s="2535"/>
      <c r="AA27" s="2535"/>
      <c r="AB27" s="610"/>
      <c r="AC27" s="2535" t="str">
        <f>IF(TITLE_NAME_OR_PR_CHANGE="",IF(TITLE_NAME_OR_PR="","",TITLE_NAME_OR_PR),TITLE_NAME_OR_PR_CHANGE)</f>
        <v>Комитет по ценам и тарифам Правительства Хабаровского края</v>
      </c>
      <c r="AD27" s="2535"/>
      <c r="AE27" s="2535"/>
      <c r="AF27" s="2535"/>
      <c r="AG27" s="2535"/>
      <c r="AH27" s="2535"/>
      <c r="AI27" s="610"/>
      <c r="AJ27" s="610"/>
      <c r="AK27" s="564"/>
      <c r="AL27" s="652"/>
      <c r="AM27" s="652"/>
      <c r="AN27" s="652"/>
      <c r="AO27" s="652"/>
      <c r="AP27" s="652"/>
      <c r="AQ27" s="702">
        <v>0</v>
      </c>
    </row>
    <row s="30764" customFormat="1" customHeight="1" ht="18.75">
      <c r="A28" s="1652"/>
      <c r="B28" s="1652"/>
      <c r="C28" s="1652"/>
      <c r="D28" s="1652"/>
      <c r="E28" s="1652"/>
      <c r="F28" s="1652"/>
      <c r="G28" s="1652"/>
      <c r="H28" s="1652"/>
      <c r="I28" s="1652"/>
      <c r="J28" s="1652"/>
      <c r="K28" s="1652"/>
      <c r="L28" s="1653"/>
      <c r="M28" s="1652"/>
      <c r="N28" s="1652"/>
      <c r="O28" s="1652"/>
      <c r="S28" s="2534" t="s">
        <v>480</v>
      </c>
      <c r="T28" s="2534"/>
      <c r="U28" s="1656"/>
      <c r="V28" s="2548" t="str">
        <f>IF(TITLE_DATE_PR_CHANGE="",IF(TITLE_DATE_PR="","",TITLE_DATE_PR),TITLE_DATE_PR_CHANGE)</f>
        <v>45645</v>
      </c>
      <c r="W28" s="2548"/>
      <c r="X28" s="2548"/>
      <c r="Y28" s="2548"/>
      <c r="Z28" s="2548"/>
      <c r="AA28" s="2548"/>
      <c r="AB28" s="610"/>
      <c r="AC28" s="2548" t="str">
        <f>IF(TITLE_DATE_PR_CHANGE="",IF(TITLE_DATE_PR="","",TITLE_DATE_PR),TITLE_DATE_PR_CHANGE)</f>
        <v>45645</v>
      </c>
      <c r="AD28" s="2548"/>
      <c r="AE28" s="2548"/>
      <c r="AF28" s="2548"/>
      <c r="AG28" s="2548"/>
      <c r="AH28" s="2548"/>
      <c r="AI28" s="610"/>
      <c r="AJ28" s="610"/>
      <c r="AK28" s="564"/>
      <c r="AL28" s="652"/>
      <c r="AM28" s="652"/>
      <c r="AN28" s="652"/>
      <c r="AO28" s="652"/>
      <c r="AP28" s="652"/>
      <c r="AQ28" s="702">
        <v>0</v>
      </c>
    </row>
    <row s="30764" customFormat="1" customHeight="1" ht="18.75">
      <c r="A29" s="1652"/>
      <c r="B29" s="1652"/>
      <c r="C29" s="1652"/>
      <c r="D29" s="1652"/>
      <c r="E29" s="1652"/>
      <c r="F29" s="1652"/>
      <c r="G29" s="1652"/>
      <c r="H29" s="1652"/>
      <c r="I29" s="1652"/>
      <c r="J29" s="1652"/>
      <c r="K29" s="1652"/>
      <c r="L29" s="1653"/>
      <c r="M29" s="1652"/>
      <c r="N29" s="1652"/>
      <c r="O29" s="1652"/>
      <c r="S29" s="2534" t="s">
        <v>481</v>
      </c>
      <c r="T29" s="2534"/>
      <c r="U29" s="1656"/>
      <c r="V29" s="2535" t="str">
        <f>IF(TITLE_NUMBER_PR_CHANGE="",IF(TITLE_NUMBER_PR="","",TITLE_NUMBER_PR),TITLE_NUMBER_PR_CHANGE)</f>
        <v>№ 40/8</v>
      </c>
      <c r="W29" s="2535"/>
      <c r="X29" s="2535"/>
      <c r="Y29" s="2535"/>
      <c r="Z29" s="2535"/>
      <c r="AA29" s="2535"/>
      <c r="AB29" s="610"/>
      <c r="AC29" s="2535" t="str">
        <f>IF(TITLE_NUMBER_PR_CHANGE="",IF(TITLE_NUMBER_PR="","",TITLE_NUMBER_PR),TITLE_NUMBER_PR_CHANGE)</f>
        <v>№ 40/8</v>
      </c>
      <c r="AD29" s="2535"/>
      <c r="AE29" s="2535"/>
      <c r="AF29" s="2535"/>
      <c r="AG29" s="2535"/>
      <c r="AH29" s="2535"/>
      <c r="AI29" s="610"/>
      <c r="AJ29" s="610"/>
      <c r="AK29" s="564"/>
      <c r="AL29" s="652"/>
      <c r="AM29" s="652"/>
      <c r="AN29" s="652"/>
      <c r="AO29" s="652"/>
      <c r="AP29" s="652"/>
      <c r="AQ29" s="702">
        <v>0</v>
      </c>
    </row>
    <row s="30764" customFormat="1" customHeight="1" ht="18.75">
      <c r="A30" s="1652"/>
      <c r="B30" s="1652"/>
      <c r="C30" s="1652"/>
      <c r="D30" s="1652"/>
      <c r="E30" s="1652"/>
      <c r="F30" s="1652"/>
      <c r="G30" s="1652"/>
      <c r="H30" s="1652"/>
      <c r="I30" s="1652"/>
      <c r="J30" s="1652"/>
      <c r="K30" s="1652"/>
      <c r="L30" s="1653"/>
      <c r="M30" s="1652"/>
      <c r="N30" s="1652"/>
      <c r="O30" s="1652"/>
      <c r="S30" s="2534" t="s">
        <v>44</v>
      </c>
      <c r="T30" s="2534"/>
      <c r="U30" s="1656"/>
      <c r="V30" s="2535" t="str">
        <f>IF(TITLE_IST_PUB_CHANGE="",IF(TITLE_IST_PUB="","",TITLE_IST_PUB),TITLE_IST_PUB_CHANGE)</f>
        <v>Официальный интернет - портал нормативных правовых актов Хабаровского края https://laws.khv.gov.ru/</v>
      </c>
      <c r="W30" s="2535"/>
      <c r="X30" s="2535"/>
      <c r="Y30" s="2535"/>
      <c r="Z30" s="2535"/>
      <c r="AA30" s="2535"/>
      <c r="AB30" s="610"/>
      <c r="AC30" s="2535" t="str">
        <f>IF(TITLE_IST_PUB_CHANGE="",IF(TITLE_IST_PUB="","",TITLE_IST_PUB),TITLE_IST_PUB_CHANGE)</f>
        <v>Официальный интернет - портал нормативных правовых актов Хабаровского края https://laws.khv.gov.ru/</v>
      </c>
      <c r="AD30" s="2535"/>
      <c r="AE30" s="2535"/>
      <c r="AF30" s="2535"/>
      <c r="AG30" s="2535"/>
      <c r="AH30" s="2535"/>
      <c r="AI30" s="610"/>
      <c r="AJ30" s="610"/>
      <c r="AK30" s="564"/>
      <c r="AL30" s="652"/>
      <c r="AM30" s="652"/>
      <c r="AN30" s="652"/>
      <c r="AO30" s="652"/>
      <c r="AP30" s="652"/>
      <c r="AQ30" s="702">
        <v>0</v>
      </c>
    </row>
    <row customHeight="1" ht="14.25" hidden="1">
      <c r="Q31" s="660"/>
      <c r="R31" s="660"/>
      <c r="S31" s="1559"/>
      <c r="T31" s="647"/>
      <c r="U31" s="647"/>
      <c r="V31" s="606"/>
      <c r="W31" s="606"/>
      <c r="X31" s="606"/>
      <c r="Y31" s="606"/>
      <c r="Z31" s="606"/>
      <c r="AA31" s="606"/>
      <c r="AB31" s="606"/>
      <c r="AC31" s="606"/>
      <c r="AD31" s="606"/>
      <c r="AE31" s="606"/>
      <c r="AF31" s="606"/>
      <c r="AG31" s="606"/>
      <c r="AH31" s="606"/>
      <c r="AI31" s="606"/>
      <c r="AJ31" s="793"/>
      <c r="AQ31" s="1439">
        <v>0</v>
      </c>
    </row>
    <row s="30764" customFormat="1" customHeight="1" ht="18.75" hidden="1">
      <c r="A32" s="1652"/>
      <c r="B32" s="1652"/>
      <c r="C32" s="1652"/>
      <c r="D32" s="1652"/>
      <c r="E32" s="1652"/>
      <c r="F32" s="1652"/>
      <c r="G32" s="1652"/>
      <c r="H32" s="1652"/>
      <c r="I32" s="1652"/>
      <c r="J32" s="1652"/>
      <c r="K32" s="1652"/>
      <c r="L32" s="1653"/>
      <c r="M32" s="1652"/>
      <c r="N32" s="1652"/>
      <c r="O32" s="1652"/>
      <c r="S32" s="2534" t="s">
        <v>482</v>
      </c>
      <c r="T32" s="2534"/>
      <c r="U32" s="1656"/>
      <c r="V32" s="2548" t="str">
        <f>IF(TITLE_DATE_PR_CHANGE="",IF(TITLE_DATE_PR="","",TITLE_DATE_PR),TITLE_DATE_PR_CHANGE)</f>
        <v>45645</v>
      </c>
      <c r="W32" s="2548"/>
      <c r="X32" s="2548"/>
      <c r="Y32" s="2548"/>
      <c r="Z32" s="2548"/>
      <c r="AA32" s="2548"/>
      <c r="AB32" s="610"/>
      <c r="AC32" s="2548" t="str">
        <f>IF(TITLE_DATE_PR_CHANGE="",IF(TITLE_DATE_PR="","",TITLE_DATE_PR),TITLE_DATE_PR_CHANGE)</f>
        <v>45645</v>
      </c>
      <c r="AD32" s="2548"/>
      <c r="AE32" s="2548"/>
      <c r="AF32" s="2548"/>
      <c r="AG32" s="2548"/>
      <c r="AH32" s="2548"/>
      <c r="AI32" s="610"/>
      <c r="AJ32" s="610"/>
      <c r="AK32" s="564"/>
      <c r="AL32" s="652"/>
      <c r="AM32" s="652"/>
      <c r="AN32" s="652"/>
      <c r="AO32" s="652"/>
      <c r="AP32" s="652"/>
      <c r="AQ32" s="702">
        <v>0</v>
      </c>
    </row>
    <row s="30764" customFormat="1" customHeight="1" ht="18.75" hidden="1">
      <c r="A33" s="1652"/>
      <c r="B33" s="1652"/>
      <c r="C33" s="1652"/>
      <c r="D33" s="1652"/>
      <c r="E33" s="1652"/>
      <c r="F33" s="1652"/>
      <c r="G33" s="1652"/>
      <c r="H33" s="1652"/>
      <c r="I33" s="1652"/>
      <c r="J33" s="1652"/>
      <c r="K33" s="1652"/>
      <c r="L33" s="1653"/>
      <c r="M33" s="1652"/>
      <c r="N33" s="1652"/>
      <c r="O33" s="1652"/>
      <c r="S33" s="2534" t="s">
        <v>483</v>
      </c>
      <c r="T33" s="2534"/>
      <c r="U33" s="1656"/>
      <c r="V33" s="2535" t="str">
        <f>IF(TITLE_NUMBER_PR_CHANGE="",IF(TITLE_NUMBER_PR="","",TITLE_NUMBER_PR),TITLE_NUMBER_PR_CHANGE)</f>
        <v>№ 40/8</v>
      </c>
      <c r="W33" s="2535"/>
      <c r="X33" s="2535"/>
      <c r="Y33" s="2535"/>
      <c r="Z33" s="2535"/>
      <c r="AA33" s="2535"/>
      <c r="AB33" s="610"/>
      <c r="AC33" s="2535" t="str">
        <f>IF(TITLE_NUMBER_PR_CHANGE="",IF(TITLE_NUMBER_PR="","",TITLE_NUMBER_PR),TITLE_NUMBER_PR_CHANGE)</f>
        <v>№ 40/8</v>
      </c>
      <c r="AD33" s="2535"/>
      <c r="AE33" s="2535"/>
      <c r="AF33" s="2535"/>
      <c r="AG33" s="2535"/>
      <c r="AH33" s="2535"/>
      <c r="AI33" s="610"/>
      <c r="AJ33" s="610"/>
      <c r="AK33" s="564"/>
      <c r="AL33" s="652"/>
      <c r="AM33" s="652"/>
      <c r="AN33" s="652"/>
      <c r="AO33" s="652"/>
      <c r="AP33" s="652"/>
      <c r="AQ33" s="702">
        <v>0</v>
      </c>
    </row>
    <row s="30764" customFormat="1" customHeight="1" ht="1.05">
      <c r="A34" s="1652"/>
      <c r="B34" s="1652"/>
      <c r="C34" s="1652"/>
      <c r="D34" s="1652"/>
      <c r="E34" s="1652"/>
      <c r="F34" s="1652"/>
      <c r="G34" s="1652"/>
      <c r="H34" s="1652"/>
      <c r="I34" s="1652"/>
      <c r="J34" s="1652"/>
      <c r="K34" s="1652"/>
      <c r="L34" s="1653"/>
      <c r="M34" s="1652"/>
      <c r="N34" s="1652"/>
      <c r="O34" s="1652"/>
      <c r="S34" s="607"/>
      <c r="T34" s="607"/>
      <c r="U34" s="1772"/>
      <c r="V34" s="610"/>
      <c r="W34" s="610"/>
      <c r="X34" s="610"/>
      <c r="Y34" s="610"/>
      <c r="Z34" s="610"/>
      <c r="AA34" s="610"/>
      <c r="AB34" s="562" t="s">
        <v>484</v>
      </c>
      <c r="AC34" s="610"/>
      <c r="AD34" s="610"/>
      <c r="AE34" s="610"/>
      <c r="AF34" s="610"/>
      <c r="AG34" s="610"/>
      <c r="AH34" s="610"/>
      <c r="AI34" s="562" t="s">
        <v>484</v>
      </c>
      <c r="AL34" s="652"/>
      <c r="AM34" s="652"/>
      <c r="AN34" s="652"/>
      <c r="AO34" s="652"/>
      <c r="AP34" s="652"/>
      <c r="AQ34" s="702">
        <v>1</v>
      </c>
    </row>
    <row customHeight="1" ht="14.699999999999998">
      <c r="Q35" s="660"/>
      <c r="R35" s="660"/>
      <c r="S35" s="1559"/>
      <c r="T35" s="647"/>
      <c r="U35" s="1528"/>
      <c r="V35" s="2536"/>
      <c r="W35" s="2536"/>
      <c r="X35" s="2536"/>
      <c r="Y35" s="2536"/>
      <c r="Z35" s="2536"/>
      <c r="AA35" s="2536"/>
      <c r="AB35" s="2536"/>
      <c r="AC35" s="2536"/>
      <c r="AD35" s="2536"/>
      <c r="AE35" s="2536"/>
      <c r="AF35" s="2536"/>
      <c r="AG35" s="2536"/>
      <c r="AH35" s="2536"/>
      <c r="AI35" s="2536"/>
      <c r="AQ35" s="1439">
        <v>14</v>
      </c>
    </row>
    <row customHeight="1" ht="14.699999999999998">
      <c r="Q36" s="660"/>
      <c r="R36" s="660"/>
      <c r="S36" s="2411" t="s">
        <v>360</v>
      </c>
      <c r="T36" s="2411"/>
      <c r="U36" s="2411"/>
      <c r="V36" s="2411"/>
      <c r="W36" s="2411"/>
      <c r="X36" s="2411"/>
      <c r="Y36" s="2411"/>
      <c r="Z36" s="2411"/>
      <c r="AA36" s="2411"/>
      <c r="AB36" s="2411"/>
      <c r="AC36" s="2411"/>
      <c r="AD36" s="2411"/>
      <c r="AE36" s="2411"/>
      <c r="AF36" s="2411"/>
      <c r="AG36" s="2411"/>
      <c r="AH36" s="2411"/>
      <c r="AI36" s="2411"/>
      <c r="AJ36" s="2411"/>
      <c r="AK36" s="2411" t="s">
        <v>361</v>
      </c>
      <c r="AQ36" s="1439">
        <v>14</v>
      </c>
    </row>
    <row customHeight="1" ht="14.699999999999998">
      <c r="Q37" s="660"/>
      <c r="R37" s="660"/>
      <c r="S37" s="2557" t="s">
        <v>91</v>
      </c>
      <c r="T37" s="2493" t="s">
        <v>485</v>
      </c>
      <c r="U37" s="585"/>
      <c r="V37" s="2558" t="s">
        <v>486</v>
      </c>
      <c r="W37" s="2559"/>
      <c r="X37" s="2559"/>
      <c r="Y37" s="2559"/>
      <c r="Z37" s="2559"/>
      <c r="AA37" s="2560"/>
      <c r="AB37" s="2561" t="s">
        <v>487</v>
      </c>
      <c r="AC37" s="2558" t="s">
        <v>486</v>
      </c>
      <c r="AD37" s="2559"/>
      <c r="AE37" s="2559"/>
      <c r="AF37" s="2559"/>
      <c r="AG37" s="2559"/>
      <c r="AH37" s="2560"/>
      <c r="AI37" s="2561" t="s">
        <v>488</v>
      </c>
      <c r="AJ37" s="2564" t="s">
        <v>489</v>
      </c>
      <c r="AK37" s="2411"/>
      <c r="AQ37" s="1439">
        <v>14</v>
      </c>
    </row>
    <row customHeight="1" ht="35.699999999999996">
      <c r="Q38" s="660"/>
      <c r="R38" s="660"/>
      <c r="S38" s="2557"/>
      <c r="T38" s="2493"/>
      <c r="U38" s="1315"/>
      <c r="V38" s="1767" t="s">
        <v>561</v>
      </c>
      <c r="W38" s="2546" t="s">
        <v>492</v>
      </c>
      <c r="X38" s="2547"/>
      <c r="Y38" s="2546" t="s">
        <v>493</v>
      </c>
      <c r="Z38" s="2553"/>
      <c r="AA38" s="2547"/>
      <c r="AB38" s="2562"/>
      <c r="AC38" s="1767" t="s">
        <v>561</v>
      </c>
      <c r="AD38" s="2546" t="s">
        <v>492</v>
      </c>
      <c r="AE38" s="2547"/>
      <c r="AF38" s="2546" t="s">
        <v>493</v>
      </c>
      <c r="AG38" s="2553"/>
      <c r="AH38" s="2547"/>
      <c r="AI38" s="2562"/>
      <c r="AJ38" s="2565"/>
      <c r="AK38" s="2411"/>
      <c r="AQ38" s="1439">
        <v>34</v>
      </c>
    </row>
    <row customHeight="1" ht="90.3">
      <c r="A39" s="1654"/>
      <c r="B39" s="1654" t="s">
        <v>165</v>
      </c>
      <c r="C39" s="1654" t="s">
        <v>166</v>
      </c>
      <c r="D39" s="1654" t="s">
        <v>167</v>
      </c>
      <c r="E39" s="1648" t="s">
        <v>494</v>
      </c>
      <c r="F39" s="1648" t="s">
        <v>495</v>
      </c>
      <c r="G39" s="1648" t="s">
        <v>496</v>
      </c>
      <c r="H39" s="1648"/>
      <c r="I39" s="1648" t="s">
        <v>562</v>
      </c>
      <c r="J39" s="1648" t="s">
        <v>499</v>
      </c>
      <c r="K39" s="1648" t="s">
        <v>563</v>
      </c>
      <c r="L39" s="1648" t="s">
        <v>475</v>
      </c>
      <c r="Q39" s="660"/>
      <c r="R39" s="660"/>
      <c r="S39" s="2557"/>
      <c r="T39" s="2493"/>
      <c r="U39" s="586"/>
      <c r="V39" s="1767" t="s">
        <v>590</v>
      </c>
      <c r="W39" s="1506" t="s">
        <v>591</v>
      </c>
      <c r="X39" s="1506" t="s">
        <v>566</v>
      </c>
      <c r="Y39" s="1773" t="s">
        <v>503</v>
      </c>
      <c r="Z39" s="2554" t="s">
        <v>504</v>
      </c>
      <c r="AA39" s="2555"/>
      <c r="AB39" s="2563"/>
      <c r="AC39" s="1767" t="s">
        <v>590</v>
      </c>
      <c r="AD39" s="1506" t="s">
        <v>591</v>
      </c>
      <c r="AE39" s="1506" t="s">
        <v>566</v>
      </c>
      <c r="AF39" s="1773" t="s">
        <v>503</v>
      </c>
      <c r="AG39" s="2554" t="s">
        <v>504</v>
      </c>
      <c r="AH39" s="2555"/>
      <c r="AI39" s="2563"/>
      <c r="AJ39" s="2566"/>
      <c r="AK39" s="2411"/>
      <c r="AQ39" s="1439">
        <v>86</v>
      </c>
    </row>
    <row s="31261" customFormat="1" customHeight="1" ht="0">
      <c r="A40" s="1654"/>
      <c r="B40" s="1654"/>
      <c r="C40" s="1654"/>
      <c r="D40" s="1654"/>
      <c r="E40" s="1654"/>
      <c r="F40" s="1654"/>
      <c r="G40" s="1654"/>
      <c r="H40" s="1654"/>
      <c r="I40" s="1654"/>
      <c r="J40" s="1654"/>
      <c r="K40" s="1654"/>
      <c r="L40" s="1648"/>
      <c r="M40" s="1646"/>
      <c r="N40" s="1646"/>
      <c r="O40" s="1646"/>
      <c r="P40" s="1530"/>
      <c r="Q40" s="1531"/>
      <c r="R40" s="1538">
        <v>1</v>
      </c>
      <c r="S40" s="1561" t="s">
        <v>141</v>
      </c>
      <c r="T40" s="1539" t="s">
        <v>105</v>
      </c>
      <c r="U40" s="1529" t="str">
        <f>OFFSET(U40,0,-1)</f>
        <v>2</v>
      </c>
      <c r="V40" s="1766">
        <f>OFFSET(V40,0,-1)+1</f>
        <v>3</v>
      </c>
      <c r="W40" s="1766">
        <f>OFFSET(W40,0,-1)+1</f>
        <v>4</v>
      </c>
      <c r="X40" s="1766">
        <f>OFFSET(X40,0,-1)+1</f>
        <v>5</v>
      </c>
      <c r="Y40" s="1766">
        <f>OFFSET(Y40,0,-1)+1</f>
        <v>6</v>
      </c>
      <c r="Z40" s="2556">
        <f>OFFSET(Z40,0,-1)+1</f>
        <v>7</v>
      </c>
      <c r="AA40" s="2556"/>
      <c r="AB40" s="1766">
        <f>OFFSET(AB40,0,-2)+1</f>
        <v>8</v>
      </c>
      <c r="AC40" s="1766">
        <f>OFFSET(AC40,0,-1)+1</f>
        <v>9</v>
      </c>
      <c r="AD40" s="1766">
        <f>OFFSET(AD40,0,-1)+1</f>
        <v>10</v>
      </c>
      <c r="AE40" s="1766">
        <f>OFFSET(AE40,0,-1)+1</f>
        <v>11</v>
      </c>
      <c r="AF40" s="1766">
        <f>OFFSET(AF40,0,-1)+1</f>
        <v>12</v>
      </c>
      <c r="AG40" s="2556">
        <f>OFFSET(AG40,0,-1)+1</f>
        <v>13</v>
      </c>
      <c r="AH40" s="2556"/>
      <c r="AI40" s="1766">
        <f>OFFSET(AI40,0,-2)+1</f>
        <v>14</v>
      </c>
      <c r="AJ40" s="1529">
        <f>OFFSET(AJ40,0,-1)</f>
        <v>14</v>
      </c>
      <c r="AK40" s="1766">
        <f>OFFSET(AK40,0,-1)+1</f>
        <v>15</v>
      </c>
      <c r="AL40" s="795"/>
      <c r="AM40" s="795"/>
      <c r="AN40" s="795"/>
      <c r="AO40" s="795"/>
      <c r="AP40" s="795"/>
      <c r="AQ40" s="780">
        <v>0</v>
      </c>
    </row>
    <row customHeight="1" ht="24">
      <c r="A41" s="1647" t="s">
        <v>331</v>
      </c>
      <c r="B41" s="1647"/>
      <c r="C41" s="1647"/>
      <c r="D41" s="1647"/>
      <c r="E41" s="2542">
        <v>1</v>
      </c>
      <c r="F41" s="1647"/>
      <c r="G41" s="1647"/>
      <c r="H41" s="1647"/>
      <c r="I41" s="1647"/>
      <c r="J41" s="1647"/>
      <c r="K41" s="1647"/>
      <c r="L41" s="1648"/>
      <c r="M41" s="1649"/>
      <c r="N41" s="1649"/>
      <c r="O41" s="1649"/>
      <c r="P41" s="645"/>
      <c r="Q41" s="644"/>
      <c r="R41" s="639"/>
      <c r="S41" s="1777">
        <f>INDEX(PT_DIFFERENTIATION_NUM_NTAR,MATCH(A41,PT_DIFFERENTIATION_NTAR_ID,0))</f>
        <v>0</v>
      </c>
      <c r="T41" s="582" t="s">
        <v>153</v>
      </c>
      <c r="U41" s="584"/>
      <c r="V41" s="2526"/>
      <c r="W41" s="2527"/>
      <c r="X41" s="2527"/>
      <c r="Y41" s="2527"/>
      <c r="Z41" s="2527"/>
      <c r="AA41" s="2527"/>
      <c r="AB41" s="2528"/>
      <c r="AC41" s="2526" t="str">
        <f>INDEX(PT_DIFFERENTIATION_NTAR,MATCH(A41,PT_DIFFERENTIATION_NTAR_ID,0))</f>
        <v/>
      </c>
      <c r="AD41" s="2527"/>
      <c r="AE41" s="2527"/>
      <c r="AF41" s="2527"/>
      <c r="AG41" s="2527"/>
      <c r="AH41" s="2527"/>
      <c r="AI41" s="2527"/>
      <c r="AJ41" s="2528"/>
      <c r="AK41"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784"/>
      <c r="AN41" s="784" t="str">
        <f>IF(T41="","",T41)</f>
        <v>Наименование тарифа</v>
      </c>
      <c r="AO41" s="784"/>
      <c r="AP41" s="784"/>
      <c r="AQ41" s="1439">
        <v>23</v>
      </c>
    </row>
    <row customHeight="1" ht="24">
      <c r="A42" s="1647" t="s">
        <v>331</v>
      </c>
      <c r="B42" s="1647" t="s">
        <v>332</v>
      </c>
      <c r="C42" s="1647"/>
      <c r="D42" s="1647"/>
      <c r="E42" s="2543"/>
      <c r="F42" s="2542">
        <v>1</v>
      </c>
      <c r="G42" s="1647"/>
      <c r="H42" s="1647"/>
      <c r="I42" s="1647"/>
      <c r="J42" s="1647"/>
      <c r="K42" s="1647"/>
      <c r="L42" s="1648"/>
      <c r="M42" s="1649"/>
      <c r="N42" s="1649"/>
      <c r="O42" s="1649"/>
      <c r="P42" s="1771"/>
      <c r="Q42" s="636"/>
      <c r="R42" s="637"/>
      <c r="S42" s="1777" t="str">
        <f>INDEX(PT_DIFFERENTIATION_NUM_TER,MATCH(B42,PT_DIFFERENTIATION_TER_ID,0))</f>
        <v>.</v>
      </c>
      <c r="T42" s="592" t="s">
        <v>457</v>
      </c>
      <c r="U42" s="584"/>
      <c r="V42" s="2526"/>
      <c r="W42" s="2527"/>
      <c r="X42" s="2527"/>
      <c r="Y42" s="2527"/>
      <c r="Z42" s="2527"/>
      <c r="AA42" s="2527"/>
      <c r="AB42" s="2528"/>
      <c r="AC42" s="2526" t="str">
        <f>INDEX(PT_DIFFERENTIATION_TER,MATCH(B42,PT_DIFFERENTIATION_TER_ID,0))</f>
        <v/>
      </c>
      <c r="AD42" s="2527"/>
      <c r="AE42" s="2527"/>
      <c r="AF42" s="2527"/>
      <c r="AG42" s="2527"/>
      <c r="AH42" s="2527"/>
      <c r="AI42" s="2527"/>
      <c r="AJ42" s="2528"/>
      <c r="AK42" s="1542" t="s">
        <v>458</v>
      </c>
      <c r="AM42" s="784"/>
      <c r="AN42" s="784" t="str">
        <f>IF(T42="","",T42)</f>
        <v>Территория действия тарифа</v>
      </c>
      <c r="AO42" s="784"/>
      <c r="AP42" s="784"/>
      <c r="AQ42" s="1439">
        <v>23</v>
      </c>
    </row>
    <row customHeight="1" ht="24">
      <c r="A43" s="1647" t="s">
        <v>331</v>
      </c>
      <c r="B43" s="1647" t="s">
        <v>332</v>
      </c>
      <c r="C43" s="1647" t="s">
        <v>333</v>
      </c>
      <c r="D43" s="1647"/>
      <c r="E43" s="2543"/>
      <c r="F43" s="2543"/>
      <c r="G43" s="2542">
        <v>1</v>
      </c>
      <c r="H43" s="1647"/>
      <c r="I43" s="1647"/>
      <c r="J43" s="1647"/>
      <c r="K43" s="1647"/>
      <c r="L43" s="1648"/>
      <c r="M43" s="1649"/>
      <c r="N43" s="1649"/>
      <c r="O43" s="1649"/>
      <c r="P43" s="638"/>
      <c r="Q43" s="636"/>
      <c r="R43" s="637"/>
      <c r="S43" s="1777" t="str">
        <f>INDEX(PT_DIFFERENTIATION_NUM_CS,MATCH(C43,PT_DIFFERENTIATION_CS_ID,0))</f>
        <v>..</v>
      </c>
      <c r="T43" s="593" t="s">
        <v>588</v>
      </c>
      <c r="U43" s="584"/>
      <c r="V43" s="2526"/>
      <c r="W43" s="2527"/>
      <c r="X43" s="2527"/>
      <c r="Y43" s="2527"/>
      <c r="Z43" s="2527"/>
      <c r="AA43" s="2527"/>
      <c r="AB43" s="2528"/>
      <c r="AC43" s="2526" t="str">
        <f>INDEX(PT_DIFFERENTIATION_CS,MATCH(C43,PT_DIFFERENTIATION_CS_ID,0))</f>
        <v/>
      </c>
      <c r="AD43" s="2527"/>
      <c r="AE43" s="2527"/>
      <c r="AF43" s="2527"/>
      <c r="AG43" s="2527"/>
      <c r="AH43" s="2527"/>
      <c r="AI43" s="2527"/>
      <c r="AJ43" s="2528"/>
      <c r="AK43" s="1542" t="s">
        <v>589</v>
      </c>
      <c r="AM43" s="784"/>
      <c r="AN43" s="784" t="str">
        <f>IF(T43="","",T43)</f>
        <v>Наименование централизованной системы водоотведения</v>
      </c>
      <c r="AO43" s="784"/>
      <c r="AP43" s="784"/>
      <c r="AQ43" s="1439">
        <v>23</v>
      </c>
    </row>
    <row customHeight="1" ht="24">
      <c r="A44" s="1647" t="s">
        <v>331</v>
      </c>
      <c r="B44" s="1647" t="s">
        <v>332</v>
      </c>
      <c r="C44" s="1647" t="s">
        <v>333</v>
      </c>
      <c r="D44" s="1647" t="s">
        <v>593</v>
      </c>
      <c r="E44" s="2543"/>
      <c r="F44" s="2543"/>
      <c r="G44" s="2543"/>
      <c r="H44" s="2543"/>
      <c r="I44" s="2540" t="str">
        <f>S43&amp;".1"</f>
        <v>...1</v>
      </c>
      <c r="J44" s="1647"/>
      <c r="K44" s="1647"/>
      <c r="L44" s="1648"/>
      <c r="P44" s="2541">
        <v>1</v>
      </c>
      <c r="Q44" s="1765"/>
      <c r="R44" s="640"/>
      <c r="S44" s="1777" t="str">
        <f>$I44</f>
        <v>...1</v>
      </c>
      <c r="T44" s="569" t="s">
        <v>555</v>
      </c>
      <c r="U44" s="584"/>
      <c r="V44" s="2634"/>
      <c r="W44" s="2635"/>
      <c r="X44" s="2635"/>
      <c r="Y44" s="2635"/>
      <c r="Z44" s="2635"/>
      <c r="AA44" s="2635"/>
      <c r="AB44" s="2636"/>
      <c r="AC44" s="2637"/>
      <c r="AD44" s="2638"/>
      <c r="AE44" s="2638"/>
      <c r="AF44" s="2638"/>
      <c r="AG44" s="2638"/>
      <c r="AH44" s="2638"/>
      <c r="AI44" s="2638"/>
      <c r="AJ44" s="2639"/>
      <c r="AK44" s="1542" t="s">
        <v>556</v>
      </c>
      <c r="AM44" s="784"/>
      <c r="AN44" s="784" t="str">
        <f>IF(T44="","",T44)</f>
        <v>Наименование признака дифференциации</v>
      </c>
      <c r="AO44" s="784"/>
      <c r="AP44" s="784"/>
      <c r="AQ44" s="1439">
        <v>23</v>
      </c>
    </row>
    <row customHeight="1" ht="24">
      <c r="A45" s="1647" t="s">
        <v>331</v>
      </c>
      <c r="B45" s="1647" t="s">
        <v>332</v>
      </c>
      <c r="C45" s="1647" t="s">
        <v>333</v>
      </c>
      <c r="D45" s="1647" t="s">
        <v>593</v>
      </c>
      <c r="E45" s="2543"/>
      <c r="F45" s="2543"/>
      <c r="G45" s="2543"/>
      <c r="H45" s="2543"/>
      <c r="I45" s="2570"/>
      <c r="J45" s="2540" t="str">
        <f>I44&amp;".1"</f>
        <v>...1.1</v>
      </c>
      <c r="K45" s="1647"/>
      <c r="L45" s="1648" t="s">
        <v>466</v>
      </c>
      <c r="P45" s="2541"/>
      <c r="Q45" s="2541">
        <v>1</v>
      </c>
      <c r="R45" s="641"/>
      <c r="S45" s="1777" t="str">
        <f>$J45</f>
        <v>...1.1</v>
      </c>
      <c r="T45" s="570" t="s">
        <v>467</v>
      </c>
      <c r="U45" s="584"/>
      <c r="V45" s="2529"/>
      <c r="W45" s="2530"/>
      <c r="X45" s="2530"/>
      <c r="Y45" s="2530"/>
      <c r="Z45" s="2530"/>
      <c r="AA45" s="2530"/>
      <c r="AB45" s="2531"/>
      <c r="AC45" s="2529"/>
      <c r="AD45" s="2530"/>
      <c r="AE45" s="2530"/>
      <c r="AF45" s="2530"/>
      <c r="AG45" s="2530"/>
      <c r="AH45" s="2530"/>
      <c r="AI45" s="2530"/>
      <c r="AJ45" s="2531"/>
      <c r="AK45" s="1591" t="s">
        <v>557</v>
      </c>
      <c r="AM45" s="784"/>
      <c r="AN45" s="784" t="str">
        <f>IF(T45="","",T45)</f>
        <v>Группа потребителей</v>
      </c>
      <c r="AO45" s="784"/>
      <c r="AP45" s="784"/>
      <c r="AQ45" s="1439">
        <v>23</v>
      </c>
    </row>
    <row customHeight="1" ht="24">
      <c r="A46" s="1647" t="s">
        <v>331</v>
      </c>
      <c r="B46" s="1647" t="s">
        <v>332</v>
      </c>
      <c r="C46" s="1647" t="s">
        <v>333</v>
      </c>
      <c r="D46" s="1647" t="s">
        <v>593</v>
      </c>
      <c r="E46" s="2543"/>
      <c r="F46" s="2543"/>
      <c r="G46" s="2543"/>
      <c r="H46" s="2543"/>
      <c r="I46" s="2570"/>
      <c r="J46" s="2570"/>
      <c r="K46" s="2540" t="str">
        <f>J45&amp;".1"</f>
        <v>...1.1.1</v>
      </c>
      <c r="L46" s="1648"/>
      <c r="P46" s="2541"/>
      <c r="Q46" s="2541"/>
      <c r="R46" s="641">
        <v>1</v>
      </c>
      <c r="S46" s="1777" t="str">
        <f>$K46</f>
        <v>...1.1.1</v>
      </c>
      <c r="T46" s="1721"/>
      <c r="U46" s="584"/>
      <c r="V46" s="1644"/>
      <c r="W46" s="1644"/>
      <c r="X46" s="1645"/>
      <c r="Y46" s="2551"/>
      <c r="Z46" s="2552" t="s">
        <v>64</v>
      </c>
      <c r="AA46" s="2551"/>
      <c r="AB46" s="2552" t="s">
        <v>64</v>
      </c>
      <c r="AC46" s="1035"/>
      <c r="AD46" s="1035"/>
      <c r="AE46" s="1541"/>
      <c r="AF46" s="2549"/>
      <c r="AG46" s="2391" t="s">
        <v>64</v>
      </c>
      <c r="AH46" s="2571"/>
      <c r="AI46" s="2391" t="s">
        <v>19</v>
      </c>
      <c r="AJ46" s="1722"/>
      <c r="AK46" s="26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95">
        <f>STRCHECKDATE(V47:AJ47)</f>
      </c>
      <c r="AM46" s="784"/>
      <c r="AN46" s="784" t="str">
        <f>IF(T46="","",T46)</f>
        <v/>
      </c>
      <c r="AO46" s="784"/>
      <c r="AP46" s="784"/>
      <c r="AQ46" s="1439">
        <v>23</v>
      </c>
    </row>
    <row customHeight="1" ht="0">
      <c r="A47" s="1647" t="s">
        <v>331</v>
      </c>
      <c r="B47" s="1647" t="s">
        <v>332</v>
      </c>
      <c r="C47" s="1647" t="s">
        <v>333</v>
      </c>
      <c r="D47" s="1647" t="s">
        <v>593</v>
      </c>
      <c r="E47" s="2543"/>
      <c r="F47" s="2543"/>
      <c r="G47" s="2543"/>
      <c r="H47" s="2543"/>
      <c r="I47" s="2570"/>
      <c r="J47" s="2570"/>
      <c r="K47" s="2540"/>
      <c r="L47" s="1648"/>
      <c r="P47" s="2541"/>
      <c r="Q47" s="2541"/>
      <c r="R47" s="641"/>
      <c r="S47" s="1774"/>
      <c r="T47" s="584"/>
      <c r="U47" s="584"/>
      <c r="V47" s="1644"/>
      <c r="W47" s="1644"/>
      <c r="X47" s="612" t="str">
        <f>Y46&amp;"-"&amp;AA46</f>
        <v>-</v>
      </c>
      <c r="Y47" s="2552"/>
      <c r="Z47" s="2552"/>
      <c r="AA47" s="2552"/>
      <c r="AB47" s="2552"/>
      <c r="AC47" s="609"/>
      <c r="AD47" s="609"/>
      <c r="AE47" s="612" t="str">
        <f>AF46&amp;"-"&amp;AH46</f>
        <v>-</v>
      </c>
      <c r="AF47" s="2550"/>
      <c r="AG47" s="2391"/>
      <c r="AH47" s="2572"/>
      <c r="AI47" s="2391"/>
      <c r="AJ47" s="1723"/>
      <c r="AK47" s="2633"/>
      <c r="AM47" s="784"/>
      <c r="AN47" s="784" t="str">
        <f>IF(T47="","",T47)</f>
        <v/>
      </c>
      <c r="AO47" s="784"/>
      <c r="AP47" s="784"/>
      <c r="AQ47" s="1439">
        <v>0</v>
      </c>
    </row>
    <row customHeight="1" ht="21">
      <c r="A48" s="1647" t="s">
        <v>331</v>
      </c>
      <c r="B48" s="1647" t="s">
        <v>332</v>
      </c>
      <c r="C48" s="1647" t="s">
        <v>333</v>
      </c>
      <c r="D48" s="1647" t="s">
        <v>593</v>
      </c>
      <c r="E48" s="2543"/>
      <c r="F48" s="2543"/>
      <c r="G48" s="2543"/>
      <c r="H48" s="2543"/>
      <c r="I48" s="2570"/>
      <c r="J48" s="2540"/>
      <c r="K48" s="1647"/>
      <c r="L48" s="1648"/>
      <c r="P48" s="2541"/>
      <c r="Q48" s="2541"/>
      <c r="R48" s="640"/>
      <c r="S48" s="1562"/>
      <c r="T48" s="571" t="s">
        <v>558</v>
      </c>
      <c r="U48" s="651"/>
      <c r="V48" s="651"/>
      <c r="W48" s="651"/>
      <c r="X48" s="651"/>
      <c r="Y48" s="651"/>
      <c r="Z48" s="651"/>
      <c r="AA48" s="651"/>
      <c r="AB48" s="651"/>
      <c r="AC48" s="651"/>
      <c r="AD48" s="651"/>
      <c r="AE48" s="651"/>
      <c r="AF48" s="651"/>
      <c r="AG48" s="651"/>
      <c r="AH48" s="651"/>
      <c r="AI48" s="651"/>
      <c r="AJ48" s="651"/>
      <c r="AK48" s="1542" t="s">
        <v>559</v>
      </c>
      <c r="AM48" s="784"/>
      <c r="AN48" s="784" t="str">
        <f>IF(T48="","",T48)</f>
        <v>Добавить значение признака дифференциации</v>
      </c>
      <c r="AO48" s="784"/>
      <c r="AP48" s="784"/>
      <c r="AQ48" s="1439">
        <v>20</v>
      </c>
    </row>
    <row customHeight="1" ht="22.049999999999997">
      <c r="A49" s="1647" t="s">
        <v>331</v>
      </c>
      <c r="B49" s="1647" t="s">
        <v>332</v>
      </c>
      <c r="C49" s="1647" t="s">
        <v>333</v>
      </c>
      <c r="D49" s="1647" t="s">
        <v>593</v>
      </c>
      <c r="E49" s="2543"/>
      <c r="F49" s="2543"/>
      <c r="G49" s="2543"/>
      <c r="H49" s="2543"/>
      <c r="I49" s="2540"/>
      <c r="J49" s="1647"/>
      <c r="K49" s="1647"/>
      <c r="L49" s="1648"/>
      <c r="P49" s="2541"/>
      <c r="Q49" s="1765"/>
      <c r="R49" s="640"/>
      <c r="S49" s="1562"/>
      <c r="T49" s="649" t="s">
        <v>472</v>
      </c>
      <c r="U49" s="651"/>
      <c r="V49" s="651"/>
      <c r="W49" s="651"/>
      <c r="X49" s="651"/>
      <c r="Y49" s="651"/>
      <c r="Z49" s="651"/>
      <c r="AA49" s="651"/>
      <c r="AB49" s="650"/>
      <c r="AC49" s="651"/>
      <c r="AD49" s="651"/>
      <c r="AE49" s="651"/>
      <c r="AF49" s="651"/>
      <c r="AG49" s="651"/>
      <c r="AH49" s="651"/>
      <c r="AI49" s="650"/>
      <c r="AJ49" s="651"/>
      <c r="AK49" s="1724"/>
      <c r="AM49" s="784"/>
      <c r="AN49" s="784" t="str">
        <f>IF(T49="","",T49)</f>
        <v>Добавить группу потребителей</v>
      </c>
      <c r="AO49" s="784"/>
      <c r="AP49" s="784"/>
      <c r="AQ49" s="1439">
        <v>21</v>
      </c>
    </row>
    <row customHeight="1" ht="22.049999999999997">
      <c r="A50" s="1647" t="s">
        <v>331</v>
      </c>
      <c r="B50" s="1647" t="s">
        <v>332</v>
      </c>
      <c r="C50" s="1647" t="s">
        <v>333</v>
      </c>
      <c r="D50" s="1647" t="s">
        <v>593</v>
      </c>
      <c r="E50" s="2543"/>
      <c r="F50" s="2543"/>
      <c r="G50" s="2543"/>
      <c r="H50" s="2542"/>
      <c r="I50" s="1647"/>
      <c r="J50" s="1647"/>
      <c r="K50" s="1647"/>
      <c r="L50" s="1648"/>
      <c r="M50" s="1649"/>
      <c r="N50" s="1649"/>
      <c r="O50" s="821"/>
      <c r="P50" s="644"/>
      <c r="Q50" s="659"/>
      <c r="R50" s="639"/>
      <c r="S50" s="1562"/>
      <c r="T50" s="656" t="s">
        <v>560</v>
      </c>
      <c r="U50" s="651"/>
      <c r="V50" s="651"/>
      <c r="W50" s="651"/>
      <c r="X50" s="651"/>
      <c r="Y50" s="651"/>
      <c r="Z50" s="651"/>
      <c r="AA50" s="651"/>
      <c r="AB50" s="650"/>
      <c r="AC50" s="651"/>
      <c r="AD50" s="651"/>
      <c r="AE50" s="651"/>
      <c r="AF50" s="651"/>
      <c r="AG50" s="651"/>
      <c r="AH50" s="651"/>
      <c r="AI50" s="650"/>
      <c r="AJ50" s="651"/>
      <c r="AK50" s="587"/>
      <c r="AM50" s="784"/>
      <c r="AN50" s="784" t="str">
        <f>IF(T50="","",T50)</f>
        <v>Добавить наименование признака дифференциации</v>
      </c>
      <c r="AO50" s="784"/>
      <c r="AP50" s="784"/>
      <c r="AQ50" s="1439">
        <v>21</v>
      </c>
    </row>
    <row s="30621" customFormat="1" customHeight="1" ht="0">
      <c r="A51" s="1627" t="s">
        <v>331</v>
      </c>
      <c r="B51" s="1627" t="s">
        <v>332</v>
      </c>
      <c r="C51" s="1598"/>
      <c r="D51" s="1598"/>
      <c r="E51" s="2543"/>
      <c r="F51" s="2542"/>
      <c r="G51" s="1598"/>
      <c r="H51" s="1598"/>
      <c r="I51" s="1598"/>
      <c r="J51" s="1598"/>
      <c r="K51" s="1598"/>
      <c r="L51" s="1778"/>
      <c r="M51" s="1605"/>
      <c r="N51" s="1605"/>
      <c r="P51" s="1600"/>
      <c r="Q51" s="1601"/>
      <c r="R51" s="1600"/>
      <c r="S51" s="1606"/>
      <c r="T51" s="1609" t="s">
        <v>214</v>
      </c>
      <c r="U51" s="1608"/>
      <c r="V51" s="1608"/>
      <c r="W51" s="1608"/>
      <c r="X51" s="1608"/>
      <c r="Y51" s="1608"/>
      <c r="Z51" s="1608"/>
      <c r="AA51" s="1608"/>
      <c r="AB51" s="1608"/>
      <c r="AC51" s="1608"/>
      <c r="AD51" s="1608"/>
      <c r="AE51" s="1608"/>
      <c r="AF51" s="1608"/>
      <c r="AG51" s="1608"/>
      <c r="AH51" s="1608"/>
      <c r="AI51" s="1608"/>
      <c r="AJ51" s="1608"/>
      <c r="AK51" s="1608"/>
      <c r="AM51" s="1073"/>
      <c r="AN51" s="1073" t="str">
        <f>IF(T51="","",T51)</f>
        <v>Добавить централизованную систему для дифференциации</v>
      </c>
      <c r="AO51" s="1073"/>
      <c r="AP51" s="1073"/>
      <c r="AQ51" s="802">
        <v>0</v>
      </c>
    </row>
    <row s="30621" customFormat="1" customHeight="1" ht="0">
      <c r="A52" s="1627" t="s">
        <v>331</v>
      </c>
      <c r="B52" s="1627"/>
      <c r="C52" s="1627"/>
      <c r="D52" s="1627"/>
      <c r="E52" s="2542"/>
      <c r="F52" s="1627"/>
      <c r="G52" s="1627"/>
      <c r="H52" s="1627"/>
      <c r="I52" s="1627"/>
      <c r="J52" s="1627"/>
      <c r="K52" s="1627"/>
      <c r="L52" s="1630"/>
      <c r="M52" s="1605"/>
      <c r="N52" s="1605"/>
      <c r="O52" s="802"/>
      <c r="P52" s="664"/>
      <c r="Q52" s="1628"/>
      <c r="R52" s="664"/>
      <c r="S52" s="1606"/>
      <c r="T52" s="1609" t="s">
        <v>230</v>
      </c>
      <c r="U52" s="1608"/>
      <c r="V52" s="1608"/>
      <c r="W52" s="1608"/>
      <c r="X52" s="1608"/>
      <c r="Y52" s="1608"/>
      <c r="Z52" s="1608"/>
      <c r="AA52" s="1608"/>
      <c r="AB52" s="1608"/>
      <c r="AC52" s="1608"/>
      <c r="AD52" s="1608"/>
      <c r="AE52" s="1608"/>
      <c r="AF52" s="1608"/>
      <c r="AG52" s="1608"/>
      <c r="AH52" s="1608"/>
      <c r="AI52" s="1608"/>
      <c r="AJ52" s="1608"/>
      <c r="AK52" s="1608"/>
      <c r="AM52" s="784"/>
      <c r="AN52" s="784" t="str">
        <f>IF(T52="","",T52)</f>
        <v>Добавить территорию для дифференциации</v>
      </c>
      <c r="AO52" s="784"/>
      <c r="AP52" s="784"/>
      <c r="AQ52" s="795">
        <v>0</v>
      </c>
    </row>
    <row s="30621" customFormat="1" customHeight="1" ht="0">
      <c r="A53" s="1598"/>
      <c r="B53" s="1598"/>
      <c r="C53" s="1598"/>
      <c r="D53" s="1598"/>
      <c r="E53" s="1627"/>
      <c r="F53" s="1598"/>
      <c r="G53" s="1598"/>
      <c r="H53" s="1598"/>
      <c r="I53" s="1598"/>
      <c r="J53" s="1598"/>
      <c r="K53" s="1598"/>
      <c r="L53" s="1778"/>
      <c r="M53" s="1605"/>
      <c r="N53" s="1605"/>
      <c r="P53" s="1600"/>
      <c r="Q53" s="1601"/>
      <c r="R53" s="1600"/>
      <c r="S53" s="1606"/>
      <c r="T53" s="1609" t="s">
        <v>239</v>
      </c>
      <c r="U53" s="1608"/>
      <c r="V53" s="1608"/>
      <c r="W53" s="1608"/>
      <c r="X53" s="1608"/>
      <c r="Y53" s="1608"/>
      <c r="Z53" s="1608"/>
      <c r="AA53" s="1608"/>
      <c r="AB53" s="1608"/>
      <c r="AC53" s="1608"/>
      <c r="AD53" s="1608"/>
      <c r="AE53" s="1608"/>
      <c r="AF53" s="1608"/>
      <c r="AG53" s="1608"/>
      <c r="AH53" s="1608"/>
      <c r="AI53" s="1608"/>
      <c r="AJ53" s="1608"/>
      <c r="AK53" s="1608"/>
      <c r="AM53" s="1073"/>
      <c r="AN53" s="1073" t="str">
        <f>IF(T53="","",T53)</f>
        <v>Добавить наименование тарифа</v>
      </c>
      <c r="AO53" s="1073"/>
      <c r="AP53" s="1073"/>
      <c r="AQ53" s="802">
        <v>0</v>
      </c>
    </row>
    <row customHeight="1" ht="11.549999999999999">
      <c r="M54" s="1444"/>
      <c r="N54" s="1444"/>
      <c r="O54" s="821"/>
      <c r="P54" s="1439"/>
      <c r="Q54" s="1439"/>
      <c r="R54" s="1439"/>
      <c r="S54" s="1439"/>
      <c r="AL54" s="1439"/>
      <c r="AM54" s="1439"/>
      <c r="AN54" s="1439"/>
      <c r="AO54" s="1439"/>
      <c r="AP54" s="1439"/>
      <c r="AQ54" s="1439">
        <v>11</v>
      </c>
    </row>
    <row customHeight="1" ht="14.699999999999998">
      <c r="O55" s="821"/>
      <c r="S55" s="1537"/>
      <c r="T55" s="2569"/>
      <c r="U55" s="2569"/>
      <c r="V55" s="2569"/>
      <c r="W55" s="2569"/>
      <c r="X55" s="2569"/>
      <c r="Y55" s="2569"/>
      <c r="Z55" s="2569"/>
      <c r="AA55" s="2569"/>
      <c r="AB55" s="2569"/>
      <c r="AC55" s="2569"/>
      <c r="AD55" s="2569"/>
      <c r="AE55" s="2569"/>
      <c r="AF55" s="2569"/>
      <c r="AG55" s="2569"/>
      <c r="AH55" s="2569"/>
      <c r="AI55" s="2569"/>
      <c r="AJ55" s="2569"/>
      <c r="AK55" s="2569"/>
      <c r="AQ55" s="1439">
        <v>14</v>
      </c>
    </row>
    <row customHeight="1" ht="14.699999999999998">
      <c r="O56" s="821"/>
      <c r="AQ56" s="1439">
        <v>14</v>
      </c>
    </row>
    <row customHeight="1" ht="14.699999999999998">
      <c r="O57" s="821"/>
      <c r="S57" s="1537"/>
      <c r="T57" s="2569"/>
      <c r="U57" s="2569"/>
      <c r="V57" s="2569"/>
      <c r="W57" s="2569"/>
      <c r="X57" s="2569"/>
      <c r="Y57" s="2569"/>
      <c r="Z57" s="2569"/>
      <c r="AA57" s="2569"/>
      <c r="AB57" s="2569"/>
      <c r="AC57" s="2569"/>
      <c r="AD57" s="2569"/>
      <c r="AE57" s="2569"/>
      <c r="AF57" s="2569"/>
      <c r="AG57" s="2569"/>
      <c r="AH57" s="2569"/>
      <c r="AI57" s="2569"/>
      <c r="AJ57" s="2569"/>
      <c r="AK57" s="2569"/>
      <c r="AQ57" s="1439">
        <v>14</v>
      </c>
    </row>
    <row customHeight="1" ht="22.5" hidden="1">
      <c r="A58" s="1444" t="s">
        <v>85</v>
      </c>
      <c r="B58" s="1444">
        <v>0</v>
      </c>
      <c r="C58" s="1444">
        <v>0</v>
      </c>
      <c r="D58" s="1444">
        <v>0</v>
      </c>
      <c r="E58" s="1444">
        <v>0</v>
      </c>
      <c r="F58" s="1444">
        <v>0</v>
      </c>
      <c r="G58" s="1444">
        <v>0</v>
      </c>
      <c r="H58" s="1444">
        <v>0</v>
      </c>
      <c r="I58" s="1444">
        <v>0</v>
      </c>
      <c r="J58" s="1444">
        <v>0</v>
      </c>
      <c r="K58" s="1444">
        <v>0</v>
      </c>
      <c r="L58" s="1762">
        <v>0</v>
      </c>
      <c r="M58" s="1646">
        <v>0</v>
      </c>
      <c r="N58" s="1646">
        <v>0</v>
      </c>
      <c r="O58" s="1646">
        <v>0</v>
      </c>
      <c r="P58" s="1757">
        <v>3</v>
      </c>
      <c r="Q58" s="628">
        <v>3</v>
      </c>
      <c r="R58" s="628">
        <v>3</v>
      </c>
      <c r="S58" s="865">
        <v>12</v>
      </c>
      <c r="T58" s="1439">
        <v>35</v>
      </c>
      <c r="U58" s="1439">
        <v>0</v>
      </c>
      <c r="V58" s="1439">
        <v>0</v>
      </c>
      <c r="W58" s="1439">
        <v>0</v>
      </c>
      <c r="X58" s="1439">
        <v>0</v>
      </c>
      <c r="Y58" s="1439">
        <v>0</v>
      </c>
      <c r="Z58" s="1439">
        <v>0</v>
      </c>
      <c r="AA58" s="1439">
        <v>0</v>
      </c>
      <c r="AB58" s="1439">
        <v>0</v>
      </c>
      <c r="AC58" s="1439">
        <v>24</v>
      </c>
      <c r="AD58" s="1439">
        <v>24</v>
      </c>
      <c r="AE58" s="1439">
        <v>24</v>
      </c>
      <c r="AF58" s="1439">
        <v>11</v>
      </c>
      <c r="AG58" s="1439">
        <v>3</v>
      </c>
      <c r="AH58" s="1439">
        <v>11</v>
      </c>
      <c r="AI58" s="1439">
        <v>0</v>
      </c>
      <c r="AJ58" s="1439">
        <v>4</v>
      </c>
      <c r="AK58" s="1439">
        <v>115</v>
      </c>
      <c r="AL58" s="795">
        <v>10</v>
      </c>
      <c r="AM58" s="795">
        <v>10</v>
      </c>
      <c r="AN58" s="795">
        <v>10</v>
      </c>
      <c r="AO58" s="795">
        <v>10</v>
      </c>
      <c r="AP58" s="795">
        <v>10</v>
      </c>
      <c r="AQ58" s="1439">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DC1CFB-80B8-35FE-3A98-3E143A583A29}"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30620" width="11.57421875" hidden="1" customWidth="1"/>
    <col min="2" max="2" style="30620" width="11.00390625" hidden="1" customWidth="1"/>
    <col min="3" max="3" style="30620" width="10.57421875" hidden="1"/>
    <col min="4" max="4" style="30620" width="12.8515625" hidden="1" customWidth="1"/>
    <col min="5" max="5" style="30620" width="10.00390625" hidden="1" customWidth="1"/>
    <col min="6" max="6" style="30620" width="8.7109375" hidden="1" customWidth="1"/>
    <col min="7" max="7" style="30620" width="7.57421875" hidden="1" customWidth="1"/>
    <col min="8" max="8" style="30620" width="11.421875" hidden="1" customWidth="1"/>
    <col min="9" max="9" style="30620" width="12.00390625" hidden="1" customWidth="1"/>
    <col min="10" max="10" style="30620" width="9.8515625" hidden="1" customWidth="1"/>
    <col min="11" max="11" style="30620" width="11.421875" hidden="1" customWidth="1"/>
    <col min="12" max="12" style="31502" width="19.140625" hidden="1" customWidth="1"/>
    <col min="13" max="14" style="31503" width="12.28125" hidden="1" customWidth="1"/>
    <col min="15" max="15" style="31503" width="23.421875" hidden="1" customWidth="1"/>
    <col min="16" max="16" style="31503" width="3.7109375" hidden="1" customWidth="1"/>
    <col min="17" max="17" style="37299" width="3.7109375" hidden="1" customWidth="1"/>
    <col min="18" max="18" style="31505" width="3.00390625" customWidth="1"/>
    <col min="19" max="19" style="31506" width="12.00390625" customWidth="1"/>
    <col min="20" max="20" style="30541" width="31.00390625" customWidth="1"/>
    <col min="21" max="21" style="30541" width="0.140625" customWidth="1"/>
    <col min="22" max="25" style="30541" width="21.7109375" hidden="1" customWidth="1"/>
    <col min="26" max="26" style="30541" width="11.7109375" hidden="1" customWidth="1"/>
    <col min="27" max="27" style="30541" width="3.7109375" hidden="1" customWidth="1"/>
    <col min="28" max="28" style="30541" width="11.7109375" hidden="1" customWidth="1"/>
    <col min="29" max="29" style="30541" width="8.57421875" hidden="1" customWidth="1"/>
    <col min="30" max="30" style="30541" width="3.7109375" customWidth="1"/>
    <col min="31" max="32" style="30541" width="3.00390625" customWidth="1"/>
    <col min="33" max="33" style="30541" width="24.00390625" customWidth="1"/>
    <col min="34" max="34" style="30541" width="3.7109375" customWidth="1"/>
    <col min="35" max="36" style="30541" width="3.00390625" customWidth="1"/>
    <col min="37" max="37" style="30541" width="24.00390625" customWidth="1"/>
    <col min="38" max="38" style="30541" width="3.7109375" customWidth="1"/>
    <col min="39" max="40" style="30541" width="3.00390625" customWidth="1"/>
    <col min="41" max="41" style="30541" width="18.00390625" customWidth="1"/>
    <col min="42" max="42" style="30541" width="3.7109375" customWidth="1"/>
    <col min="43" max="44" style="30541" width="3.00390625" customWidth="1"/>
    <col min="45" max="45" style="30541" width="18.00390625" customWidth="1"/>
    <col min="46" max="49" style="30541" width="21.00390625" customWidth="1"/>
    <col min="50" max="50" style="30541" width="11.00390625" customWidth="1"/>
    <col min="51" max="51" style="30541" width="3.7109375" customWidth="1"/>
    <col min="52" max="52" style="30541" width="11.00390625" customWidth="1"/>
    <col min="53" max="53" style="30541" width="8.57421875" hidden="1" customWidth="1"/>
    <col min="54" max="54" style="30541" width="4.00390625" customWidth="1"/>
    <col min="55" max="55" style="30541" width="115.00390625" customWidth="1"/>
    <col min="56" max="60" style="30621" width="10.00390625" customWidth="1"/>
    <col min="61" max="61" style="30541" width="10.57421875" hidden="1"/>
  </cols>
  <sheetData>
    <row customHeight="1" ht="22.5" hidden="1">
      <c r="W1" s="611"/>
      <c r="Y1" s="611"/>
      <c r="Z1" s="611"/>
      <c r="AW1" s="611"/>
      <c r="AX1" s="611"/>
      <c r="BI1" s="1439" t="s">
        <v>14</v>
      </c>
    </row>
    <row customHeight="1" ht="21" hidden="1">
      <c r="A2" s="1647"/>
      <c r="B2" s="1647"/>
      <c r="C2" s="1647"/>
      <c r="D2" s="1647"/>
      <c r="E2" s="2542">
        <v>1</v>
      </c>
      <c r="F2" s="1647"/>
      <c r="G2" s="1647"/>
      <c r="H2" s="1647"/>
      <c r="I2" s="1647"/>
      <c r="J2" s="1647"/>
      <c r="K2" s="1647"/>
      <c r="L2" s="1648"/>
      <c r="M2" s="1649"/>
      <c r="N2" s="1649"/>
      <c r="O2" s="1649"/>
      <c r="P2" s="1693"/>
      <c r="Q2" s="1157"/>
      <c r="R2" s="639"/>
      <c r="S2" s="1777">
        <f>INDEX(PT_DIFFERENTIATION_NUM_NTAR,MATCH(A2,PT_DIFFERENTIATION_NTAR_ID,0))</f>
      </c>
      <c r="T2" s="582" t="s">
        <v>153</v>
      </c>
      <c r="U2" s="584"/>
      <c r="V2" s="2527"/>
      <c r="W2" s="2527"/>
      <c r="X2" s="2527"/>
      <c r="Y2" s="2527"/>
      <c r="Z2" s="2527"/>
      <c r="AA2" s="2527"/>
      <c r="AB2" s="2527"/>
      <c r="AC2" s="2528"/>
      <c r="AD2" s="2526">
        <f>INDEX(PT_DIFFERENTIATION_NTAR,MATCH(A2,PT_DIFFERENTIATION_NTAR_ID,0))</f>
      </c>
      <c r="AE2" s="2527"/>
      <c r="AF2" s="2527"/>
      <c r="AG2" s="2527"/>
      <c r="AH2" s="2527"/>
      <c r="AI2" s="2527"/>
      <c r="AJ2" s="2527"/>
      <c r="AK2" s="2527"/>
      <c r="AL2" s="2527"/>
      <c r="AM2" s="2527"/>
      <c r="AN2" s="2527"/>
      <c r="AO2" s="2527"/>
      <c r="AP2" s="2527"/>
      <c r="AQ2" s="2527"/>
      <c r="AR2" s="2527"/>
      <c r="AS2" s="2527"/>
      <c r="AT2" s="2527"/>
      <c r="AU2" s="2527"/>
      <c r="AV2" s="2527"/>
      <c r="AW2" s="2527"/>
      <c r="AX2" s="2527"/>
      <c r="AY2" s="2527"/>
      <c r="AZ2" s="2527"/>
      <c r="BA2" s="2527"/>
      <c r="BB2" s="2528"/>
      <c r="BC2"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784"/>
      <c r="BF2" s="784" t="str">
        <f>IF(T2="","",T2)</f>
        <v>Наименование тарифа</v>
      </c>
      <c r="BG2" s="784"/>
      <c r="BH2" s="784"/>
      <c r="BI2" s="1439">
        <v>0</v>
      </c>
    </row>
    <row customHeight="1" ht="21" hidden="1">
      <c r="A3" s="1647"/>
      <c r="B3" s="1647"/>
      <c r="C3" s="1647"/>
      <c r="D3" s="1647"/>
      <c r="E3" s="2543"/>
      <c r="F3" s="2542">
        <v>1</v>
      </c>
      <c r="G3" s="1647"/>
      <c r="H3" s="1647"/>
      <c r="I3" s="1647"/>
      <c r="J3" s="1647"/>
      <c r="K3" s="1647"/>
      <c r="L3" s="1648"/>
      <c r="M3" s="1649"/>
      <c r="N3" s="1649"/>
      <c r="O3" s="1649"/>
      <c r="P3" s="1694"/>
      <c r="Q3" s="1695"/>
      <c r="R3" s="637"/>
      <c r="S3" s="1777">
        <f>INDEX(PT_DIFFERENTIATION_NUM_TER,MATCH(B3,PT_DIFFERENTIATION_TER_ID,0))</f>
      </c>
      <c r="T3" s="592" t="s">
        <v>457</v>
      </c>
      <c r="U3" s="584"/>
      <c r="V3" s="2527"/>
      <c r="W3" s="2527"/>
      <c r="X3" s="2527"/>
      <c r="Y3" s="2527"/>
      <c r="Z3" s="2527"/>
      <c r="AA3" s="2527"/>
      <c r="AB3" s="2527"/>
      <c r="AC3" s="2528"/>
      <c r="AD3" s="2526">
        <f>INDEX(PT_DIFFERENTIATION_TER,MATCH(B3,PT_DIFFERENTIATION_TER_ID,0))</f>
      </c>
      <c r="AE3" s="2527"/>
      <c r="AF3" s="2527"/>
      <c r="AG3" s="2527"/>
      <c r="AH3" s="2527"/>
      <c r="AI3" s="2527"/>
      <c r="AJ3" s="2527"/>
      <c r="AK3" s="2527"/>
      <c r="AL3" s="2527"/>
      <c r="AM3" s="2527"/>
      <c r="AN3" s="2527"/>
      <c r="AO3" s="2527"/>
      <c r="AP3" s="2527"/>
      <c r="AQ3" s="2527"/>
      <c r="AR3" s="2527"/>
      <c r="AS3" s="2527"/>
      <c r="AT3" s="2527"/>
      <c r="AU3" s="2527"/>
      <c r="AV3" s="2527"/>
      <c r="AW3" s="2527"/>
      <c r="AX3" s="2527"/>
      <c r="AY3" s="2527"/>
      <c r="AZ3" s="2527"/>
      <c r="BA3" s="2527"/>
      <c r="BB3" s="2528"/>
      <c r="BC3" s="1542" t="s">
        <v>458</v>
      </c>
      <c r="BE3" s="784"/>
      <c r="BF3" s="784" t="str">
        <f>IF(T3="","",T3)</f>
        <v>Территория действия тарифа</v>
      </c>
      <c r="BG3" s="784"/>
      <c r="BH3" s="784"/>
      <c r="BI3" s="1439">
        <v>0</v>
      </c>
    </row>
    <row customHeight="1" ht="33.75" hidden="1">
      <c r="A4" s="1647"/>
      <c r="B4" s="1647"/>
      <c r="C4" s="1647"/>
      <c r="D4" s="1647"/>
      <c r="E4" s="2543"/>
      <c r="F4" s="2543"/>
      <c r="G4" s="2542">
        <v>1</v>
      </c>
      <c r="H4" s="1647"/>
      <c r="I4" s="1647"/>
      <c r="J4" s="1647"/>
      <c r="K4" s="1647"/>
      <c r="L4" s="1648"/>
      <c r="M4" s="1649"/>
      <c r="N4" s="1649"/>
      <c r="O4" s="1649"/>
      <c r="P4" s="1696"/>
      <c r="Q4" s="1695"/>
      <c r="R4" s="637"/>
      <c r="S4" s="1777">
        <f>INDEX(PT_DIFFERENTIATION_NUM_CS,MATCH(C4,PT_DIFFERENTIATION_CS_ID,0))</f>
      </c>
      <c r="T4" s="593" t="s">
        <v>588</v>
      </c>
      <c r="U4" s="584"/>
      <c r="V4" s="2527"/>
      <c r="W4" s="2527"/>
      <c r="X4" s="2527"/>
      <c r="Y4" s="2527"/>
      <c r="Z4" s="2527"/>
      <c r="AA4" s="2527"/>
      <c r="AB4" s="2527"/>
      <c r="AC4" s="2528"/>
      <c r="AD4" s="2526">
        <f>INDEX(PT_DIFFERENTIATION_CS,MATCH(C4,PT_DIFFERENTIATION_CS_ID,0))</f>
      </c>
      <c r="AE4" s="2527"/>
      <c r="AF4" s="2527"/>
      <c r="AG4" s="2527"/>
      <c r="AH4" s="2527"/>
      <c r="AI4" s="2527"/>
      <c r="AJ4" s="2527"/>
      <c r="AK4" s="2527"/>
      <c r="AL4" s="2527"/>
      <c r="AM4" s="2527"/>
      <c r="AN4" s="2527"/>
      <c r="AO4" s="2527"/>
      <c r="AP4" s="2527"/>
      <c r="AQ4" s="2527"/>
      <c r="AR4" s="2527"/>
      <c r="AS4" s="2527"/>
      <c r="AT4" s="2527"/>
      <c r="AU4" s="2527"/>
      <c r="AV4" s="2527"/>
      <c r="AW4" s="2527"/>
      <c r="AX4" s="2527"/>
      <c r="AY4" s="2527"/>
      <c r="AZ4" s="2527"/>
      <c r="BA4" s="2527"/>
      <c r="BB4" s="2528"/>
      <c r="BC4" s="1542" t="s">
        <v>589</v>
      </c>
      <c r="BE4" s="784"/>
      <c r="BF4" s="784" t="str">
        <f>IF(T4="","",T4)</f>
        <v>Наименование централизованной системы водоотведения</v>
      </c>
      <c r="BG4" s="784"/>
      <c r="BH4" s="784"/>
      <c r="BI4" s="1439">
        <v>0</v>
      </c>
    </row>
    <row s="30621" customFormat="1" customHeight="1" ht="14.25" hidden="1">
      <c r="A5" s="1627"/>
      <c r="B5" s="1627"/>
      <c r="C5" s="1627"/>
      <c r="D5" s="1627"/>
      <c r="E5" s="2543"/>
      <c r="F5" s="2543"/>
      <c r="G5" s="2543"/>
      <c r="H5" s="2542">
        <v>1</v>
      </c>
      <c r="I5" s="1627"/>
      <c r="J5" s="1627"/>
      <c r="K5" s="1627"/>
      <c r="L5" s="1630"/>
      <c r="M5" s="1599"/>
      <c r="N5" s="1599"/>
      <c r="O5" s="1599"/>
      <c r="P5" s="1781"/>
      <c r="Q5" s="1782"/>
      <c r="R5" s="641"/>
      <c r="S5" s="1326"/>
      <c r="T5" s="1783"/>
      <c r="U5" s="1668"/>
      <c r="V5" s="2581"/>
      <c r="W5" s="2581"/>
      <c r="X5" s="2581"/>
      <c r="Y5" s="2581"/>
      <c r="Z5" s="2581"/>
      <c r="AA5" s="2581"/>
      <c r="AB5" s="2581"/>
      <c r="AC5" s="2582"/>
      <c r="AD5" s="2580"/>
      <c r="AE5" s="2581"/>
      <c r="AF5" s="2581"/>
      <c r="AG5" s="2581"/>
      <c r="AH5" s="2581"/>
      <c r="AI5" s="2581"/>
      <c r="AJ5" s="2581"/>
      <c r="AK5" s="2581"/>
      <c r="AL5" s="2581"/>
      <c r="AM5" s="2581"/>
      <c r="AN5" s="2581"/>
      <c r="AO5" s="2581"/>
      <c r="AP5" s="2581"/>
      <c r="AQ5" s="2581"/>
      <c r="AR5" s="2581"/>
      <c r="AS5" s="2581"/>
      <c r="AT5" s="2581"/>
      <c r="AU5" s="2581"/>
      <c r="AV5" s="2581"/>
      <c r="AW5" s="2581"/>
      <c r="AX5" s="2581"/>
      <c r="AY5" s="2581"/>
      <c r="AZ5" s="2581"/>
      <c r="BA5" s="2581"/>
      <c r="BB5" s="2582"/>
      <c r="BC5" s="1669" t="s">
        <v>462</v>
      </c>
      <c r="BE5" s="784"/>
      <c r="BF5" s="784" t="str">
        <f>IF(T5="","",T5)</f>
        <v/>
      </c>
      <c r="BG5" s="784"/>
      <c r="BH5" s="784"/>
      <c r="BI5" s="795">
        <v>0</v>
      </c>
    </row>
    <row s="30621" customFormat="1" customHeight="1" ht="14.25" hidden="1">
      <c r="A6" s="1627"/>
      <c r="B6" s="1627"/>
      <c r="C6" s="1627"/>
      <c r="D6" s="1627"/>
      <c r="E6" s="2543"/>
      <c r="F6" s="2543"/>
      <c r="G6" s="2543"/>
      <c r="H6" s="2543"/>
      <c r="I6" s="2540" t="str">
        <f>S5&amp;".1"</f>
        <v>.1</v>
      </c>
      <c r="J6" s="1627"/>
      <c r="K6" s="1627"/>
      <c r="L6" s="1630" t="s">
        <v>463</v>
      </c>
      <c r="M6" s="794"/>
      <c r="N6" s="794"/>
      <c r="O6" s="794"/>
      <c r="P6" s="2541">
        <v>1</v>
      </c>
      <c r="Q6" s="1765"/>
      <c r="R6" s="640"/>
      <c r="S6" s="1326"/>
      <c r="T6" s="1667"/>
      <c r="U6" s="1668"/>
      <c r="V6" s="2581"/>
      <c r="W6" s="2581"/>
      <c r="X6" s="2581"/>
      <c r="Y6" s="2581"/>
      <c r="Z6" s="2581"/>
      <c r="AA6" s="2581"/>
      <c r="AB6" s="2581"/>
      <c r="AC6" s="2582"/>
      <c r="AD6" s="2580"/>
      <c r="AE6" s="2581"/>
      <c r="AF6" s="2581"/>
      <c r="AG6" s="2581"/>
      <c r="AH6" s="2581"/>
      <c r="AI6" s="2581"/>
      <c r="AJ6" s="2581"/>
      <c r="AK6" s="2581"/>
      <c r="AL6" s="2581"/>
      <c r="AM6" s="2581"/>
      <c r="AN6" s="2581"/>
      <c r="AO6" s="2581"/>
      <c r="AP6" s="2581"/>
      <c r="AQ6" s="2581"/>
      <c r="AR6" s="2581"/>
      <c r="AS6" s="2581"/>
      <c r="AT6" s="2581"/>
      <c r="AU6" s="2581"/>
      <c r="AV6" s="2581"/>
      <c r="AW6" s="2581"/>
      <c r="AX6" s="2581"/>
      <c r="AY6" s="2581"/>
      <c r="AZ6" s="2581"/>
      <c r="BA6" s="2581"/>
      <c r="BB6" s="2582"/>
      <c r="BC6" s="1669"/>
      <c r="BE6" s="784"/>
      <c r="BF6" s="784" t="str">
        <f>IF(T6="","",T6)</f>
        <v/>
      </c>
      <c r="BG6" s="784"/>
      <c r="BH6" s="784"/>
      <c r="BI6" s="795">
        <v>0</v>
      </c>
    </row>
    <row s="30621" customFormat="1" customHeight="1" ht="14.25" hidden="1">
      <c r="A7" s="1627"/>
      <c r="B7" s="1627"/>
      <c r="C7" s="1627"/>
      <c r="D7" s="1627"/>
      <c r="E7" s="2543"/>
      <c r="F7" s="2543"/>
      <c r="G7" s="2543"/>
      <c r="H7" s="2543"/>
      <c r="I7" s="2570"/>
      <c r="J7" s="2540" t="str">
        <f>S5&amp;".1"</f>
        <v>.1</v>
      </c>
      <c r="K7" s="1627"/>
      <c r="L7" s="1630"/>
      <c r="M7" s="794"/>
      <c r="N7" s="794"/>
      <c r="O7" s="794"/>
      <c r="P7" s="2541"/>
      <c r="Q7" s="2541">
        <v>1</v>
      </c>
      <c r="R7" s="641"/>
      <c r="S7" s="1326"/>
      <c r="T7" s="1683"/>
      <c r="U7" s="1668"/>
      <c r="V7" s="2581"/>
      <c r="W7" s="2581"/>
      <c r="X7" s="2581"/>
      <c r="Y7" s="2581"/>
      <c r="Z7" s="2581"/>
      <c r="AA7" s="2581"/>
      <c r="AB7" s="2581"/>
      <c r="AC7" s="2582"/>
      <c r="AD7" s="2580"/>
      <c r="AE7" s="2581"/>
      <c r="AF7" s="2581"/>
      <c r="AG7" s="2581"/>
      <c r="AH7" s="2581"/>
      <c r="AI7" s="2581"/>
      <c r="AJ7" s="2581"/>
      <c r="AK7" s="2581"/>
      <c r="AL7" s="2581"/>
      <c r="AM7" s="2581"/>
      <c r="AN7" s="2581"/>
      <c r="AO7" s="2581"/>
      <c r="AP7" s="2581"/>
      <c r="AQ7" s="2581"/>
      <c r="AR7" s="2581"/>
      <c r="AS7" s="2581"/>
      <c r="AT7" s="2581"/>
      <c r="AU7" s="2581"/>
      <c r="AV7" s="2581"/>
      <c r="AW7" s="2581"/>
      <c r="AX7" s="2581"/>
      <c r="AY7" s="2581"/>
      <c r="AZ7" s="2581"/>
      <c r="BA7" s="2581"/>
      <c r="BB7" s="2582"/>
      <c r="BC7" s="1669"/>
      <c r="BE7" s="784"/>
      <c r="BF7" s="784" t="str">
        <f>IF(T7="","",T7)</f>
        <v/>
      </c>
      <c r="BG7" s="784"/>
      <c r="BH7" s="784"/>
      <c r="BI7" s="795">
        <v>0</v>
      </c>
    </row>
    <row customHeight="1" ht="11.25" hidden="1">
      <c r="A8" s="1647"/>
      <c r="B8" s="1647"/>
      <c r="C8" s="1647"/>
      <c r="D8" s="1647"/>
      <c r="E8" s="2543"/>
      <c r="F8" s="2543"/>
      <c r="G8" s="2543"/>
      <c r="H8" s="2543"/>
      <c r="I8" s="2570"/>
      <c r="J8" s="2570"/>
      <c r="K8" s="2540">
        <f>S4&amp;".1"</f>
      </c>
      <c r="L8" s="1648"/>
      <c r="P8" s="2541"/>
      <c r="Q8" s="2541"/>
      <c r="R8" s="2631">
        <v>1</v>
      </c>
      <c r="S8" s="2625">
        <f>$K8</f>
      </c>
      <c r="T8" s="2644"/>
      <c r="U8" s="584"/>
      <c r="V8" s="1035"/>
      <c r="W8" s="1541"/>
      <c r="X8" s="1035"/>
      <c r="Y8" s="1541"/>
      <c r="Z8" s="2018"/>
      <c r="AA8" s="1753" t="s">
        <v>64</v>
      </c>
      <c r="AB8" s="2018"/>
      <c r="AC8" s="1753" t="s">
        <v>64</v>
      </c>
      <c r="AD8" s="2469" t="s">
        <v>64</v>
      </c>
      <c r="AE8" s="2610"/>
      <c r="AF8" s="2489">
        <v>1</v>
      </c>
      <c r="AG8" s="2647"/>
      <c r="AH8" s="2391" t="s">
        <v>64</v>
      </c>
      <c r="AI8" s="2610"/>
      <c r="AJ8" s="2489">
        <v>1</v>
      </c>
      <c r="AK8" s="2611" t="s">
        <v>28</v>
      </c>
      <c r="AL8" s="2391" t="s">
        <v>64</v>
      </c>
      <c r="AM8" s="2476"/>
      <c r="AN8" s="2489">
        <v>1</v>
      </c>
      <c r="AO8" s="2641"/>
      <c r="AP8" s="2642" t="s">
        <v>64</v>
      </c>
      <c r="AQ8" s="595"/>
      <c r="AR8" s="1770">
        <v>1</v>
      </c>
      <c r="AS8" s="1776" t="s">
        <v>28</v>
      </c>
      <c r="AT8" s="1035"/>
      <c r="AU8" s="1541"/>
      <c r="AV8" s="1035"/>
      <c r="AW8" s="1541"/>
      <c r="AX8" s="2018"/>
      <c r="AY8" s="1753" t="s">
        <v>64</v>
      </c>
      <c r="AZ8" s="2018"/>
      <c r="BA8" s="1753" t="s">
        <v>64</v>
      </c>
      <c r="BB8" s="1632"/>
      <c r="BC8" s="2537" t="s">
        <v>573</v>
      </c>
      <c r="BE8" s="784"/>
      <c r="BF8" s="784" t="str">
        <f>IF(T8="","",T8)</f>
        <v/>
      </c>
      <c r="BG8" s="784"/>
      <c r="BH8" s="784"/>
      <c r="BI8" s="1439">
        <v>0</v>
      </c>
    </row>
    <row customHeight="1" ht="11.25" hidden="1">
      <c r="A9" s="1647"/>
      <c r="B9" s="1647"/>
      <c r="C9" s="1647"/>
      <c r="D9" s="1647"/>
      <c r="E9" s="2543"/>
      <c r="F9" s="2543"/>
      <c r="G9" s="2543"/>
      <c r="H9" s="2543"/>
      <c r="I9" s="2570"/>
      <c r="J9" s="2570"/>
      <c r="K9" s="2540"/>
      <c r="L9" s="1648"/>
      <c r="P9" s="2541"/>
      <c r="Q9" s="2541"/>
      <c r="R9" s="2631"/>
      <c r="S9" s="2626"/>
      <c r="T9" s="2645"/>
      <c r="U9" s="584"/>
      <c r="V9" s="1677"/>
      <c r="W9" s="1780"/>
      <c r="X9" s="1677"/>
      <c r="Y9" s="1780"/>
      <c r="Z9" s="1677"/>
      <c r="AA9" s="1677"/>
      <c r="AB9" s="1677"/>
      <c r="AC9" s="1677"/>
      <c r="AD9" s="2470"/>
      <c r="AE9" s="2610"/>
      <c r="AF9" s="2489"/>
      <c r="AG9" s="2647"/>
      <c r="AH9" s="2391"/>
      <c r="AI9" s="2610"/>
      <c r="AJ9" s="2489"/>
      <c r="AK9" s="2611"/>
      <c r="AL9" s="2391"/>
      <c r="AM9" s="2484"/>
      <c r="AN9" s="2489"/>
      <c r="AO9" s="2641"/>
      <c r="AP9" s="2643"/>
      <c r="AQ9" s="600"/>
      <c r="AR9" s="700"/>
      <c r="AS9" s="700" t="s">
        <v>574</v>
      </c>
      <c r="AT9" s="1677"/>
      <c r="AU9" s="1780"/>
      <c r="AV9" s="1677"/>
      <c r="AW9" s="1780"/>
      <c r="AX9" s="1677"/>
      <c r="AY9" s="1677"/>
      <c r="AZ9" s="1677"/>
      <c r="BA9" s="1677"/>
      <c r="BB9" s="1681"/>
      <c r="BC9" s="2538"/>
      <c r="BE9" s="784"/>
      <c r="BF9" s="784"/>
      <c r="BG9" s="784"/>
      <c r="BH9" s="784"/>
      <c r="BI9" s="1439">
        <v>0</v>
      </c>
    </row>
    <row customHeight="1" ht="11.25" hidden="1">
      <c r="A10" s="1647"/>
      <c r="B10" s="1647"/>
      <c r="C10" s="1647"/>
      <c r="D10" s="1647"/>
      <c r="E10" s="2543"/>
      <c r="F10" s="2543"/>
      <c r="G10" s="2543"/>
      <c r="H10" s="2543"/>
      <c r="I10" s="2570"/>
      <c r="J10" s="2570"/>
      <c r="K10" s="2540"/>
      <c r="L10" s="1648"/>
      <c r="P10" s="2541"/>
      <c r="Q10" s="2541"/>
      <c r="R10" s="2631"/>
      <c r="S10" s="2626"/>
      <c r="T10" s="2645"/>
      <c r="U10" s="584"/>
      <c r="V10" s="1677"/>
      <c r="W10" s="1780"/>
      <c r="X10" s="1677"/>
      <c r="Y10" s="1780"/>
      <c r="Z10" s="1677"/>
      <c r="AA10" s="1677"/>
      <c r="AB10" s="1677"/>
      <c r="AC10" s="1677"/>
      <c r="AD10" s="2470"/>
      <c r="AE10" s="2610"/>
      <c r="AF10" s="2489"/>
      <c r="AG10" s="2647"/>
      <c r="AH10" s="2391"/>
      <c r="AI10" s="2610"/>
      <c r="AJ10" s="2489"/>
      <c r="AK10" s="2611"/>
      <c r="AL10" s="2391"/>
      <c r="AM10" s="600"/>
      <c r="AN10" s="1784"/>
      <c r="AO10" s="1784" t="s">
        <v>594</v>
      </c>
      <c r="AP10" s="700"/>
      <c r="AQ10" s="700"/>
      <c r="AR10" s="700"/>
      <c r="AS10" s="1677"/>
      <c r="AT10" s="1677"/>
      <c r="AU10" s="1780"/>
      <c r="AV10" s="1677"/>
      <c r="AW10" s="1780"/>
      <c r="AX10" s="1677"/>
      <c r="AY10" s="1677"/>
      <c r="AZ10" s="1677"/>
      <c r="BA10" s="1677"/>
      <c r="BB10" s="1681"/>
      <c r="BC10" s="2538"/>
      <c r="BE10" s="784"/>
      <c r="BF10" s="784"/>
      <c r="BG10" s="784"/>
      <c r="BH10" s="784"/>
      <c r="BI10" s="1439">
        <v>0</v>
      </c>
    </row>
    <row customHeight="1" ht="11.25" hidden="1">
      <c r="A11" s="1647"/>
      <c r="B11" s="1647"/>
      <c r="C11" s="1647"/>
      <c r="D11" s="1647"/>
      <c r="E11" s="2543"/>
      <c r="F11" s="2543"/>
      <c r="G11" s="2543"/>
      <c r="H11" s="2543"/>
      <c r="I11" s="2570"/>
      <c r="J11" s="2570"/>
      <c r="K11" s="2540"/>
      <c r="L11" s="1648"/>
      <c r="P11" s="2541"/>
      <c r="Q11" s="2541"/>
      <c r="R11" s="2631"/>
      <c r="S11" s="2626"/>
      <c r="T11" s="2645"/>
      <c r="U11" s="584"/>
      <c r="V11" s="1677"/>
      <c r="W11" s="1780"/>
      <c r="X11" s="1677"/>
      <c r="Y11" s="1780"/>
      <c r="Z11" s="1677"/>
      <c r="AA11" s="1677"/>
      <c r="AB11" s="1677"/>
      <c r="AC11" s="1677"/>
      <c r="AD11" s="2470"/>
      <c r="AE11" s="2610"/>
      <c r="AF11" s="2489"/>
      <c r="AG11" s="2647"/>
      <c r="AH11" s="2391"/>
      <c r="AI11" s="578"/>
      <c r="AJ11" s="699"/>
      <c r="AK11" s="597" t="s">
        <v>595</v>
      </c>
      <c r="AL11" s="1677"/>
      <c r="AM11" s="1677"/>
      <c r="AN11" s="1677"/>
      <c r="AO11" s="1677"/>
      <c r="AP11" s="1677"/>
      <c r="AQ11" s="1677"/>
      <c r="AR11" s="1677"/>
      <c r="AS11" s="1677"/>
      <c r="AT11" s="1677"/>
      <c r="AU11" s="1780"/>
      <c r="AV11" s="1677"/>
      <c r="AW11" s="1780"/>
      <c r="AX11" s="1677"/>
      <c r="AY11" s="1677"/>
      <c r="AZ11" s="1677"/>
      <c r="BA11" s="1677"/>
      <c r="BB11" s="1681"/>
      <c r="BC11" s="2538"/>
      <c r="BE11" s="784"/>
      <c r="BF11" s="784"/>
      <c r="BG11" s="784"/>
      <c r="BH11" s="784"/>
      <c r="BI11" s="1439">
        <v>0</v>
      </c>
    </row>
    <row customHeight="1" ht="11.25" hidden="1">
      <c r="A12" s="1647"/>
      <c r="B12" s="1647"/>
      <c r="C12" s="1647"/>
      <c r="D12" s="1647"/>
      <c r="E12" s="2543"/>
      <c r="F12" s="2543"/>
      <c r="G12" s="2543"/>
      <c r="H12" s="2543"/>
      <c r="I12" s="2570"/>
      <c r="J12" s="2570"/>
      <c r="K12" s="2540"/>
      <c r="L12" s="1648"/>
      <c r="P12" s="2541"/>
      <c r="Q12" s="2541"/>
      <c r="R12" s="2631"/>
      <c r="S12" s="2627"/>
      <c r="T12" s="2646"/>
      <c r="U12" s="584"/>
      <c r="V12" s="1677"/>
      <c r="W12" s="1678" t="str">
        <f>Z8&amp;"-"&amp;AB8</f>
        <v>-</v>
      </c>
      <c r="X12" s="1677"/>
      <c r="Y12" s="1678" t="str">
        <f>AB8&amp;"-"&amp;AD8</f>
        <v>-да</v>
      </c>
      <c r="Z12" s="1677"/>
      <c r="AA12" s="1677"/>
      <c r="AB12" s="1677"/>
      <c r="AC12" s="1677"/>
      <c r="AD12" s="2396"/>
      <c r="AE12" s="596"/>
      <c r="AF12" s="598"/>
      <c r="AG12" s="700" t="s">
        <v>577</v>
      </c>
      <c r="AH12" s="1677"/>
      <c r="AI12" s="1677"/>
      <c r="AJ12" s="1677"/>
      <c r="AK12" s="1677"/>
      <c r="AL12" s="1677"/>
      <c r="AM12" s="1677"/>
      <c r="AN12" s="1677"/>
      <c r="AO12" s="1677"/>
      <c r="AP12" s="1677"/>
      <c r="AQ12" s="1677"/>
      <c r="AR12" s="1677"/>
      <c r="AS12" s="1677"/>
      <c r="AT12" s="1677"/>
      <c r="AU12" s="1678" t="str">
        <f>AX8&amp;"-"&amp;AZ8</f>
        <v>-</v>
      </c>
      <c r="AV12" s="1677"/>
      <c r="AW12" s="1678" t="str">
        <f>AZ8&amp;"-"&amp;BB8</f>
        <v>-</v>
      </c>
      <c r="AX12" s="1677"/>
      <c r="AY12" s="1677"/>
      <c r="AZ12" s="1677"/>
      <c r="BA12" s="1677"/>
      <c r="BB12" s="1680" t="str">
        <f>BE8&amp;"-"&amp;BG8</f>
        <v>-</v>
      </c>
      <c r="BC12" s="2538"/>
      <c r="BE12" s="784"/>
      <c r="BF12" s="784" t="str">
        <f>IF(T12="","",T12)</f>
        <v/>
      </c>
      <c r="BG12" s="784"/>
      <c r="BH12" s="784"/>
      <c r="BI12" s="1439">
        <v>0</v>
      </c>
    </row>
    <row customHeight="1" ht="11.25" hidden="1">
      <c r="A13" s="1647"/>
      <c r="B13" s="1647"/>
      <c r="C13" s="1647"/>
      <c r="D13" s="1647"/>
      <c r="E13" s="2543"/>
      <c r="F13" s="2543"/>
      <c r="G13" s="2543"/>
      <c r="H13" s="2543"/>
      <c r="I13" s="2570"/>
      <c r="J13" s="2540"/>
      <c r="K13" s="1647"/>
      <c r="L13" s="1648"/>
      <c r="P13" s="2541"/>
      <c r="Q13" s="2541"/>
      <c r="R13" s="640"/>
      <c r="S13" s="1562"/>
      <c r="T13" s="571" t="s">
        <v>540</v>
      </c>
      <c r="U13" s="651"/>
      <c r="V13" s="651"/>
      <c r="W13" s="651"/>
      <c r="X13" s="651"/>
      <c r="Y13" s="651"/>
      <c r="Z13" s="651"/>
      <c r="AA13" s="651"/>
      <c r="AB13" s="651"/>
      <c r="AC13" s="651"/>
      <c r="AD13" s="1789"/>
      <c r="AE13" s="651"/>
      <c r="AF13" s="651"/>
      <c r="AG13" s="651"/>
      <c r="AH13" s="651"/>
      <c r="AI13" s="651"/>
      <c r="AJ13" s="651"/>
      <c r="AK13" s="651"/>
      <c r="AL13" s="651"/>
      <c r="AM13" s="651"/>
      <c r="AN13" s="651"/>
      <c r="AO13" s="651"/>
      <c r="AP13" s="651"/>
      <c r="AQ13" s="651"/>
      <c r="AR13" s="651"/>
      <c r="AS13" s="651"/>
      <c r="AT13" s="651"/>
      <c r="AU13" s="651"/>
      <c r="AV13" s="651"/>
      <c r="AW13" s="651"/>
      <c r="AX13" s="651"/>
      <c r="AY13" s="651"/>
      <c r="AZ13" s="651"/>
      <c r="BA13" s="651"/>
      <c r="BB13" s="608"/>
      <c r="BC13" s="2539"/>
      <c r="BE13" s="784"/>
      <c r="BF13" s="784" t="str">
        <f>IF(T13="","",T13)</f>
        <v>Добавить строку</v>
      </c>
      <c r="BG13" s="784"/>
      <c r="BH13" s="784"/>
      <c r="BI13" s="1439">
        <v>0</v>
      </c>
    </row>
    <row s="30621" customFormat="1" customHeight="1" ht="14.25" hidden="1">
      <c r="A14" s="1627"/>
      <c r="B14" s="1627"/>
      <c r="C14" s="1627"/>
      <c r="D14" s="1627"/>
      <c r="E14" s="2543"/>
      <c r="F14" s="2543"/>
      <c r="G14" s="2543"/>
      <c r="H14" s="2543"/>
      <c r="I14" s="2540"/>
      <c r="J14" s="1627"/>
      <c r="K14" s="1627"/>
      <c r="L14" s="1630"/>
      <c r="M14" s="794"/>
      <c r="N14" s="794"/>
      <c r="O14" s="794"/>
      <c r="P14" s="2541"/>
      <c r="Q14" s="1765"/>
      <c r="R14" s="640"/>
      <c r="S14" s="1670"/>
      <c r="T14" s="1671"/>
      <c r="U14" s="1672"/>
      <c r="V14" s="1672"/>
      <c r="W14" s="1672"/>
      <c r="X14" s="1672"/>
      <c r="Y14" s="1672"/>
      <c r="Z14" s="1672"/>
      <c r="AA14" s="1672"/>
      <c r="AB14" s="1672"/>
      <c r="AC14" s="1672"/>
      <c r="AD14" s="1672"/>
      <c r="AE14" s="1672"/>
      <c r="AF14" s="1672"/>
      <c r="AG14" s="1672"/>
      <c r="AH14" s="1672"/>
      <c r="AI14" s="1672"/>
      <c r="AJ14" s="1672"/>
      <c r="AK14" s="1672"/>
      <c r="AL14" s="1672"/>
      <c r="AM14" s="1672"/>
      <c r="AN14" s="1672"/>
      <c r="AO14" s="1672"/>
      <c r="AP14" s="1672"/>
      <c r="AQ14" s="1672"/>
      <c r="AR14" s="1672"/>
      <c r="AS14" s="1672"/>
      <c r="AT14" s="1672"/>
      <c r="AU14" s="1672"/>
      <c r="AV14" s="1672"/>
      <c r="AW14" s="1672"/>
      <c r="AX14" s="1672"/>
      <c r="AY14" s="1672"/>
      <c r="AZ14" s="1672"/>
      <c r="BA14" s="1672"/>
      <c r="BB14" s="1672"/>
      <c r="BC14" s="1673"/>
      <c r="BE14" s="784"/>
      <c r="BF14" s="784" t="str">
        <f>IF(T14="","",T14)</f>
        <v/>
      </c>
      <c r="BG14" s="784"/>
      <c r="BH14" s="784"/>
      <c r="BI14" s="795">
        <v>0</v>
      </c>
    </row>
    <row s="30621" customFormat="1" customHeight="1" ht="14.25" hidden="1">
      <c r="A15" s="1627"/>
      <c r="B15" s="1627"/>
      <c r="C15" s="1627"/>
      <c r="D15" s="1627"/>
      <c r="E15" s="2543"/>
      <c r="F15" s="2543"/>
      <c r="G15" s="2543"/>
      <c r="H15" s="2542"/>
      <c r="I15" s="1627"/>
      <c r="J15" s="1627"/>
      <c r="K15" s="1627"/>
      <c r="L15" s="1630"/>
      <c r="M15" s="1599"/>
      <c r="N15" s="1599"/>
      <c r="O15" s="802"/>
      <c r="P15" s="664"/>
      <c r="Q15" s="1628"/>
      <c r="R15" s="1685"/>
      <c r="S15" s="1670"/>
      <c r="T15" s="1671"/>
      <c r="U15" s="1672"/>
      <c r="V15" s="1672"/>
      <c r="W15" s="1672"/>
      <c r="X15" s="1672"/>
      <c r="Y15" s="1672"/>
      <c r="Z15" s="1672"/>
      <c r="AA15" s="1672"/>
      <c r="AB15" s="1672"/>
      <c r="AC15" s="1672"/>
      <c r="AD15" s="1672"/>
      <c r="AE15" s="1672"/>
      <c r="AF15" s="1672"/>
      <c r="AG15" s="1672"/>
      <c r="AH15" s="1672"/>
      <c r="AI15" s="1672"/>
      <c r="AJ15" s="1672"/>
      <c r="AK15" s="1672"/>
      <c r="AL15" s="1672"/>
      <c r="AM15" s="1672"/>
      <c r="AN15" s="1672"/>
      <c r="AO15" s="1672"/>
      <c r="AP15" s="1672"/>
      <c r="AQ15" s="1672"/>
      <c r="AR15" s="1672"/>
      <c r="AS15" s="1672"/>
      <c r="AT15" s="1672"/>
      <c r="AU15" s="1672"/>
      <c r="AV15" s="1672"/>
      <c r="AW15" s="1672"/>
      <c r="AX15" s="1672"/>
      <c r="AY15" s="1672"/>
      <c r="AZ15" s="1672"/>
      <c r="BA15" s="1672"/>
      <c r="BB15" s="1672"/>
      <c r="BC15" s="1673"/>
      <c r="BE15" s="784"/>
      <c r="BF15" s="784" t="str">
        <f>IF(T15="","",T15)</f>
        <v/>
      </c>
      <c r="BG15" s="784"/>
      <c r="BH15" s="784"/>
      <c r="BI15" s="795">
        <v>0</v>
      </c>
    </row>
    <row s="30621" customFormat="1" customHeight="1" ht="14.25" hidden="1">
      <c r="A16" s="1627"/>
      <c r="B16" s="1627"/>
      <c r="C16" s="1627"/>
      <c r="D16" s="1598"/>
      <c r="E16" s="2543"/>
      <c r="F16" s="2543"/>
      <c r="G16" s="2542"/>
      <c r="H16" s="1598"/>
      <c r="I16" s="1598"/>
      <c r="J16" s="1598"/>
      <c r="K16" s="1598"/>
      <c r="L16" s="1778"/>
      <c r="M16" s="1599"/>
      <c r="N16" s="1599"/>
      <c r="P16" s="1600"/>
      <c r="Q16" s="1601"/>
      <c r="R16" s="1600"/>
      <c r="S16" s="1606"/>
      <c r="T16" s="1609"/>
      <c r="U16" s="1608"/>
      <c r="V16" s="1608"/>
      <c r="W16" s="1608"/>
      <c r="X16" s="1608"/>
      <c r="Y16" s="1608"/>
      <c r="Z16" s="1608"/>
      <c r="AA16" s="1608"/>
      <c r="AB16" s="1608"/>
      <c r="AC16" s="1608"/>
      <c r="AD16" s="1608"/>
      <c r="AE16" s="1608"/>
      <c r="AF16" s="1608"/>
      <c r="AG16" s="1608"/>
      <c r="AH16" s="1608"/>
      <c r="AI16" s="1608"/>
      <c r="AJ16" s="1608"/>
      <c r="AK16" s="1608"/>
      <c r="AL16" s="1608"/>
      <c r="AM16" s="1608"/>
      <c r="AN16" s="1608"/>
      <c r="AO16" s="1608"/>
      <c r="AP16" s="1608"/>
      <c r="AQ16" s="1608"/>
      <c r="AR16" s="1608"/>
      <c r="AS16" s="1608"/>
      <c r="AT16" s="1608"/>
      <c r="AU16" s="1608"/>
      <c r="AV16" s="1608"/>
      <c r="AW16" s="1608"/>
      <c r="AX16" s="1608"/>
      <c r="AY16" s="1608"/>
      <c r="AZ16" s="1608"/>
      <c r="BA16" s="1608"/>
      <c r="BB16" s="1608"/>
      <c r="BC16" s="1608"/>
      <c r="BE16" s="1073"/>
      <c r="BF16" s="1073" t="str">
        <f>IF(T16="","",T16)</f>
        <v/>
      </c>
      <c r="BG16" s="1073"/>
      <c r="BH16" s="1073"/>
      <c r="BI16" s="802">
        <v>0</v>
      </c>
    </row>
    <row s="30621" customFormat="1" customHeight="1" ht="14.25" hidden="1">
      <c r="A17" s="1627"/>
      <c r="B17" s="1627"/>
      <c r="C17" s="1598"/>
      <c r="D17" s="1598"/>
      <c r="E17" s="2543"/>
      <c r="F17" s="2542"/>
      <c r="G17" s="1598"/>
      <c r="H17" s="1598"/>
      <c r="I17" s="1598"/>
      <c r="J17" s="1598"/>
      <c r="K17" s="1598"/>
      <c r="L17" s="1778"/>
      <c r="M17" s="1605"/>
      <c r="N17" s="1605"/>
      <c r="P17" s="1600"/>
      <c r="Q17" s="1601"/>
      <c r="R17" s="1600"/>
      <c r="S17" s="1606"/>
      <c r="T17" s="1609" t="s">
        <v>214</v>
      </c>
      <c r="U17" s="1608"/>
      <c r="V17" s="1608"/>
      <c r="W17" s="1608"/>
      <c r="X17" s="1608"/>
      <c r="Y17" s="1608"/>
      <c r="Z17" s="1608"/>
      <c r="AA17" s="1608"/>
      <c r="AB17" s="1608"/>
      <c r="AC17" s="1608"/>
      <c r="AD17" s="1608"/>
      <c r="AE17" s="1608"/>
      <c r="AF17" s="1608"/>
      <c r="AG17" s="1608"/>
      <c r="AH17" s="1608"/>
      <c r="AI17" s="1608"/>
      <c r="AJ17" s="1608"/>
      <c r="AK17" s="1608"/>
      <c r="AL17" s="1608"/>
      <c r="AM17" s="1608"/>
      <c r="AN17" s="1608"/>
      <c r="AO17" s="1608"/>
      <c r="AP17" s="1608"/>
      <c r="AQ17" s="1608"/>
      <c r="AR17" s="1608"/>
      <c r="AS17" s="1608"/>
      <c r="AT17" s="1608"/>
      <c r="AU17" s="1608"/>
      <c r="AV17" s="1608"/>
      <c r="AW17" s="1608"/>
      <c r="AX17" s="1608"/>
      <c r="AY17" s="1608"/>
      <c r="AZ17" s="1608"/>
      <c r="BA17" s="1608"/>
      <c r="BB17" s="1608"/>
      <c r="BC17" s="1608"/>
      <c r="BE17" s="1073"/>
      <c r="BF17" s="1073" t="str">
        <f>IF(T17="","",T17)</f>
        <v>Добавить централизованную систему для дифференциации</v>
      </c>
      <c r="BG17" s="1073"/>
      <c r="BH17" s="1073"/>
      <c r="BI17" s="802">
        <v>0</v>
      </c>
    </row>
    <row s="30621" customFormat="1" customHeight="1" ht="14.25" hidden="1">
      <c r="A18" s="1627"/>
      <c r="B18" s="1627"/>
      <c r="C18" s="1627"/>
      <c r="D18" s="1627"/>
      <c r="E18" s="2542"/>
      <c r="F18" s="1627"/>
      <c r="G18" s="1627"/>
      <c r="H18" s="1627"/>
      <c r="I18" s="1627"/>
      <c r="J18" s="1627"/>
      <c r="K18" s="1627"/>
      <c r="L18" s="1630"/>
      <c r="M18" s="1605"/>
      <c r="N18" s="1605"/>
      <c r="O18" s="802"/>
      <c r="P18" s="664"/>
      <c r="Q18" s="1628"/>
      <c r="R18" s="664"/>
      <c r="S18" s="1606"/>
      <c r="T18" s="1609" t="s">
        <v>230</v>
      </c>
      <c r="U18" s="1608"/>
      <c r="V18" s="1608"/>
      <c r="W18" s="1608"/>
      <c r="X18" s="1608"/>
      <c r="Y18" s="1608"/>
      <c r="Z18" s="1608"/>
      <c r="AA18" s="1608"/>
      <c r="AB18" s="1608"/>
      <c r="AC18" s="1608"/>
      <c r="AD18" s="1608"/>
      <c r="AE18" s="1608"/>
      <c r="AF18" s="1608"/>
      <c r="AG18" s="1608"/>
      <c r="AH18" s="1608"/>
      <c r="AI18" s="1608"/>
      <c r="AJ18" s="1608"/>
      <c r="AK18" s="1608"/>
      <c r="AL18" s="1608"/>
      <c r="AM18" s="1608"/>
      <c r="AN18" s="1608"/>
      <c r="AO18" s="1608"/>
      <c r="AP18" s="1608"/>
      <c r="AQ18" s="1608"/>
      <c r="AR18" s="1608"/>
      <c r="AS18" s="1608"/>
      <c r="AT18" s="1608"/>
      <c r="AU18" s="1608"/>
      <c r="AV18" s="1608"/>
      <c r="AW18" s="1608"/>
      <c r="AX18" s="1608"/>
      <c r="AY18" s="1608"/>
      <c r="AZ18" s="1608"/>
      <c r="BA18" s="1608"/>
      <c r="BB18" s="1608"/>
      <c r="BC18" s="1608"/>
      <c r="BE18" s="784"/>
      <c r="BF18" s="784" t="str">
        <f>IF(T18="","",T18)</f>
        <v>Добавить территорию для дифференциации</v>
      </c>
      <c r="BG18" s="784"/>
      <c r="BH18" s="784"/>
      <c r="BI18" s="795">
        <v>0</v>
      </c>
    </row>
    <row customHeight="1" ht="14.25" hidden="1">
      <c r="AC19" s="611"/>
      <c r="BA19" s="611"/>
      <c r="BI19" s="1439">
        <v>0</v>
      </c>
    </row>
    <row customHeight="1" ht="14.25" hidden="1">
      <c r="AD20" s="1608" t="s">
        <v>19</v>
      </c>
      <c r="AE20" s="1785"/>
      <c r="AF20" s="832">
        <v>1</v>
      </c>
      <c r="AG20" s="1786"/>
      <c r="AH20" s="1608" t="s">
        <v>19</v>
      </c>
      <c r="AI20" s="1785"/>
      <c r="AJ20" s="832">
        <v>1</v>
      </c>
      <c r="AK20" s="1786"/>
      <c r="AL20" s="1608" t="s">
        <v>19</v>
      </c>
      <c r="AM20" s="1787"/>
      <c r="AN20" s="832">
        <v>1</v>
      </c>
      <c r="AO20" s="1788"/>
      <c r="AP20" s="1608" t="s">
        <v>19</v>
      </c>
      <c r="AQ20" s="1787"/>
      <c r="AR20" s="832">
        <v>1</v>
      </c>
      <c r="AS20" s="1788"/>
      <c r="AT20" s="609"/>
      <c r="AU20" s="668"/>
      <c r="AV20" s="609"/>
      <c r="AW20" s="668"/>
      <c r="AX20" s="2020"/>
      <c r="AY20" s="1769" t="s">
        <v>64</v>
      </c>
      <c r="AZ20" s="2020"/>
      <c r="BA20" s="1769" t="s">
        <v>64</v>
      </c>
      <c r="BI20" s="1439">
        <v>0</v>
      </c>
    </row>
    <row customHeight="1" ht="14.25" hidden="1">
      <c r="BD21" s="780"/>
      <c r="BE21" s="780"/>
      <c r="BF21" s="780"/>
      <c r="BG21" s="780"/>
      <c r="BH21" s="780"/>
      <c r="BI21" s="1439">
        <v>0</v>
      </c>
    </row>
    <row customHeight="1" ht="14.25" hidden="1">
      <c r="O22" s="1651" t="s">
        <v>474</v>
      </c>
      <c r="Z22" s="1629"/>
      <c r="AB22" s="1629"/>
      <c r="AC22" s="611"/>
      <c r="AX22" s="1629"/>
      <c r="AZ22" s="1629"/>
      <c r="BA22" s="611"/>
      <c r="BD22" s="780"/>
      <c r="BE22" s="780"/>
      <c r="BF22" s="780"/>
      <c r="BG22" s="780"/>
      <c r="BH22" s="780"/>
      <c r="BI22" s="1439">
        <v>0</v>
      </c>
    </row>
    <row customHeight="1" ht="14.25" hidden="1">
      <c r="AC23" s="611"/>
      <c r="BA23" s="611"/>
      <c r="BD23" s="780"/>
      <c r="BE23" s="780"/>
      <c r="BF23" s="780"/>
      <c r="BG23" s="780"/>
      <c r="BH23" s="780"/>
      <c r="BI23" s="1439">
        <v>0</v>
      </c>
    </row>
    <row s="37270" customFormat="1" customHeight="1" ht="14.25" hidden="1">
      <c r="M24" s="1792"/>
      <c r="N24" s="1792"/>
      <c r="O24" s="1793" t="s">
        <v>475</v>
      </c>
      <c r="P24" s="1792"/>
      <c r="Q24" s="1794"/>
      <c r="R24" s="1794"/>
      <c r="AA24" s="1791" t="s">
        <v>477</v>
      </c>
      <c r="AC24" s="1791" t="s">
        <v>478</v>
      </c>
      <c r="AD24" s="1791" t="s">
        <v>541</v>
      </c>
      <c r="AH24" s="1791" t="s">
        <v>541</v>
      </c>
      <c r="AK24" s="1791" t="s">
        <v>578</v>
      </c>
      <c r="AL24" s="1791" t="s">
        <v>541</v>
      </c>
      <c r="AP24" s="1791" t="s">
        <v>541</v>
      </c>
      <c r="AY24" s="1791" t="s">
        <v>477</v>
      </c>
      <c r="BA24" s="1791" t="s">
        <v>478</v>
      </c>
      <c r="BD24" s="1795"/>
      <c r="BE24" s="1795"/>
      <c r="BF24" s="1795"/>
      <c r="BG24" s="1795"/>
      <c r="BH24" s="1795"/>
      <c r="BI24" s="1791">
        <v>0</v>
      </c>
    </row>
    <row customHeight="1" ht="14.25" hidden="1">
      <c r="O25" s="1648"/>
      <c r="BD25" s="780"/>
      <c r="BE25" s="780"/>
      <c r="BF25" s="780"/>
      <c r="BG25" s="780"/>
      <c r="BH25" s="780"/>
      <c r="BI25" s="1439">
        <v>0</v>
      </c>
    </row>
    <row customHeight="1" ht="14.25" hidden="1">
      <c r="O26" s="1648"/>
      <c r="BD26" s="780"/>
      <c r="BE26" s="780"/>
      <c r="BF26" s="780"/>
      <c r="BG26" s="780"/>
      <c r="BH26" s="780"/>
      <c r="BI26" s="1439">
        <v>0</v>
      </c>
    </row>
    <row customHeight="1" ht="14.699999999999998">
      <c r="Q27" s="575"/>
      <c r="R27" s="660"/>
      <c r="S27" s="1559"/>
      <c r="T27" s="647"/>
      <c r="U27" s="647"/>
      <c r="V27" s="793"/>
      <c r="W27" s="793"/>
      <c r="X27" s="793"/>
      <c r="Y27" s="793"/>
      <c r="Z27" s="793"/>
      <c r="AA27" s="793"/>
      <c r="AB27" s="793"/>
      <c r="AC27" s="793"/>
      <c r="AD27" s="793"/>
      <c r="AE27" s="793"/>
      <c r="AF27" s="793"/>
      <c r="AG27" s="793"/>
      <c r="AH27" s="793"/>
      <c r="AI27" s="793"/>
      <c r="AJ27" s="793"/>
      <c r="AK27" s="793"/>
      <c r="AL27" s="793"/>
      <c r="AM27" s="793"/>
      <c r="AN27" s="793"/>
      <c r="AO27" s="793"/>
      <c r="AP27" s="793"/>
      <c r="AQ27" s="793"/>
      <c r="AR27" s="793"/>
      <c r="AS27" s="793"/>
      <c r="AT27" s="793"/>
      <c r="AU27" s="793"/>
      <c r="AV27" s="793"/>
      <c r="AW27" s="793"/>
      <c r="AX27" s="793"/>
      <c r="AY27" s="793"/>
      <c r="AZ27" s="793"/>
      <c r="BA27" s="793"/>
      <c r="BI27" s="1439">
        <v>14</v>
      </c>
    </row>
    <row customHeight="1" ht="14.699999999999998">
      <c r="Q28" s="575"/>
      <c r="R28" s="660"/>
      <c r="S28" s="2532"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532"/>
      <c r="U28" s="2532"/>
      <c r="V28" s="2532"/>
      <c r="W28" s="2532"/>
      <c r="X28" s="2532"/>
      <c r="Y28" s="2532"/>
      <c r="Z28" s="2532"/>
      <c r="AA28" s="2532"/>
      <c r="AB28" s="2532"/>
      <c r="AC28" s="2532"/>
      <c r="AD28" s="2532"/>
      <c r="AE28" s="2532"/>
      <c r="AF28" s="2532"/>
      <c r="AG28" s="2532"/>
      <c r="AH28" s="2532"/>
      <c r="AI28" s="2532"/>
      <c r="AJ28" s="2532"/>
      <c r="AK28" s="2532"/>
      <c r="AL28" s="2532"/>
      <c r="AM28" s="2532"/>
      <c r="AN28" s="2532"/>
      <c r="AO28" s="2532"/>
      <c r="AP28" s="2532"/>
      <c r="AQ28" s="2532"/>
      <c r="AR28" s="2532"/>
      <c r="AS28" s="2532"/>
      <c r="AT28" s="2532"/>
      <c r="AU28" s="2532"/>
      <c r="AV28" s="2532"/>
      <c r="AW28" s="2532"/>
      <c r="AX28" s="2532"/>
      <c r="AY28" s="2532"/>
      <c r="AZ28" s="2532"/>
      <c r="BA28" s="1527"/>
      <c r="BI28" s="1439">
        <v>14</v>
      </c>
    </row>
    <row customHeight="1" ht="14.699999999999998">
      <c r="Q29" s="575"/>
      <c r="R29" s="660"/>
      <c r="S29" s="2533" t="str">
        <f>IF(org=0,"Не определено",org)</f>
        <v>АО "ДГК"</v>
      </c>
      <c r="T29" s="2533"/>
      <c r="U29" s="2533"/>
      <c r="V29" s="2533"/>
      <c r="W29" s="2533"/>
      <c r="X29" s="2533"/>
      <c r="Y29" s="2533"/>
      <c r="Z29" s="2533"/>
      <c r="AA29" s="2533"/>
      <c r="AB29" s="2533"/>
      <c r="AC29" s="2533"/>
      <c r="AD29" s="2533"/>
      <c r="AE29" s="2533"/>
      <c r="AF29" s="2533"/>
      <c r="AG29" s="2533"/>
      <c r="AH29" s="2533"/>
      <c r="AI29" s="2533"/>
      <c r="AJ29" s="2533"/>
      <c r="AK29" s="2533"/>
      <c r="AL29" s="2533"/>
      <c r="AM29" s="2533"/>
      <c r="AN29" s="2533"/>
      <c r="AO29" s="2533"/>
      <c r="AP29" s="2533"/>
      <c r="AQ29" s="2533"/>
      <c r="AR29" s="2533"/>
      <c r="AS29" s="2533"/>
      <c r="AT29" s="2533"/>
      <c r="AU29" s="2533"/>
      <c r="AV29" s="2533"/>
      <c r="AW29" s="2533"/>
      <c r="AX29" s="2533"/>
      <c r="AY29" s="2533"/>
      <c r="AZ29" s="2533"/>
      <c r="BA29" s="1527"/>
      <c r="BI29" s="1439">
        <v>14</v>
      </c>
    </row>
    <row customHeight="1" ht="14.25">
      <c r="Q30" s="575"/>
      <c r="R30" s="660"/>
      <c r="S30" s="1559"/>
      <c r="T30" s="647"/>
      <c r="U30" s="647"/>
      <c r="V30" s="606"/>
      <c r="W30" s="606"/>
      <c r="X30" s="606"/>
      <c r="Y30" s="606"/>
      <c r="Z30" s="606"/>
      <c r="AA30" s="606"/>
      <c r="AB30" s="606"/>
      <c r="AC30" s="606"/>
      <c r="AD30" s="606"/>
      <c r="AE30" s="606"/>
      <c r="AF30" s="606"/>
      <c r="AG30" s="606"/>
      <c r="AH30" s="606"/>
      <c r="AI30" s="606"/>
      <c r="AJ30" s="606"/>
      <c r="AK30" s="606"/>
      <c r="AL30" s="606"/>
      <c r="AM30" s="606"/>
      <c r="AN30" s="606"/>
      <c r="AO30" s="606"/>
      <c r="AP30" s="606"/>
      <c r="AQ30" s="606"/>
      <c r="AR30" s="606"/>
      <c r="AS30" s="606"/>
      <c r="AT30" s="606"/>
      <c r="AU30" s="606"/>
      <c r="AV30" s="606"/>
      <c r="AW30" s="606"/>
      <c r="AX30" s="606"/>
      <c r="AY30" s="606"/>
      <c r="AZ30" s="606"/>
      <c r="BA30" s="606"/>
      <c r="BB30" s="793"/>
      <c r="BI30" s="1439">
        <v>0</v>
      </c>
    </row>
    <row s="30764" customFormat="1" customHeight="1" ht="25.5">
      <c r="A31" s="1652"/>
      <c r="B31" s="1652"/>
      <c r="C31" s="1652"/>
      <c r="D31" s="1652"/>
      <c r="E31" s="1652"/>
      <c r="F31" s="1652"/>
      <c r="G31" s="1652"/>
      <c r="H31" s="1652"/>
      <c r="I31" s="1652"/>
      <c r="J31" s="1652"/>
      <c r="K31" s="1652"/>
      <c r="L31" s="1653"/>
      <c r="M31" s="1652"/>
      <c r="N31" s="1652"/>
      <c r="O31" s="1652"/>
      <c r="P31" s="1652"/>
      <c r="Q31" s="1652"/>
      <c r="S31" s="2534" t="s">
        <v>42</v>
      </c>
      <c r="T31" s="2534"/>
      <c r="U31" s="1656"/>
      <c r="V31" s="2535" t="str">
        <f>IF(TITLE_NAME_OR_PR_CHANGE="",IF(TITLE_NAME_OR_PR="","",TITLE_NAME_OR_PR),TITLE_NAME_OR_PR_CHANGE)</f>
        <v>Комитет по ценам и тарифам Правительства Хабаровского края</v>
      </c>
      <c r="W31" s="2535"/>
      <c r="X31" s="2535"/>
      <c r="Y31" s="2535"/>
      <c r="Z31" s="2535"/>
      <c r="AA31" s="2535"/>
      <c r="AB31" s="2535"/>
      <c r="AC31" s="610"/>
      <c r="AD31" s="2535" t="str">
        <f>IF(TITLE_NAME_OR_PR_CHANGE="",IF(TITLE_NAME_OR_PR="","",TITLE_NAME_OR_PR),TITLE_NAME_OR_PR_CHANGE)</f>
        <v>Комитет по ценам и тарифам Правительства Хабаровского края</v>
      </c>
      <c r="AE31" s="2535"/>
      <c r="AF31" s="2535"/>
      <c r="AG31" s="2535"/>
      <c r="AH31" s="2535"/>
      <c r="AI31" s="2535"/>
      <c r="AJ31" s="2535"/>
      <c r="AK31" s="2535"/>
      <c r="AL31" s="2535"/>
      <c r="AM31" s="2535"/>
      <c r="AN31" s="2535"/>
      <c r="AO31" s="2535"/>
      <c r="AP31" s="2535"/>
      <c r="AQ31" s="2535"/>
      <c r="AR31" s="2535"/>
      <c r="AS31" s="2535"/>
      <c r="AT31" s="2535"/>
      <c r="AU31" s="2535"/>
      <c r="AV31" s="2535"/>
      <c r="AW31" s="2535"/>
      <c r="AX31" s="2535"/>
      <c r="AY31" s="2535"/>
      <c r="AZ31" s="2535"/>
      <c r="BA31" s="610"/>
      <c r="BB31" s="610"/>
      <c r="BC31" s="564"/>
      <c r="BD31" s="652"/>
      <c r="BE31" s="652"/>
      <c r="BF31" s="652"/>
      <c r="BG31" s="652"/>
      <c r="BH31" s="652"/>
      <c r="BI31" s="702">
        <v>0</v>
      </c>
    </row>
    <row s="30764" customFormat="1" customHeight="1" ht="18.75">
      <c r="A32" s="1652"/>
      <c r="B32" s="1652"/>
      <c r="C32" s="1652"/>
      <c r="D32" s="1652"/>
      <c r="E32" s="1652"/>
      <c r="F32" s="1652"/>
      <c r="G32" s="1652"/>
      <c r="H32" s="1652"/>
      <c r="I32" s="1652"/>
      <c r="J32" s="1652"/>
      <c r="K32" s="1652"/>
      <c r="L32" s="1653"/>
      <c r="M32" s="1652"/>
      <c r="N32" s="1652"/>
      <c r="O32" s="1652"/>
      <c r="P32" s="1652"/>
      <c r="Q32" s="1652"/>
      <c r="S32" s="2534" t="s">
        <v>480</v>
      </c>
      <c r="T32" s="2534"/>
      <c r="U32" s="1656"/>
      <c r="V32" s="2548" t="str">
        <f>IF(TITLE_DATE_PR_CHANGE="",IF(TITLE_DATE_PR="","",TITLE_DATE_PR),TITLE_DATE_PR_CHANGE)</f>
        <v>45645</v>
      </c>
      <c r="W32" s="2548"/>
      <c r="X32" s="2548"/>
      <c r="Y32" s="2548"/>
      <c r="Z32" s="2548"/>
      <c r="AA32" s="2548"/>
      <c r="AB32" s="2548"/>
      <c r="AC32" s="610"/>
      <c r="AD32" s="2548" t="str">
        <f>IF(TITLE_DATE_PR_CHANGE="",IF(TITLE_DATE_PR="","",TITLE_DATE_PR),TITLE_DATE_PR_CHANGE)</f>
        <v>45645</v>
      </c>
      <c r="AE32" s="2548"/>
      <c r="AF32" s="2548"/>
      <c r="AG32" s="2548"/>
      <c r="AH32" s="2548"/>
      <c r="AI32" s="2548"/>
      <c r="AJ32" s="2548"/>
      <c r="AK32" s="2548"/>
      <c r="AL32" s="2548"/>
      <c r="AM32" s="2548"/>
      <c r="AN32" s="2548"/>
      <c r="AO32" s="2548"/>
      <c r="AP32" s="2548"/>
      <c r="AQ32" s="2548"/>
      <c r="AR32" s="2548"/>
      <c r="AS32" s="2548"/>
      <c r="AT32" s="2548"/>
      <c r="AU32" s="2548"/>
      <c r="AV32" s="2548"/>
      <c r="AW32" s="2548"/>
      <c r="AX32" s="2548"/>
      <c r="AY32" s="2548"/>
      <c r="AZ32" s="2548"/>
      <c r="BA32" s="610"/>
      <c r="BB32" s="610"/>
      <c r="BC32" s="564"/>
      <c r="BD32" s="652"/>
      <c r="BE32" s="652"/>
      <c r="BF32" s="652"/>
      <c r="BG32" s="652"/>
      <c r="BH32" s="652"/>
      <c r="BI32" s="702">
        <v>0</v>
      </c>
    </row>
    <row s="30764" customFormat="1" customHeight="1" ht="18.75">
      <c r="A33" s="1652"/>
      <c r="B33" s="1652"/>
      <c r="C33" s="1652"/>
      <c r="D33" s="1652"/>
      <c r="E33" s="1652"/>
      <c r="F33" s="1652"/>
      <c r="G33" s="1652"/>
      <c r="H33" s="1652"/>
      <c r="I33" s="1652"/>
      <c r="J33" s="1652"/>
      <c r="K33" s="1652"/>
      <c r="L33" s="1653"/>
      <c r="M33" s="1652"/>
      <c r="N33" s="1652"/>
      <c r="O33" s="1652"/>
      <c r="P33" s="1652"/>
      <c r="Q33" s="1652"/>
      <c r="S33" s="2534" t="s">
        <v>481</v>
      </c>
      <c r="T33" s="2534"/>
      <c r="U33" s="1656"/>
      <c r="V33" s="2535" t="str">
        <f>IF(TITLE_NUMBER_PR_CHANGE="",IF(TITLE_NUMBER_PR="","",TITLE_NUMBER_PR),TITLE_NUMBER_PR_CHANGE)</f>
        <v>№ 40/8</v>
      </c>
      <c r="W33" s="2535"/>
      <c r="X33" s="2535"/>
      <c r="Y33" s="2535"/>
      <c r="Z33" s="2535"/>
      <c r="AA33" s="2535"/>
      <c r="AB33" s="2535"/>
      <c r="AC33" s="610"/>
      <c r="AD33" s="2535" t="str">
        <f>IF(TITLE_NUMBER_PR_CHANGE="",IF(TITLE_NUMBER_PR="","",TITLE_NUMBER_PR),TITLE_NUMBER_PR_CHANGE)</f>
        <v>№ 40/8</v>
      </c>
      <c r="AE33" s="2535"/>
      <c r="AF33" s="2535"/>
      <c r="AG33" s="2535"/>
      <c r="AH33" s="2535"/>
      <c r="AI33" s="2535"/>
      <c r="AJ33" s="2535"/>
      <c r="AK33" s="2535"/>
      <c r="AL33" s="2535"/>
      <c r="AM33" s="2535"/>
      <c r="AN33" s="2535"/>
      <c r="AO33" s="2535"/>
      <c r="AP33" s="2535"/>
      <c r="AQ33" s="2535"/>
      <c r="AR33" s="2535"/>
      <c r="AS33" s="2535"/>
      <c r="AT33" s="2535"/>
      <c r="AU33" s="2535"/>
      <c r="AV33" s="2535"/>
      <c r="AW33" s="2535"/>
      <c r="AX33" s="2535"/>
      <c r="AY33" s="2535"/>
      <c r="AZ33" s="2535"/>
      <c r="BA33" s="610"/>
      <c r="BB33" s="610"/>
      <c r="BC33" s="564"/>
      <c r="BD33" s="652"/>
      <c r="BE33" s="652"/>
      <c r="BF33" s="652"/>
      <c r="BG33" s="652"/>
      <c r="BH33" s="652"/>
      <c r="BI33" s="702">
        <v>0</v>
      </c>
    </row>
    <row s="30764" customFormat="1" customHeight="1" ht="18.75">
      <c r="A34" s="1652"/>
      <c r="B34" s="1652"/>
      <c r="C34" s="1652"/>
      <c r="D34" s="1652"/>
      <c r="E34" s="1652"/>
      <c r="F34" s="1652"/>
      <c r="G34" s="1652"/>
      <c r="H34" s="1652"/>
      <c r="I34" s="1652"/>
      <c r="J34" s="1652"/>
      <c r="K34" s="1652"/>
      <c r="L34" s="1653"/>
      <c r="M34" s="1652"/>
      <c r="N34" s="1652"/>
      <c r="O34" s="1652"/>
      <c r="P34" s="1652"/>
      <c r="Q34" s="1652"/>
      <c r="S34" s="2534" t="s">
        <v>44</v>
      </c>
      <c r="T34" s="2534"/>
      <c r="U34" s="1656"/>
      <c r="V34" s="2535" t="str">
        <f>IF(TITLE_IST_PUB_CHANGE="",IF(TITLE_IST_PUB="","",TITLE_IST_PUB),TITLE_IST_PUB_CHANGE)</f>
        <v>Официальный интернет - портал нормативных правовых актов Хабаровского края https://laws.khv.gov.ru/</v>
      </c>
      <c r="W34" s="2535"/>
      <c r="X34" s="2535"/>
      <c r="Y34" s="2535"/>
      <c r="Z34" s="2535"/>
      <c r="AA34" s="2535"/>
      <c r="AB34" s="2535"/>
      <c r="AC34" s="610"/>
      <c r="AD34" s="2535" t="str">
        <f>IF(TITLE_IST_PUB_CHANGE="",IF(TITLE_IST_PUB="","",TITLE_IST_PUB),TITLE_IST_PUB_CHANGE)</f>
        <v>Официальный интернет - портал нормативных правовых актов Хабаровского края https://laws.khv.gov.ru/</v>
      </c>
      <c r="AE34" s="2535"/>
      <c r="AF34" s="2535"/>
      <c r="AG34" s="2535"/>
      <c r="AH34" s="2535"/>
      <c r="AI34" s="2535"/>
      <c r="AJ34" s="2535"/>
      <c r="AK34" s="2535"/>
      <c r="AL34" s="2535"/>
      <c r="AM34" s="2535"/>
      <c r="AN34" s="2535"/>
      <c r="AO34" s="2535"/>
      <c r="AP34" s="2535"/>
      <c r="AQ34" s="2535"/>
      <c r="AR34" s="2535"/>
      <c r="AS34" s="2535"/>
      <c r="AT34" s="2535"/>
      <c r="AU34" s="2535"/>
      <c r="AV34" s="2535"/>
      <c r="AW34" s="2535"/>
      <c r="AX34" s="2535"/>
      <c r="AY34" s="2535"/>
      <c r="AZ34" s="2535"/>
      <c r="BA34" s="610"/>
      <c r="BB34" s="610"/>
      <c r="BC34" s="564"/>
      <c r="BD34" s="652"/>
      <c r="BE34" s="652"/>
      <c r="BF34" s="652"/>
      <c r="BG34" s="652"/>
      <c r="BH34" s="652"/>
      <c r="BI34" s="702">
        <v>0</v>
      </c>
    </row>
    <row customHeight="1" ht="14.25" hidden="1">
      <c r="Q35" s="575"/>
      <c r="R35" s="660"/>
      <c r="S35" s="1559"/>
      <c r="T35" s="647"/>
      <c r="U35" s="647"/>
      <c r="V35" s="606"/>
      <c r="W35" s="606"/>
      <c r="X35" s="606"/>
      <c r="Y35" s="606"/>
      <c r="Z35" s="606"/>
      <c r="AA35" s="606"/>
      <c r="AB35" s="606"/>
      <c r="AC35" s="606"/>
      <c r="AD35" s="606"/>
      <c r="AE35" s="606"/>
      <c r="AF35" s="606"/>
      <c r="AG35" s="606"/>
      <c r="AH35" s="606"/>
      <c r="AI35" s="606"/>
      <c r="AJ35" s="606"/>
      <c r="AK35" s="606"/>
      <c r="AL35" s="606"/>
      <c r="AM35" s="606"/>
      <c r="AN35" s="606"/>
      <c r="AO35" s="606"/>
      <c r="AP35" s="606"/>
      <c r="AQ35" s="606"/>
      <c r="AR35" s="606"/>
      <c r="AS35" s="606"/>
      <c r="AT35" s="606"/>
      <c r="AU35" s="606"/>
      <c r="AV35" s="606"/>
      <c r="AW35" s="606"/>
      <c r="AX35" s="606"/>
      <c r="AY35" s="606"/>
      <c r="AZ35" s="606"/>
      <c r="BA35" s="606"/>
      <c r="BB35" s="793"/>
      <c r="BI35" s="1439">
        <v>0</v>
      </c>
    </row>
    <row s="30764" customFormat="1" customHeight="1" ht="18.75" hidden="1">
      <c r="A36" s="1652"/>
      <c r="B36" s="1652"/>
      <c r="C36" s="1652"/>
      <c r="D36" s="1652"/>
      <c r="E36" s="1652"/>
      <c r="F36" s="1652"/>
      <c r="G36" s="1652"/>
      <c r="H36" s="1652"/>
      <c r="I36" s="1652"/>
      <c r="J36" s="1652"/>
      <c r="K36" s="1652"/>
      <c r="L36" s="1653"/>
      <c r="M36" s="1652"/>
      <c r="N36" s="1652"/>
      <c r="O36" s="1652"/>
      <c r="P36" s="1652"/>
      <c r="Q36" s="1652"/>
      <c r="S36" s="2534" t="s">
        <v>480</v>
      </c>
      <c r="T36" s="2534"/>
      <c r="U36" s="1656"/>
      <c r="V36" s="2548" t="str">
        <f>IF(TITLE_DATE_PR_CHANGE="",IF(TITLE_DATE_PR="","",TITLE_DATE_PR),TITLE_DATE_PR_CHANGE)</f>
        <v>45645</v>
      </c>
      <c r="W36" s="2548"/>
      <c r="X36" s="2548"/>
      <c r="Y36" s="2548"/>
      <c r="Z36" s="2548"/>
      <c r="AA36" s="2548"/>
      <c r="AB36" s="2548"/>
      <c r="AC36" s="610"/>
      <c r="AD36" s="2548" t="str">
        <f>IF(TITLE_DATE_PR_CHANGE="",IF(TITLE_DATE_PR="","",TITLE_DATE_PR),TITLE_DATE_PR_CHANGE)</f>
        <v>45645</v>
      </c>
      <c r="AE36" s="2548"/>
      <c r="AF36" s="2548"/>
      <c r="AG36" s="2548"/>
      <c r="AH36" s="2548"/>
      <c r="AI36" s="2548"/>
      <c r="AJ36" s="2548"/>
      <c r="AK36" s="2548"/>
      <c r="AL36" s="2548"/>
      <c r="AM36" s="2548"/>
      <c r="AN36" s="2548"/>
      <c r="AO36" s="2548"/>
      <c r="AP36" s="2548"/>
      <c r="AQ36" s="2548"/>
      <c r="AR36" s="2548"/>
      <c r="AS36" s="2548"/>
      <c r="AT36" s="2548"/>
      <c r="AU36" s="2548"/>
      <c r="AV36" s="2548"/>
      <c r="AW36" s="2548"/>
      <c r="AX36" s="2548"/>
      <c r="AY36" s="2548"/>
      <c r="AZ36" s="2548"/>
      <c r="BA36" s="610"/>
      <c r="BB36" s="610"/>
      <c r="BC36" s="564"/>
      <c r="BD36" s="652"/>
      <c r="BE36" s="652"/>
      <c r="BF36" s="652"/>
      <c r="BG36" s="652"/>
      <c r="BH36" s="652"/>
      <c r="BI36" s="702">
        <v>0</v>
      </c>
    </row>
    <row s="30764" customFormat="1" customHeight="1" ht="18.75" hidden="1">
      <c r="A37" s="1652"/>
      <c r="B37" s="1652"/>
      <c r="C37" s="1652"/>
      <c r="D37" s="1652"/>
      <c r="E37" s="1652"/>
      <c r="F37" s="1652"/>
      <c r="G37" s="1652"/>
      <c r="H37" s="1652"/>
      <c r="I37" s="1652"/>
      <c r="J37" s="1652"/>
      <c r="K37" s="1652"/>
      <c r="L37" s="1653"/>
      <c r="M37" s="1652"/>
      <c r="N37" s="1652"/>
      <c r="O37" s="1652"/>
      <c r="P37" s="1652"/>
      <c r="Q37" s="1652"/>
      <c r="S37" s="2534" t="s">
        <v>481</v>
      </c>
      <c r="T37" s="2534"/>
      <c r="U37" s="1656"/>
      <c r="V37" s="2535" t="str">
        <f>IF(TITLE_NUMBER_PR_CHANGE="",IF(TITLE_NUMBER_PR="","",TITLE_NUMBER_PR),TITLE_NUMBER_PR_CHANGE)</f>
        <v>№ 40/8</v>
      </c>
      <c r="W37" s="2535"/>
      <c r="X37" s="2535"/>
      <c r="Y37" s="2535"/>
      <c r="Z37" s="2535"/>
      <c r="AA37" s="2535"/>
      <c r="AB37" s="2535"/>
      <c r="AC37" s="610"/>
      <c r="AD37" s="2535" t="str">
        <f>IF(TITLE_NUMBER_PR_CHANGE="",IF(TITLE_NUMBER_PR="","",TITLE_NUMBER_PR),TITLE_NUMBER_PR_CHANGE)</f>
        <v>№ 40/8</v>
      </c>
      <c r="AE37" s="2535"/>
      <c r="AF37" s="2535"/>
      <c r="AG37" s="2535"/>
      <c r="AH37" s="2535"/>
      <c r="AI37" s="2535"/>
      <c r="AJ37" s="2535"/>
      <c r="AK37" s="2535"/>
      <c r="AL37" s="2535"/>
      <c r="AM37" s="2535"/>
      <c r="AN37" s="2535"/>
      <c r="AO37" s="2535"/>
      <c r="AP37" s="2535"/>
      <c r="AQ37" s="2535"/>
      <c r="AR37" s="2535"/>
      <c r="AS37" s="2535"/>
      <c r="AT37" s="2535"/>
      <c r="AU37" s="2535"/>
      <c r="AV37" s="2535"/>
      <c r="AW37" s="2535"/>
      <c r="AX37" s="2535"/>
      <c r="AY37" s="2535"/>
      <c r="AZ37" s="2535"/>
      <c r="BA37" s="610"/>
      <c r="BB37" s="610"/>
      <c r="BC37" s="564"/>
      <c r="BD37" s="652"/>
      <c r="BE37" s="652"/>
      <c r="BF37" s="652"/>
      <c r="BG37" s="652"/>
      <c r="BH37" s="652"/>
      <c r="BI37" s="702">
        <v>0</v>
      </c>
    </row>
    <row s="30764" customFormat="1" customHeight="1" ht="0">
      <c r="A38" s="1652"/>
      <c r="B38" s="1652"/>
      <c r="C38" s="1652"/>
      <c r="D38" s="1652"/>
      <c r="E38" s="1652"/>
      <c r="F38" s="1652"/>
      <c r="G38" s="1652"/>
      <c r="H38" s="1652"/>
      <c r="I38" s="1652"/>
      <c r="J38" s="1652"/>
      <c r="K38" s="1652"/>
      <c r="L38" s="1653"/>
      <c r="M38" s="1652"/>
      <c r="N38" s="1652"/>
      <c r="O38" s="1652"/>
      <c r="P38" s="1652"/>
      <c r="Q38" s="1652"/>
      <c r="S38" s="607"/>
      <c r="T38" s="607"/>
      <c r="U38" s="1772"/>
      <c r="V38" s="610"/>
      <c r="W38" s="610"/>
      <c r="X38" s="610"/>
      <c r="Y38" s="610"/>
      <c r="Z38" s="610"/>
      <c r="AA38" s="610"/>
      <c r="AB38" s="610"/>
      <c r="AC38" s="562" t="s">
        <v>484</v>
      </c>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562" t="s">
        <v>484</v>
      </c>
      <c r="BD38" s="652"/>
      <c r="BE38" s="652"/>
      <c r="BF38" s="652"/>
      <c r="BG38" s="652"/>
      <c r="BH38" s="652"/>
      <c r="BI38" s="702">
        <v>0</v>
      </c>
    </row>
    <row customHeight="1" ht="14.699999999999998">
      <c r="Q39" s="575"/>
      <c r="R39" s="660"/>
      <c r="S39" s="1559"/>
      <c r="T39" s="647"/>
      <c r="U39" s="1528"/>
      <c r="V39" s="2536"/>
      <c r="W39" s="2536"/>
      <c r="X39" s="2536"/>
      <c r="Y39" s="2536"/>
      <c r="Z39" s="2536"/>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I39" s="1439">
        <v>14</v>
      </c>
    </row>
    <row customHeight="1" ht="14.699999999999998">
      <c r="Q40" s="575"/>
      <c r="R40" s="660"/>
      <c r="S40" s="2411" t="s">
        <v>360</v>
      </c>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c r="AS40" s="2411"/>
      <c r="AT40" s="2411"/>
      <c r="AU40" s="2411"/>
      <c r="AV40" s="2411"/>
      <c r="AW40" s="2411"/>
      <c r="AX40" s="2411"/>
      <c r="AY40" s="2411"/>
      <c r="AZ40" s="2411"/>
      <c r="BA40" s="2411"/>
      <c r="BB40" s="2411"/>
      <c r="BC40" s="2411" t="s">
        <v>361</v>
      </c>
      <c r="BI40" s="1439">
        <v>14</v>
      </c>
    </row>
    <row customHeight="1" ht="14.699999999999998">
      <c r="Q41" s="575"/>
      <c r="R41" s="660"/>
      <c r="S41" s="2557" t="s">
        <v>91</v>
      </c>
      <c r="T41" s="2493" t="s">
        <v>579</v>
      </c>
      <c r="U41" s="585"/>
      <c r="V41" s="2558" t="s">
        <v>486</v>
      </c>
      <c r="W41" s="2559"/>
      <c r="X41" s="2559"/>
      <c r="Y41" s="2559"/>
      <c r="Z41" s="2559"/>
      <c r="AA41" s="2559"/>
      <c r="AB41" s="2560"/>
      <c r="AC41" s="2561" t="s">
        <v>487</v>
      </c>
      <c r="AD41" s="2612" t="s">
        <v>596</v>
      </c>
      <c r="AE41" s="2575"/>
      <c r="AF41" s="2575"/>
      <c r="AG41" s="2613"/>
      <c r="AH41" s="2612" t="s">
        <v>597</v>
      </c>
      <c r="AI41" s="2575"/>
      <c r="AJ41" s="2575"/>
      <c r="AK41" s="2613"/>
      <c r="AL41" s="2612" t="s">
        <v>598</v>
      </c>
      <c r="AM41" s="2575"/>
      <c r="AN41" s="2575"/>
      <c r="AO41" s="2613"/>
      <c r="AP41" s="2612" t="s">
        <v>583</v>
      </c>
      <c r="AQ41" s="2575"/>
      <c r="AR41" s="2575"/>
      <c r="AS41" s="2613"/>
      <c r="AT41" s="2558" t="s">
        <v>486</v>
      </c>
      <c r="AU41" s="2559"/>
      <c r="AV41" s="2559"/>
      <c r="AW41" s="2559"/>
      <c r="AX41" s="2559"/>
      <c r="AY41" s="2559"/>
      <c r="AZ41" s="2560"/>
      <c r="BA41" s="2561" t="s">
        <v>487</v>
      </c>
      <c r="BB41" s="2564" t="s">
        <v>489</v>
      </c>
      <c r="BC41" s="2411"/>
      <c r="BI41" s="1439">
        <v>14</v>
      </c>
    </row>
    <row customHeight="1" ht="35.699999999999996">
      <c r="Q42" s="575"/>
      <c r="R42" s="660"/>
      <c r="S42" s="2557"/>
      <c r="T42" s="2493"/>
      <c r="U42" s="1315"/>
      <c r="V42" s="2476" t="s">
        <v>584</v>
      </c>
      <c r="W42" s="2477"/>
      <c r="X42" s="2476" t="s">
        <v>585</v>
      </c>
      <c r="Y42" s="2477"/>
      <c r="Z42" s="2578" t="s">
        <v>586</v>
      </c>
      <c r="AA42" s="2597"/>
      <c r="AB42" s="2598"/>
      <c r="AC42" s="2562"/>
      <c r="AD42" s="2614"/>
      <c r="AE42" s="2615"/>
      <c r="AF42" s="2615"/>
      <c r="AG42" s="2616"/>
      <c r="AH42" s="2614"/>
      <c r="AI42" s="2615"/>
      <c r="AJ42" s="2615"/>
      <c r="AK42" s="2616"/>
      <c r="AL42" s="2614"/>
      <c r="AM42" s="2615"/>
      <c r="AN42" s="2615"/>
      <c r="AO42" s="2616"/>
      <c r="AP42" s="2614"/>
      <c r="AQ42" s="2615"/>
      <c r="AR42" s="2615"/>
      <c r="AS42" s="2616"/>
      <c r="AT42" s="2476" t="s">
        <v>599</v>
      </c>
      <c r="AU42" s="2477"/>
      <c r="AV42" s="2476" t="s">
        <v>600</v>
      </c>
      <c r="AW42" s="2477"/>
      <c r="AX42" s="2578" t="s">
        <v>586</v>
      </c>
      <c r="AY42" s="2597"/>
      <c r="AZ42" s="2598"/>
      <c r="BA42" s="2562"/>
      <c r="BB42" s="2565"/>
      <c r="BC42" s="2411"/>
      <c r="BI42" s="1439">
        <v>34</v>
      </c>
    </row>
    <row customHeight="1" ht="14.699999999999998">
      <c r="Q43" s="575"/>
      <c r="R43" s="660"/>
      <c r="S43" s="2557"/>
      <c r="T43" s="2493"/>
      <c r="U43" s="1315"/>
      <c r="V43" s="2484"/>
      <c r="W43" s="2485"/>
      <c r="X43" s="2484"/>
      <c r="Y43" s="2485"/>
      <c r="Z43" s="2579"/>
      <c r="AA43" s="2599"/>
      <c r="AB43" s="2600"/>
      <c r="AC43" s="2562"/>
      <c r="AD43" s="2614"/>
      <c r="AE43" s="2615"/>
      <c r="AF43" s="2615"/>
      <c r="AG43" s="2616"/>
      <c r="AH43" s="2614"/>
      <c r="AI43" s="2615"/>
      <c r="AJ43" s="2615"/>
      <c r="AK43" s="2616"/>
      <c r="AL43" s="2614"/>
      <c r="AM43" s="2615"/>
      <c r="AN43" s="2615"/>
      <c r="AO43" s="2616"/>
      <c r="AP43" s="2614"/>
      <c r="AQ43" s="2615"/>
      <c r="AR43" s="2615"/>
      <c r="AS43" s="2616"/>
      <c r="AT43" s="2484"/>
      <c r="AU43" s="2485"/>
      <c r="AV43" s="2484"/>
      <c r="AW43" s="2485"/>
      <c r="AX43" s="2579"/>
      <c r="AY43" s="2599"/>
      <c r="AZ43" s="2600"/>
      <c r="BA43" s="2562"/>
      <c r="BB43" s="2565"/>
      <c r="BC43" s="2411"/>
      <c r="BI43" s="1439">
        <v>14</v>
      </c>
    </row>
    <row customHeight="1" ht="14.699999999999998">
      <c r="A44" s="1654"/>
      <c r="B44" s="1654" t="s">
        <v>165</v>
      </c>
      <c r="C44" s="1654" t="s">
        <v>166</v>
      </c>
      <c r="D44" s="1654" t="s">
        <v>167</v>
      </c>
      <c r="E44" s="1648" t="s">
        <v>494</v>
      </c>
      <c r="F44" s="1648" t="s">
        <v>495</v>
      </c>
      <c r="G44" s="1648" t="s">
        <v>496</v>
      </c>
      <c r="H44" s="1648" t="s">
        <v>497</v>
      </c>
      <c r="I44" s="1648" t="s">
        <v>498</v>
      </c>
      <c r="J44" s="1648" t="s">
        <v>499</v>
      </c>
      <c r="K44" s="1648" t="s">
        <v>500</v>
      </c>
      <c r="L44" s="1648" t="s">
        <v>475</v>
      </c>
      <c r="Q44" s="575"/>
      <c r="R44" s="660"/>
      <c r="S44" s="2557"/>
      <c r="T44" s="2493"/>
      <c r="U44" s="586"/>
      <c r="V44" s="1763" t="s">
        <v>550</v>
      </c>
      <c r="W44" s="1763" t="s">
        <v>551</v>
      </c>
      <c r="X44" s="1763" t="s">
        <v>550</v>
      </c>
      <c r="Y44" s="1763" t="s">
        <v>551</v>
      </c>
      <c r="Z44" s="1773" t="s">
        <v>503</v>
      </c>
      <c r="AA44" s="2554" t="s">
        <v>504</v>
      </c>
      <c r="AB44" s="2555"/>
      <c r="AC44" s="2563"/>
      <c r="AD44" s="2617"/>
      <c r="AE44" s="2618"/>
      <c r="AF44" s="2618"/>
      <c r="AG44" s="2619"/>
      <c r="AH44" s="2617"/>
      <c r="AI44" s="2618"/>
      <c r="AJ44" s="2618"/>
      <c r="AK44" s="2619"/>
      <c r="AL44" s="2617"/>
      <c r="AM44" s="2618"/>
      <c r="AN44" s="2618"/>
      <c r="AO44" s="2619"/>
      <c r="AP44" s="2617"/>
      <c r="AQ44" s="2618"/>
      <c r="AR44" s="2618"/>
      <c r="AS44" s="2619"/>
      <c r="AT44" s="1763" t="s">
        <v>550</v>
      </c>
      <c r="AU44" s="1763" t="s">
        <v>551</v>
      </c>
      <c r="AV44" s="1763" t="s">
        <v>550</v>
      </c>
      <c r="AW44" s="1763" t="s">
        <v>551</v>
      </c>
      <c r="AX44" s="1773" t="s">
        <v>503</v>
      </c>
      <c r="AY44" s="2554" t="s">
        <v>504</v>
      </c>
      <c r="AZ44" s="2555"/>
      <c r="BA44" s="2563"/>
      <c r="BB44" s="2566"/>
      <c r="BC44" s="2411"/>
      <c r="BI44" s="1439">
        <v>14</v>
      </c>
    </row>
    <row s="31261" customFormat="1" customHeight="1" ht="11.25" hidden="1">
      <c r="A45" s="1654"/>
      <c r="B45" s="1654"/>
      <c r="C45" s="1654"/>
      <c r="D45" s="1654"/>
      <c r="E45" s="1654"/>
      <c r="F45" s="1654"/>
      <c r="G45" s="1654"/>
      <c r="H45" s="1654"/>
      <c r="I45" s="1654"/>
      <c r="J45" s="1654"/>
      <c r="K45" s="1654"/>
      <c r="L45" s="1648"/>
      <c r="M45" s="1646"/>
      <c r="N45" s="1646"/>
      <c r="O45" s="1646"/>
      <c r="P45" s="794"/>
      <c r="Q45" s="1538"/>
      <c r="R45" s="1538">
        <v>1</v>
      </c>
      <c r="S45" s="1561" t="s">
        <v>141</v>
      </c>
      <c r="T45" s="1539" t="s">
        <v>105</v>
      </c>
      <c r="U45" s="1529" t="str">
        <f>OFFSET(U45,0,-1)</f>
        <v>2</v>
      </c>
      <c r="V45" s="1766">
        <f>OFFSET(V45,0,-1)+1</f>
        <v>3</v>
      </c>
      <c r="W45" s="1766">
        <f>OFFSET(W45,0,-1)+1</f>
        <v>4</v>
      </c>
      <c r="X45" s="1766">
        <f>OFFSET(X45,0,-1)+1</f>
        <v>5</v>
      </c>
      <c r="Y45" s="1766">
        <f>OFFSET(Y45,0,-1)+1</f>
        <v>6</v>
      </c>
      <c r="Z45" s="1766">
        <f>OFFSET(Z45,0,-1)+1</f>
        <v>7</v>
      </c>
      <c r="AA45" s="2556">
        <f>OFFSET(AA45,0,-1)+1</f>
        <v>8</v>
      </c>
      <c r="AB45" s="2556"/>
      <c r="AC45" s="1766">
        <f>OFFSET(AC45,0,-2)+1</f>
        <v>9</v>
      </c>
      <c r="AD45" s="1766">
        <f>OFFSET(AD45,0,-1)+1</f>
        <v>10</v>
      </c>
      <c r="AE45" s="1766"/>
      <c r="AF45" s="1766"/>
      <c r="AG45" s="1766"/>
      <c r="AH45" s="1766"/>
      <c r="AI45" s="1766"/>
      <c r="AJ45" s="1766"/>
      <c r="AK45" s="1766"/>
      <c r="AL45" s="1766"/>
      <c r="AM45" s="1766"/>
      <c r="AN45" s="1766"/>
      <c r="AO45" s="1766"/>
      <c r="AP45" s="1766"/>
      <c r="AQ45" s="1766"/>
      <c r="AR45" s="1766"/>
      <c r="AS45" s="1766"/>
      <c r="AT45" s="1766"/>
      <c r="AU45" s="1766"/>
      <c r="AV45" s="1766"/>
      <c r="AW45" s="1766">
        <f>OFFSET(AW45,0,-1)+1</f>
        <v>1</v>
      </c>
      <c r="AX45" s="1766">
        <f>OFFSET(AX45,0,-1)+1</f>
        <v>2</v>
      </c>
      <c r="AY45" s="2556">
        <f>OFFSET(AY45,0,-1)+1</f>
        <v>3</v>
      </c>
      <c r="AZ45" s="2556"/>
      <c r="BA45" s="1766">
        <f>OFFSET(BA45,0,-2)+1</f>
        <v>4</v>
      </c>
      <c r="BB45" s="1529">
        <f>OFFSET(BB45,0,-1)</f>
        <v>4</v>
      </c>
      <c r="BC45" s="1766">
        <f>OFFSET(BC45,0,-1)+1</f>
        <v>5</v>
      </c>
      <c r="BD45" s="795"/>
      <c r="BE45" s="795"/>
      <c r="BF45" s="795"/>
      <c r="BG45" s="795"/>
      <c r="BH45" s="795"/>
      <c r="BI45" s="780">
        <v>0</v>
      </c>
    </row>
    <row customHeight="1" ht="22.049999999999997">
      <c r="A46" s="1647" t="s">
        <v>336</v>
      </c>
      <c r="B46" s="1647"/>
      <c r="C46" s="1647"/>
      <c r="D46" s="1647"/>
      <c r="E46" s="2542">
        <v>1</v>
      </c>
      <c r="F46" s="1647"/>
      <c r="G46" s="1647"/>
      <c r="H46" s="1647"/>
      <c r="I46" s="1647"/>
      <c r="J46" s="1647"/>
      <c r="K46" s="1647"/>
      <c r="L46" s="1648"/>
      <c r="M46" s="1649"/>
      <c r="N46" s="1649"/>
      <c r="O46" s="1649"/>
      <c r="P46" s="1693"/>
      <c r="Q46" s="1157"/>
      <c r="R46" s="639"/>
      <c r="S46" s="1777">
        <f>INDEX(PT_DIFFERENTIATION_NUM_NTAR,MATCH(A46,PT_DIFFERENTIATION_NTAR_ID,0))</f>
        <v>0</v>
      </c>
      <c r="T46" s="582" t="s">
        <v>153</v>
      </c>
      <c r="U46" s="584"/>
      <c r="V46" s="2527"/>
      <c r="W46" s="2527"/>
      <c r="X46" s="2527"/>
      <c r="Y46" s="2527"/>
      <c r="Z46" s="2527"/>
      <c r="AA46" s="2527"/>
      <c r="AB46" s="2527"/>
      <c r="AC46" s="2528"/>
      <c r="AD46" s="2526" t="str">
        <f>INDEX(PT_DIFFERENTIATION_NTAR,MATCH(A46,PT_DIFFERENTIATION_NTAR_ID,0))</f>
        <v/>
      </c>
      <c r="AE46" s="2527"/>
      <c r="AF46" s="2527"/>
      <c r="AG46" s="2527"/>
      <c r="AH46" s="2527"/>
      <c r="AI46" s="2527"/>
      <c r="AJ46" s="2527"/>
      <c r="AK46" s="2527"/>
      <c r="AL46" s="2527"/>
      <c r="AM46" s="2527"/>
      <c r="AN46" s="2527"/>
      <c r="AO46" s="2527"/>
      <c r="AP46" s="2527"/>
      <c r="AQ46" s="2527"/>
      <c r="AR46" s="2527"/>
      <c r="AS46" s="2527"/>
      <c r="AT46" s="2527"/>
      <c r="AU46" s="2527"/>
      <c r="AV46" s="2527"/>
      <c r="AW46" s="2527"/>
      <c r="AX46" s="2527"/>
      <c r="AY46" s="2527"/>
      <c r="AZ46" s="2527"/>
      <c r="BA46" s="2527"/>
      <c r="BB46" s="2528"/>
      <c r="BC46"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784"/>
      <c r="BF46" s="784" t="str">
        <f>IF(T46="","",T46)</f>
        <v>Наименование тарифа</v>
      </c>
      <c r="BG46" s="784"/>
      <c r="BH46" s="784"/>
      <c r="BI46" s="1439">
        <v>21</v>
      </c>
    </row>
    <row customHeight="1" ht="22.049999999999997">
      <c r="A47" s="1647" t="s">
        <v>336</v>
      </c>
      <c r="B47" s="1647" t="s">
        <v>337</v>
      </c>
      <c r="C47" s="1647"/>
      <c r="D47" s="1647"/>
      <c r="E47" s="2543"/>
      <c r="F47" s="2542">
        <v>1</v>
      </c>
      <c r="G47" s="1647"/>
      <c r="H47" s="1647"/>
      <c r="I47" s="1647"/>
      <c r="J47" s="1647"/>
      <c r="K47" s="1647"/>
      <c r="L47" s="1648"/>
      <c r="M47" s="1649"/>
      <c r="N47" s="1649"/>
      <c r="O47" s="1649"/>
      <c r="P47" s="1694"/>
      <c r="Q47" s="1695"/>
      <c r="R47" s="637"/>
      <c r="S47" s="1777" t="str">
        <f>INDEX(PT_DIFFERENTIATION_NUM_TER,MATCH(B47,PT_DIFFERENTIATION_TER_ID,0))</f>
        <v>.</v>
      </c>
      <c r="T47" s="592" t="s">
        <v>457</v>
      </c>
      <c r="U47" s="584"/>
      <c r="V47" s="2527"/>
      <c r="W47" s="2527"/>
      <c r="X47" s="2527"/>
      <c r="Y47" s="2527"/>
      <c r="Z47" s="2527"/>
      <c r="AA47" s="2527"/>
      <c r="AB47" s="2527"/>
      <c r="AC47" s="2528"/>
      <c r="AD47" s="2526" t="str">
        <f>INDEX(PT_DIFFERENTIATION_TER,MATCH(B47,PT_DIFFERENTIATION_TER_ID,0))</f>
        <v/>
      </c>
      <c r="AE47" s="2527"/>
      <c r="AF47" s="2527"/>
      <c r="AG47" s="2527"/>
      <c r="AH47" s="2527"/>
      <c r="AI47" s="2527"/>
      <c r="AJ47" s="2527"/>
      <c r="AK47" s="2527"/>
      <c r="AL47" s="2527"/>
      <c r="AM47" s="2527"/>
      <c r="AN47" s="2527"/>
      <c r="AO47" s="2527"/>
      <c r="AP47" s="2527"/>
      <c r="AQ47" s="2527"/>
      <c r="AR47" s="2527"/>
      <c r="AS47" s="2527"/>
      <c r="AT47" s="2527"/>
      <c r="AU47" s="2527"/>
      <c r="AV47" s="2527"/>
      <c r="AW47" s="2527"/>
      <c r="AX47" s="2527"/>
      <c r="AY47" s="2527"/>
      <c r="AZ47" s="2527"/>
      <c r="BA47" s="2527"/>
      <c r="BB47" s="2528"/>
      <c r="BC47" s="1542" t="s">
        <v>458</v>
      </c>
      <c r="BE47" s="784"/>
      <c r="BF47" s="784" t="str">
        <f>IF(T47="","",T47)</f>
        <v>Территория действия тарифа</v>
      </c>
      <c r="BG47" s="784"/>
      <c r="BH47" s="784"/>
      <c r="BI47" s="1439">
        <v>21</v>
      </c>
    </row>
    <row customHeight="1" ht="35.699999999999996">
      <c r="A48" s="1647" t="s">
        <v>336</v>
      </c>
      <c r="B48" s="1647" t="s">
        <v>337</v>
      </c>
      <c r="C48" s="1647" t="s">
        <v>338</v>
      </c>
      <c r="D48" s="1647"/>
      <c r="E48" s="2543"/>
      <c r="F48" s="2543"/>
      <c r="G48" s="2542">
        <v>1</v>
      </c>
      <c r="H48" s="1647"/>
      <c r="I48" s="1647"/>
      <c r="J48" s="1647"/>
      <c r="K48" s="1647"/>
      <c r="L48" s="1648"/>
      <c r="M48" s="1649"/>
      <c r="N48" s="1649"/>
      <c r="O48" s="1649"/>
      <c r="P48" s="1696"/>
      <c r="Q48" s="1695"/>
      <c r="R48" s="637"/>
      <c r="S48" s="1777" t="str">
        <f>INDEX(PT_DIFFERENTIATION_NUM_CS,MATCH(C48,PT_DIFFERENTIATION_CS_ID,0))</f>
        <v>..</v>
      </c>
      <c r="T48" s="593" t="s">
        <v>588</v>
      </c>
      <c r="U48" s="584"/>
      <c r="V48" s="2527"/>
      <c r="W48" s="2527"/>
      <c r="X48" s="2527"/>
      <c r="Y48" s="2527"/>
      <c r="Z48" s="2527"/>
      <c r="AA48" s="2527"/>
      <c r="AB48" s="2527"/>
      <c r="AC48" s="2528"/>
      <c r="AD48" s="2526" t="str">
        <f>INDEX(PT_DIFFERENTIATION_CS,MATCH(C48,PT_DIFFERENTIATION_CS_ID,0))</f>
        <v/>
      </c>
      <c r="AE48" s="2527"/>
      <c r="AF48" s="2527"/>
      <c r="AG48" s="2527"/>
      <c r="AH48" s="2527"/>
      <c r="AI48" s="2527"/>
      <c r="AJ48" s="2527"/>
      <c r="AK48" s="2527"/>
      <c r="AL48" s="2527"/>
      <c r="AM48" s="2527"/>
      <c r="AN48" s="2527"/>
      <c r="AO48" s="2527"/>
      <c r="AP48" s="2527"/>
      <c r="AQ48" s="2527"/>
      <c r="AR48" s="2527"/>
      <c r="AS48" s="2527"/>
      <c r="AT48" s="2527"/>
      <c r="AU48" s="2527"/>
      <c r="AV48" s="2527"/>
      <c r="AW48" s="2527"/>
      <c r="AX48" s="2527"/>
      <c r="AY48" s="2527"/>
      <c r="AZ48" s="2527"/>
      <c r="BA48" s="2527"/>
      <c r="BB48" s="2528"/>
      <c r="BC48" s="1542" t="s">
        <v>589</v>
      </c>
      <c r="BE48" s="784"/>
      <c r="BF48" s="784" t="str">
        <f>IF(T48="","",T48)</f>
        <v>Наименование централизованной системы водоотведения</v>
      </c>
      <c r="BG48" s="784"/>
      <c r="BH48" s="784"/>
      <c r="BI48" s="1439">
        <v>34</v>
      </c>
    </row>
    <row s="30621" customFormat="1" customHeight="1" ht="0">
      <c r="A49" s="1627" t="s">
        <v>336</v>
      </c>
      <c r="B49" s="1627" t="s">
        <v>337</v>
      </c>
      <c r="C49" s="1627" t="s">
        <v>338</v>
      </c>
      <c r="D49" s="1627" t="s">
        <v>601</v>
      </c>
      <c r="E49" s="2543"/>
      <c r="F49" s="2543"/>
      <c r="G49" s="2543"/>
      <c r="H49" s="2542">
        <v>1</v>
      </c>
      <c r="I49" s="1627"/>
      <c r="J49" s="1627"/>
      <c r="K49" s="1627"/>
      <c r="L49" s="1630"/>
      <c r="M49" s="1599"/>
      <c r="N49" s="1599"/>
      <c r="O49" s="1599"/>
      <c r="P49" s="1781"/>
      <c r="Q49" s="1782"/>
      <c r="R49" s="641"/>
      <c r="S49" s="1326"/>
      <c r="T49" s="1783"/>
      <c r="U49" s="1668"/>
      <c r="V49" s="2581"/>
      <c r="W49" s="2581"/>
      <c r="X49" s="2581"/>
      <c r="Y49" s="2581"/>
      <c r="Z49" s="2581"/>
      <c r="AA49" s="2581"/>
      <c r="AB49" s="2581"/>
      <c r="AC49" s="2582"/>
      <c r="AD49" s="2580"/>
      <c r="AE49" s="2581"/>
      <c r="AF49" s="2581"/>
      <c r="AG49" s="2581"/>
      <c r="AH49" s="2581"/>
      <c r="AI49" s="2581"/>
      <c r="AJ49" s="2581"/>
      <c r="AK49" s="2581"/>
      <c r="AL49" s="2581"/>
      <c r="AM49" s="2581"/>
      <c r="AN49" s="2581"/>
      <c r="AO49" s="2581"/>
      <c r="AP49" s="2581"/>
      <c r="AQ49" s="2581"/>
      <c r="AR49" s="2581"/>
      <c r="AS49" s="2581"/>
      <c r="AT49" s="2581"/>
      <c r="AU49" s="2581"/>
      <c r="AV49" s="2581"/>
      <c r="AW49" s="2581"/>
      <c r="AX49" s="2581"/>
      <c r="AY49" s="2581"/>
      <c r="AZ49" s="2581"/>
      <c r="BA49" s="2581"/>
      <c r="BB49" s="2582"/>
      <c r="BC49" s="1669" t="s">
        <v>462</v>
      </c>
      <c r="BE49" s="784"/>
      <c r="BF49" s="784" t="str">
        <f>IF(T49="","",T49)</f>
        <v/>
      </c>
      <c r="BG49" s="784"/>
      <c r="BH49" s="784"/>
      <c r="BI49" s="795">
        <v>0</v>
      </c>
    </row>
    <row s="30621" customFormat="1" customHeight="1" ht="0">
      <c r="A50" s="1627" t="s">
        <v>336</v>
      </c>
      <c r="B50" s="1627" t="s">
        <v>337</v>
      </c>
      <c r="C50" s="1627" t="s">
        <v>338</v>
      </c>
      <c r="D50" s="1627" t="s">
        <v>601</v>
      </c>
      <c r="E50" s="2543"/>
      <c r="F50" s="2543"/>
      <c r="G50" s="2543"/>
      <c r="H50" s="2543"/>
      <c r="I50" s="2540" t="str">
        <f>S49&amp;".1"</f>
        <v>.1</v>
      </c>
      <c r="J50" s="1627"/>
      <c r="K50" s="1627"/>
      <c r="L50" s="1630" t="s">
        <v>463</v>
      </c>
      <c r="M50" s="794"/>
      <c r="N50" s="794"/>
      <c r="O50" s="794"/>
      <c r="P50" s="2541">
        <v>1</v>
      </c>
      <c r="Q50" s="1765"/>
      <c r="R50" s="640"/>
      <c r="S50" s="1326"/>
      <c r="T50" s="1667"/>
      <c r="U50" s="1668"/>
      <c r="V50" s="2581"/>
      <c r="W50" s="2581"/>
      <c r="X50" s="2581"/>
      <c r="Y50" s="2581"/>
      <c r="Z50" s="2581"/>
      <c r="AA50" s="2581"/>
      <c r="AB50" s="2581"/>
      <c r="AC50" s="2582"/>
      <c r="AD50" s="2580"/>
      <c r="AE50" s="2581"/>
      <c r="AF50" s="2581"/>
      <c r="AG50" s="2581"/>
      <c r="AH50" s="2581"/>
      <c r="AI50" s="2581"/>
      <c r="AJ50" s="2581"/>
      <c r="AK50" s="2581"/>
      <c r="AL50" s="2581"/>
      <c r="AM50" s="2581"/>
      <c r="AN50" s="2581"/>
      <c r="AO50" s="2581"/>
      <c r="AP50" s="2581"/>
      <c r="AQ50" s="2581"/>
      <c r="AR50" s="2581"/>
      <c r="AS50" s="2581"/>
      <c r="AT50" s="2581"/>
      <c r="AU50" s="2581"/>
      <c r="AV50" s="2581"/>
      <c r="AW50" s="2581"/>
      <c r="AX50" s="2581"/>
      <c r="AY50" s="2581"/>
      <c r="AZ50" s="2581"/>
      <c r="BA50" s="2581"/>
      <c r="BB50" s="2582"/>
      <c r="BC50" s="1669"/>
      <c r="BE50" s="784"/>
      <c r="BF50" s="784" t="str">
        <f>IF(T50="","",T50)</f>
        <v/>
      </c>
      <c r="BG50" s="784"/>
      <c r="BH50" s="784"/>
      <c r="BI50" s="795">
        <v>0</v>
      </c>
    </row>
    <row s="30621" customFormat="1" customHeight="1" ht="0">
      <c r="A51" s="1627" t="s">
        <v>336</v>
      </c>
      <c r="B51" s="1627" t="s">
        <v>337</v>
      </c>
      <c r="C51" s="1627" t="s">
        <v>338</v>
      </c>
      <c r="D51" s="1627" t="s">
        <v>601</v>
      </c>
      <c r="E51" s="2543"/>
      <c r="F51" s="2543"/>
      <c r="G51" s="2543"/>
      <c r="H51" s="2543"/>
      <c r="I51" s="2570"/>
      <c r="J51" s="2540" t="str">
        <f>S49&amp;".1"</f>
        <v>.1</v>
      </c>
      <c r="K51" s="1627"/>
      <c r="L51" s="1630"/>
      <c r="M51" s="794"/>
      <c r="N51" s="794"/>
      <c r="O51" s="794"/>
      <c r="P51" s="2541"/>
      <c r="Q51" s="2541">
        <v>1</v>
      </c>
      <c r="R51" s="641"/>
      <c r="S51" s="1326"/>
      <c r="T51" s="1683"/>
      <c r="U51" s="1668"/>
      <c r="V51" s="2581"/>
      <c r="W51" s="2581"/>
      <c r="X51" s="2581"/>
      <c r="Y51" s="2581"/>
      <c r="Z51" s="2581"/>
      <c r="AA51" s="2581"/>
      <c r="AB51" s="2581"/>
      <c r="AC51" s="2582"/>
      <c r="AD51" s="2580"/>
      <c r="AE51" s="2581"/>
      <c r="AF51" s="2581"/>
      <c r="AG51" s="2581"/>
      <c r="AH51" s="2581"/>
      <c r="AI51" s="2581"/>
      <c r="AJ51" s="2581"/>
      <c r="AK51" s="2581"/>
      <c r="AL51" s="2581"/>
      <c r="AM51" s="2581"/>
      <c r="AN51" s="2648"/>
      <c r="AO51" s="2648"/>
      <c r="AP51" s="2581"/>
      <c r="AQ51" s="2581"/>
      <c r="AR51" s="2581"/>
      <c r="AS51" s="2581"/>
      <c r="AT51" s="2581"/>
      <c r="AU51" s="2581"/>
      <c r="AV51" s="2581"/>
      <c r="AW51" s="2581"/>
      <c r="AX51" s="2581"/>
      <c r="AY51" s="2581"/>
      <c r="AZ51" s="2581"/>
      <c r="BA51" s="2581"/>
      <c r="BB51" s="2582"/>
      <c r="BC51" s="1669"/>
      <c r="BE51" s="784"/>
      <c r="BF51" s="784" t="str">
        <f>IF(T51="","",T51)</f>
        <v/>
      </c>
      <c r="BG51" s="784"/>
      <c r="BH51" s="784"/>
      <c r="BI51" s="795">
        <v>0</v>
      </c>
    </row>
    <row customHeight="1" ht="11.549999999999999">
      <c r="A52" s="1647" t="s">
        <v>336</v>
      </c>
      <c r="B52" s="1647" t="s">
        <v>337</v>
      </c>
      <c r="C52" s="1647" t="s">
        <v>338</v>
      </c>
      <c r="D52" s="1647" t="s">
        <v>601</v>
      </c>
      <c r="E52" s="2543"/>
      <c r="F52" s="2543"/>
      <c r="G52" s="2543"/>
      <c r="H52" s="2543"/>
      <c r="I52" s="2570"/>
      <c r="J52" s="2570"/>
      <c r="K52" s="2540" t="str">
        <f>S48&amp;".1"</f>
        <v>...1</v>
      </c>
      <c r="L52" s="1648"/>
      <c r="P52" s="2541"/>
      <c r="Q52" s="2541"/>
      <c r="R52" s="641">
        <v>1</v>
      </c>
      <c r="S52" s="2625" t="str">
        <f>$K52</f>
        <v>...1</v>
      </c>
      <c r="T52" s="2644"/>
      <c r="U52" s="584"/>
      <c r="V52" s="1035"/>
      <c r="W52" s="1541"/>
      <c r="X52" s="1035"/>
      <c r="Y52" s="1541"/>
      <c r="Z52" s="2018"/>
      <c r="AA52" s="1753" t="s">
        <v>64</v>
      </c>
      <c r="AB52" s="2018"/>
      <c r="AC52" s="1753" t="s">
        <v>64</v>
      </c>
      <c r="AD52" s="2469" t="s">
        <v>64</v>
      </c>
      <c r="AE52" s="2610"/>
      <c r="AF52" s="2489">
        <v>1</v>
      </c>
      <c r="AG52" s="2647"/>
      <c r="AH52" s="2391" t="s">
        <v>64</v>
      </c>
      <c r="AI52" s="2610"/>
      <c r="AJ52" s="2489">
        <v>1</v>
      </c>
      <c r="AK52" s="2611" t="s">
        <v>28</v>
      </c>
      <c r="AL52" s="2391" t="s">
        <v>64</v>
      </c>
      <c r="AM52" s="2476"/>
      <c r="AN52" s="2489">
        <v>1</v>
      </c>
      <c r="AO52" s="2641"/>
      <c r="AP52" s="2642" t="s">
        <v>64</v>
      </c>
      <c r="AQ52" s="595"/>
      <c r="AR52" s="1770">
        <v>1</v>
      </c>
      <c r="AS52" s="1776" t="s">
        <v>28</v>
      </c>
      <c r="AT52" s="1035"/>
      <c r="AU52" s="1541"/>
      <c r="AV52" s="1035"/>
      <c r="AW52" s="1541"/>
      <c r="AX52" s="2018"/>
      <c r="AY52" s="1753" t="s">
        <v>64</v>
      </c>
      <c r="AZ52" s="2018"/>
      <c r="BA52" s="1753" t="s">
        <v>64</v>
      </c>
      <c r="BB52" s="1632"/>
      <c r="BC52" s="2537" t="s">
        <v>573</v>
      </c>
      <c r="BE52" s="784"/>
      <c r="BF52" s="784" t="str">
        <f>IF(T52="","",T52)</f>
        <v/>
      </c>
      <c r="BG52" s="784"/>
      <c r="BH52" s="784"/>
      <c r="BI52" s="1439">
        <v>11</v>
      </c>
    </row>
    <row customHeight="1" ht="11.549999999999999">
      <c r="A53" s="1647"/>
      <c r="B53" s="1647"/>
      <c r="C53" s="1647"/>
      <c r="D53" s="1647"/>
      <c r="E53" s="2543"/>
      <c r="F53" s="2543"/>
      <c r="G53" s="2543"/>
      <c r="H53" s="2543"/>
      <c r="I53" s="2570"/>
      <c r="J53" s="2570"/>
      <c r="K53" s="2540"/>
      <c r="L53" s="1648"/>
      <c r="P53" s="2541"/>
      <c r="Q53" s="2541"/>
      <c r="R53" s="641"/>
      <c r="S53" s="2626"/>
      <c r="T53" s="2645"/>
      <c r="U53" s="584"/>
      <c r="V53" s="1677"/>
      <c r="W53" s="1780"/>
      <c r="X53" s="1677"/>
      <c r="Y53" s="1780"/>
      <c r="Z53" s="1677"/>
      <c r="AA53" s="1677"/>
      <c r="AB53" s="1677"/>
      <c r="AC53" s="1677"/>
      <c r="AD53" s="2470"/>
      <c r="AE53" s="2610"/>
      <c r="AF53" s="2489"/>
      <c r="AG53" s="2647"/>
      <c r="AH53" s="2391"/>
      <c r="AI53" s="2610"/>
      <c r="AJ53" s="2489"/>
      <c r="AK53" s="2611"/>
      <c r="AL53" s="2391"/>
      <c r="AM53" s="2484"/>
      <c r="AN53" s="2489"/>
      <c r="AO53" s="2641"/>
      <c r="AP53" s="2643"/>
      <c r="AQ53" s="600"/>
      <c r="AR53" s="700"/>
      <c r="AS53" s="700" t="s">
        <v>574</v>
      </c>
      <c r="AT53" s="1677"/>
      <c r="AU53" s="1780"/>
      <c r="AV53" s="1677"/>
      <c r="AW53" s="1780"/>
      <c r="AX53" s="1677"/>
      <c r="AY53" s="1677"/>
      <c r="AZ53" s="1677"/>
      <c r="BA53" s="1677"/>
      <c r="BB53" s="1681"/>
      <c r="BC53" s="2538"/>
      <c r="BE53" s="784"/>
      <c r="BF53" s="784"/>
      <c r="BG53" s="784"/>
      <c r="BH53" s="784"/>
      <c r="BI53" s="1439">
        <v>11</v>
      </c>
    </row>
    <row customHeight="1" ht="11.549999999999999">
      <c r="A54" s="1647" t="s">
        <v>336</v>
      </c>
      <c r="B54" s="1647"/>
      <c r="C54" s="1647"/>
      <c r="D54" s="1647"/>
      <c r="E54" s="2543"/>
      <c r="F54" s="2543"/>
      <c r="G54" s="2543"/>
      <c r="H54" s="2543"/>
      <c r="I54" s="2570"/>
      <c r="J54" s="2570"/>
      <c r="K54" s="2540"/>
      <c r="L54" s="1648"/>
      <c r="P54" s="2541"/>
      <c r="Q54" s="2541"/>
      <c r="R54" s="641"/>
      <c r="S54" s="2626"/>
      <c r="T54" s="2645"/>
      <c r="U54" s="584"/>
      <c r="V54" s="1677"/>
      <c r="W54" s="1780"/>
      <c r="X54" s="1677"/>
      <c r="Y54" s="1780"/>
      <c r="Z54" s="1677"/>
      <c r="AA54" s="1677"/>
      <c r="AB54" s="1677"/>
      <c r="AC54" s="1677"/>
      <c r="AD54" s="2470"/>
      <c r="AE54" s="2610"/>
      <c r="AF54" s="2489"/>
      <c r="AG54" s="2647"/>
      <c r="AH54" s="2391"/>
      <c r="AI54" s="2610"/>
      <c r="AJ54" s="2489"/>
      <c r="AK54" s="2611"/>
      <c r="AL54" s="2391"/>
      <c r="AM54" s="600"/>
      <c r="AN54" s="1784"/>
      <c r="AO54" s="1784" t="s">
        <v>594</v>
      </c>
      <c r="AP54" s="700"/>
      <c r="AQ54" s="700"/>
      <c r="AR54" s="700"/>
      <c r="AS54" s="1677"/>
      <c r="AT54" s="1677"/>
      <c r="AU54" s="1780"/>
      <c r="AV54" s="1677"/>
      <c r="AW54" s="1780"/>
      <c r="AX54" s="1677"/>
      <c r="AY54" s="1677"/>
      <c r="AZ54" s="1677"/>
      <c r="BA54" s="1677"/>
      <c r="BB54" s="1681"/>
      <c r="BC54" s="2538"/>
      <c r="BE54" s="784"/>
      <c r="BF54" s="784"/>
      <c r="BG54" s="784"/>
      <c r="BH54" s="784"/>
      <c r="BI54" s="1439">
        <v>11</v>
      </c>
    </row>
    <row customHeight="1" ht="11.549999999999999">
      <c r="A55" s="1647" t="s">
        <v>336</v>
      </c>
      <c r="B55" s="1647"/>
      <c r="C55" s="1647"/>
      <c r="D55" s="1647"/>
      <c r="E55" s="2543"/>
      <c r="F55" s="2543"/>
      <c r="G55" s="2543"/>
      <c r="H55" s="2543"/>
      <c r="I55" s="2570"/>
      <c r="J55" s="2570"/>
      <c r="K55" s="2540"/>
      <c r="L55" s="1648"/>
      <c r="P55" s="2541"/>
      <c r="Q55" s="2541"/>
      <c r="R55" s="641"/>
      <c r="S55" s="2626"/>
      <c r="T55" s="2645"/>
      <c r="U55" s="584"/>
      <c r="V55" s="1677"/>
      <c r="W55" s="1780"/>
      <c r="X55" s="1677"/>
      <c r="Y55" s="1780"/>
      <c r="Z55" s="1677"/>
      <c r="AA55" s="1677"/>
      <c r="AB55" s="1677"/>
      <c r="AC55" s="1677"/>
      <c r="AD55" s="2470"/>
      <c r="AE55" s="2610"/>
      <c r="AF55" s="2489"/>
      <c r="AG55" s="2647"/>
      <c r="AH55" s="2391"/>
      <c r="AI55" s="578"/>
      <c r="AJ55" s="699"/>
      <c r="AK55" s="597" t="s">
        <v>595</v>
      </c>
      <c r="AL55" s="1677"/>
      <c r="AM55" s="1677"/>
      <c r="AN55" s="1677"/>
      <c r="AO55" s="1677"/>
      <c r="AP55" s="1677"/>
      <c r="AQ55" s="1677"/>
      <c r="AR55" s="1677"/>
      <c r="AS55" s="1677"/>
      <c r="AT55" s="1677"/>
      <c r="AU55" s="1780"/>
      <c r="AV55" s="1677"/>
      <c r="AW55" s="1780"/>
      <c r="AX55" s="1677"/>
      <c r="AY55" s="1677"/>
      <c r="AZ55" s="1677"/>
      <c r="BA55" s="1677"/>
      <c r="BB55" s="1681"/>
      <c r="BC55" s="2538"/>
      <c r="BE55" s="784"/>
      <c r="BF55" s="784"/>
      <c r="BG55" s="784"/>
      <c r="BH55" s="784"/>
      <c r="BI55" s="1439">
        <v>11</v>
      </c>
    </row>
    <row customHeight="1" ht="11.549999999999999">
      <c r="A56" s="1647" t="s">
        <v>336</v>
      </c>
      <c r="B56" s="1647" t="s">
        <v>337</v>
      </c>
      <c r="C56" s="1647" t="s">
        <v>338</v>
      </c>
      <c r="D56" s="1647" t="s">
        <v>601</v>
      </c>
      <c r="E56" s="2543"/>
      <c r="F56" s="2543"/>
      <c r="G56" s="2543"/>
      <c r="H56" s="2543"/>
      <c r="I56" s="2570"/>
      <c r="J56" s="2570"/>
      <c r="K56" s="2540"/>
      <c r="L56" s="1648"/>
      <c r="P56" s="2541"/>
      <c r="Q56" s="2541"/>
      <c r="R56" s="641"/>
      <c r="S56" s="2627"/>
      <c r="T56" s="2646"/>
      <c r="U56" s="584"/>
      <c r="V56" s="1677"/>
      <c r="W56" s="1678" t="str">
        <f>Z52&amp;"-"&amp;AB52</f>
        <v>-</v>
      </c>
      <c r="X56" s="1677"/>
      <c r="Y56" s="1678" t="str">
        <f>AB52&amp;"-"&amp;AD52</f>
        <v>-да</v>
      </c>
      <c r="Z56" s="1677"/>
      <c r="AA56" s="1677"/>
      <c r="AB56" s="1677"/>
      <c r="AC56" s="1677"/>
      <c r="AD56" s="2396"/>
      <c r="AE56" s="596"/>
      <c r="AF56" s="598"/>
      <c r="AG56" s="700" t="s">
        <v>577</v>
      </c>
      <c r="AH56" s="1677"/>
      <c r="AI56" s="1677"/>
      <c r="AJ56" s="1677"/>
      <c r="AK56" s="1677"/>
      <c r="AL56" s="1677"/>
      <c r="AM56" s="1677"/>
      <c r="AN56" s="1677"/>
      <c r="AO56" s="1677"/>
      <c r="AP56" s="1677"/>
      <c r="AQ56" s="1677"/>
      <c r="AR56" s="1677"/>
      <c r="AS56" s="1677"/>
      <c r="AT56" s="1677"/>
      <c r="AU56" s="1678" t="str">
        <f>AX52&amp;"-"&amp;AZ52</f>
        <v>-</v>
      </c>
      <c r="AV56" s="1677"/>
      <c r="AW56" s="1678" t="str">
        <f>AZ52&amp;"-"&amp;BB52</f>
        <v>-</v>
      </c>
      <c r="AX56" s="1677"/>
      <c r="AY56" s="1677"/>
      <c r="AZ56" s="1677"/>
      <c r="BA56" s="1677"/>
      <c r="BB56" s="1680" t="str">
        <f>BE52&amp;"-"&amp;BG52</f>
        <v>-</v>
      </c>
      <c r="BC56" s="2538"/>
      <c r="BE56" s="784"/>
      <c r="BF56" s="784" t="str">
        <f>IF(T56="","",T56)</f>
        <v/>
      </c>
      <c r="BG56" s="784"/>
      <c r="BH56" s="784"/>
      <c r="BI56" s="1439">
        <v>11</v>
      </c>
    </row>
    <row customHeight="1" ht="11.549999999999999">
      <c r="A57" s="1647" t="s">
        <v>336</v>
      </c>
      <c r="B57" s="1647" t="s">
        <v>337</v>
      </c>
      <c r="C57" s="1647" t="s">
        <v>338</v>
      </c>
      <c r="D57" s="1647" t="s">
        <v>601</v>
      </c>
      <c r="E57" s="2543"/>
      <c r="F57" s="2543"/>
      <c r="G57" s="2543"/>
      <c r="H57" s="2543"/>
      <c r="I57" s="2570"/>
      <c r="J57" s="2540"/>
      <c r="K57" s="1647"/>
      <c r="L57" s="1648"/>
      <c r="P57" s="2541"/>
      <c r="Q57" s="2541"/>
      <c r="R57" s="640"/>
      <c r="S57" s="1562"/>
      <c r="T57" s="571" t="s">
        <v>540</v>
      </c>
      <c r="U57" s="651"/>
      <c r="V57" s="651"/>
      <c r="W57" s="651"/>
      <c r="X57" s="651"/>
      <c r="Y57" s="651"/>
      <c r="Z57" s="651"/>
      <c r="AA57" s="651"/>
      <c r="AB57" s="651"/>
      <c r="AC57" s="608"/>
      <c r="AD57" s="1789"/>
      <c r="AE57" s="651"/>
      <c r="AF57" s="651"/>
      <c r="AG57" s="651"/>
      <c r="AH57" s="651"/>
      <c r="AI57" s="651"/>
      <c r="AJ57" s="651"/>
      <c r="AK57" s="651"/>
      <c r="AL57" s="651"/>
      <c r="AM57" s="651"/>
      <c r="AN57" s="651"/>
      <c r="AO57" s="651"/>
      <c r="AP57" s="651"/>
      <c r="AQ57" s="651"/>
      <c r="AR57" s="651"/>
      <c r="AS57" s="651"/>
      <c r="AT57" s="651"/>
      <c r="AU57" s="651"/>
      <c r="AV57" s="651"/>
      <c r="AW57" s="651"/>
      <c r="AX57" s="651"/>
      <c r="AY57" s="651"/>
      <c r="AZ57" s="651"/>
      <c r="BA57" s="651"/>
      <c r="BB57" s="608"/>
      <c r="BC57" s="2539"/>
      <c r="BE57" s="784"/>
      <c r="BF57" s="784" t="str">
        <f>IF(T57="","",T57)</f>
        <v>Добавить строку</v>
      </c>
      <c r="BG57" s="784"/>
      <c r="BH57" s="784"/>
      <c r="BI57" s="1439">
        <v>11</v>
      </c>
    </row>
    <row s="30621" customFormat="1" customHeight="1" ht="0">
      <c r="A58" s="1627" t="s">
        <v>336</v>
      </c>
      <c r="B58" s="1627" t="s">
        <v>337</v>
      </c>
      <c r="C58" s="1627" t="s">
        <v>338</v>
      </c>
      <c r="D58" s="1627" t="s">
        <v>601</v>
      </c>
      <c r="E58" s="2543"/>
      <c r="F58" s="2543"/>
      <c r="G58" s="2543"/>
      <c r="H58" s="2543"/>
      <c r="I58" s="2540"/>
      <c r="J58" s="1627"/>
      <c r="K58" s="1627"/>
      <c r="L58" s="1630"/>
      <c r="M58" s="794"/>
      <c r="N58" s="794"/>
      <c r="O58" s="794"/>
      <c r="P58" s="2541"/>
      <c r="Q58" s="1765"/>
      <c r="R58" s="640"/>
      <c r="S58" s="1670"/>
      <c r="T58" s="1671"/>
      <c r="U58" s="1672"/>
      <c r="V58" s="1672"/>
      <c r="W58" s="1672"/>
      <c r="X58" s="1672"/>
      <c r="Y58" s="1672"/>
      <c r="Z58" s="1672"/>
      <c r="AA58" s="1672"/>
      <c r="AB58" s="1672"/>
      <c r="AC58" s="1672"/>
      <c r="AD58" s="1672"/>
      <c r="AE58" s="1672"/>
      <c r="AF58" s="1672"/>
      <c r="AG58" s="1672"/>
      <c r="AH58" s="1672"/>
      <c r="AI58" s="1672"/>
      <c r="AJ58" s="1672"/>
      <c r="AK58" s="1672"/>
      <c r="AL58" s="1672"/>
      <c r="AM58" s="1672"/>
      <c r="AN58" s="1672"/>
      <c r="AO58" s="1672"/>
      <c r="AP58" s="1672"/>
      <c r="AQ58" s="1672"/>
      <c r="AR58" s="1672"/>
      <c r="AS58" s="1672"/>
      <c r="AT58" s="1672"/>
      <c r="AU58" s="1672"/>
      <c r="AV58" s="1672"/>
      <c r="AW58" s="1672"/>
      <c r="AX58" s="1672"/>
      <c r="AY58" s="1672"/>
      <c r="AZ58" s="1672"/>
      <c r="BA58" s="1672"/>
      <c r="BB58" s="1672"/>
      <c r="BC58" s="1673"/>
      <c r="BE58" s="784"/>
      <c r="BF58" s="784" t="str">
        <f>IF(T58="","",T58)</f>
        <v/>
      </c>
      <c r="BG58" s="784"/>
      <c r="BH58" s="784"/>
      <c r="BI58" s="795">
        <v>0</v>
      </c>
    </row>
    <row s="30621" customFormat="1" customHeight="1" ht="0">
      <c r="A59" s="1627" t="s">
        <v>336</v>
      </c>
      <c r="B59" s="1627" t="s">
        <v>337</v>
      </c>
      <c r="C59" s="1627" t="s">
        <v>338</v>
      </c>
      <c r="D59" s="1627" t="s">
        <v>601</v>
      </c>
      <c r="E59" s="2543"/>
      <c r="F59" s="2543"/>
      <c r="G59" s="2543"/>
      <c r="H59" s="2542"/>
      <c r="I59" s="1627"/>
      <c r="J59" s="1627"/>
      <c r="K59" s="1627"/>
      <c r="L59" s="1630"/>
      <c r="M59" s="1599"/>
      <c r="N59" s="1599"/>
      <c r="O59" s="802"/>
      <c r="P59" s="664"/>
      <c r="Q59" s="1628"/>
      <c r="R59" s="1685"/>
      <c r="S59" s="1670"/>
      <c r="T59" s="1671"/>
      <c r="U59" s="1672"/>
      <c r="V59" s="1672"/>
      <c r="W59" s="1672"/>
      <c r="X59" s="1672"/>
      <c r="Y59" s="1672"/>
      <c r="Z59" s="1672"/>
      <c r="AA59" s="1672"/>
      <c r="AB59" s="1672"/>
      <c r="AC59" s="1672"/>
      <c r="AD59" s="1672"/>
      <c r="AE59" s="1672"/>
      <c r="AF59" s="1672"/>
      <c r="AG59" s="1672"/>
      <c r="AH59" s="1672"/>
      <c r="AI59" s="1672"/>
      <c r="AJ59" s="1672"/>
      <c r="AK59" s="1672"/>
      <c r="AL59" s="1672"/>
      <c r="AM59" s="1672"/>
      <c r="AN59" s="1672"/>
      <c r="AO59" s="1672"/>
      <c r="AP59" s="1672"/>
      <c r="AQ59" s="1672"/>
      <c r="AR59" s="1672"/>
      <c r="AS59" s="1672"/>
      <c r="AT59" s="1672"/>
      <c r="AU59" s="1672"/>
      <c r="AV59" s="1672"/>
      <c r="AW59" s="1672"/>
      <c r="AX59" s="1672"/>
      <c r="AY59" s="1672"/>
      <c r="AZ59" s="1672"/>
      <c r="BA59" s="1672"/>
      <c r="BB59" s="1672"/>
      <c r="BC59" s="1673"/>
      <c r="BE59" s="784"/>
      <c r="BF59" s="784" t="str">
        <f>IF(T59="","",T59)</f>
        <v/>
      </c>
      <c r="BG59" s="784"/>
      <c r="BH59" s="784"/>
      <c r="BI59" s="795">
        <v>0</v>
      </c>
    </row>
    <row s="30621" customFormat="1" customHeight="1" ht="0">
      <c r="A60" s="1627" t="s">
        <v>336</v>
      </c>
      <c r="B60" s="1627" t="s">
        <v>337</v>
      </c>
      <c r="C60" s="1627" t="s">
        <v>338</v>
      </c>
      <c r="D60" s="1598"/>
      <c r="E60" s="2543"/>
      <c r="F60" s="2543"/>
      <c r="G60" s="2542"/>
      <c r="H60" s="1598"/>
      <c r="I60" s="1598"/>
      <c r="J60" s="1598"/>
      <c r="K60" s="1598"/>
      <c r="L60" s="1778"/>
      <c r="M60" s="1599"/>
      <c r="N60" s="1599"/>
      <c r="P60" s="1600"/>
      <c r="Q60" s="1601"/>
      <c r="R60" s="1600"/>
      <c r="S60" s="1606"/>
      <c r="T60" s="1609"/>
      <c r="U60" s="1608"/>
      <c r="V60" s="1608"/>
      <c r="W60" s="1608"/>
      <c r="X60" s="1608"/>
      <c r="Y60" s="1608"/>
      <c r="Z60" s="1608"/>
      <c r="AA60" s="1608"/>
      <c r="AB60" s="1608"/>
      <c r="AC60" s="1608"/>
      <c r="AD60" s="1608"/>
      <c r="AE60" s="1608"/>
      <c r="AF60" s="1608"/>
      <c r="AG60" s="1608"/>
      <c r="AH60" s="1608"/>
      <c r="AI60" s="1608"/>
      <c r="AJ60" s="1608"/>
      <c r="AK60" s="1608"/>
      <c r="AL60" s="1608"/>
      <c r="AM60" s="1608"/>
      <c r="AN60" s="1608"/>
      <c r="AO60" s="1608"/>
      <c r="AP60" s="1608"/>
      <c r="AQ60" s="1608"/>
      <c r="AR60" s="1608"/>
      <c r="AS60" s="1608"/>
      <c r="AT60" s="1608"/>
      <c r="AU60" s="1608"/>
      <c r="AV60" s="1608"/>
      <c r="AW60" s="1608"/>
      <c r="AX60" s="1608"/>
      <c r="AY60" s="1608"/>
      <c r="AZ60" s="1608"/>
      <c r="BA60" s="1608"/>
      <c r="BB60" s="1608"/>
      <c r="BC60" s="1608"/>
      <c r="BE60" s="1073"/>
      <c r="BF60" s="1073" t="str">
        <f>IF(T60="","",T60)</f>
        <v/>
      </c>
      <c r="BG60" s="1073"/>
      <c r="BH60" s="1073"/>
      <c r="BI60" s="802">
        <v>0</v>
      </c>
    </row>
    <row s="30621" customFormat="1" customHeight="1" ht="0">
      <c r="A61" s="1627" t="s">
        <v>336</v>
      </c>
      <c r="B61" s="1627" t="s">
        <v>337</v>
      </c>
      <c r="C61" s="1598"/>
      <c r="D61" s="1598"/>
      <c r="E61" s="2543"/>
      <c r="F61" s="2542"/>
      <c r="G61" s="1598"/>
      <c r="H61" s="1598"/>
      <c r="I61" s="1598"/>
      <c r="J61" s="1598"/>
      <c r="K61" s="1598"/>
      <c r="L61" s="1778"/>
      <c r="M61" s="1605"/>
      <c r="N61" s="1605"/>
      <c r="P61" s="1600"/>
      <c r="Q61" s="1601"/>
      <c r="R61" s="1600"/>
      <c r="S61" s="1606"/>
      <c r="T61" s="1609" t="s">
        <v>214</v>
      </c>
      <c r="U61" s="1608"/>
      <c r="V61" s="1608"/>
      <c r="W61" s="1608"/>
      <c r="X61" s="1608"/>
      <c r="Y61" s="1608"/>
      <c r="Z61" s="1608"/>
      <c r="AA61" s="1608"/>
      <c r="AB61" s="1608"/>
      <c r="AC61" s="1608"/>
      <c r="AD61" s="1608"/>
      <c r="AE61" s="1608"/>
      <c r="AF61" s="1608"/>
      <c r="AG61" s="1608"/>
      <c r="AH61" s="1608"/>
      <c r="AI61" s="1608"/>
      <c r="AJ61" s="1608"/>
      <c r="AK61" s="1608"/>
      <c r="AL61" s="1608"/>
      <c r="AM61" s="1608"/>
      <c r="AN61" s="1608"/>
      <c r="AO61" s="1608"/>
      <c r="AP61" s="1608"/>
      <c r="AQ61" s="1608"/>
      <c r="AR61" s="1608"/>
      <c r="AS61" s="1608"/>
      <c r="AT61" s="1608"/>
      <c r="AU61" s="1608"/>
      <c r="AV61" s="1608"/>
      <c r="AW61" s="1608"/>
      <c r="AX61" s="1608"/>
      <c r="AY61" s="1608"/>
      <c r="AZ61" s="1608"/>
      <c r="BA61" s="1608"/>
      <c r="BB61" s="1608"/>
      <c r="BC61" s="1608"/>
      <c r="BE61" s="1073"/>
      <c r="BF61" s="1073" t="str">
        <f>IF(T61="","",T61)</f>
        <v>Добавить централизованную систему для дифференциации</v>
      </c>
      <c r="BG61" s="1073"/>
      <c r="BH61" s="1073"/>
      <c r="BI61" s="802">
        <v>0</v>
      </c>
    </row>
    <row s="30621" customFormat="1" customHeight="1" ht="0">
      <c r="A62" s="1627" t="s">
        <v>336</v>
      </c>
      <c r="B62" s="1627"/>
      <c r="C62" s="1627"/>
      <c r="D62" s="1627"/>
      <c r="E62" s="2542"/>
      <c r="F62" s="1627"/>
      <c r="G62" s="1627"/>
      <c r="H62" s="1627"/>
      <c r="I62" s="1627"/>
      <c r="J62" s="1627"/>
      <c r="K62" s="1627"/>
      <c r="L62" s="1630"/>
      <c r="M62" s="1605"/>
      <c r="N62" s="1605"/>
      <c r="O62" s="802"/>
      <c r="P62" s="664"/>
      <c r="Q62" s="1628"/>
      <c r="R62" s="664"/>
      <c r="S62" s="1606"/>
      <c r="T62" s="1609" t="s">
        <v>230</v>
      </c>
      <c r="U62" s="1608"/>
      <c r="V62" s="1608"/>
      <c r="W62" s="1608"/>
      <c r="X62" s="1608"/>
      <c r="Y62" s="1608"/>
      <c r="Z62" s="1608"/>
      <c r="AA62" s="1608"/>
      <c r="AB62" s="1608"/>
      <c r="AC62" s="1608"/>
      <c r="AD62" s="1608"/>
      <c r="AE62" s="1608"/>
      <c r="AF62" s="1608"/>
      <c r="AG62" s="1608"/>
      <c r="AH62" s="1608"/>
      <c r="AI62" s="1608"/>
      <c r="AJ62" s="1608"/>
      <c r="AK62" s="1608"/>
      <c r="AL62" s="1608"/>
      <c r="AM62" s="1608"/>
      <c r="AN62" s="1608"/>
      <c r="AO62" s="1608"/>
      <c r="AP62" s="1608"/>
      <c r="AQ62" s="1608"/>
      <c r="AR62" s="1608"/>
      <c r="AS62" s="1608"/>
      <c r="AT62" s="1608"/>
      <c r="AU62" s="1608"/>
      <c r="AV62" s="1608"/>
      <c r="AW62" s="1608"/>
      <c r="AX62" s="1608"/>
      <c r="AY62" s="1608"/>
      <c r="AZ62" s="1608"/>
      <c r="BA62" s="1608"/>
      <c r="BB62" s="1608"/>
      <c r="BC62" s="1608"/>
      <c r="BE62" s="784"/>
      <c r="BF62" s="784" t="str">
        <f>IF(T62="","",T62)</f>
        <v>Добавить территорию для дифференциации</v>
      </c>
      <c r="BG62" s="784"/>
      <c r="BH62" s="784"/>
      <c r="BI62" s="795">
        <v>0</v>
      </c>
    </row>
    <row s="30621" customFormat="1" customHeight="1" ht="0">
      <c r="A63" s="1598"/>
      <c r="B63" s="1598"/>
      <c r="C63" s="1598"/>
      <c r="D63" s="1598"/>
      <c r="E63" s="1627"/>
      <c r="F63" s="1598"/>
      <c r="G63" s="1598"/>
      <c r="H63" s="1598"/>
      <c r="I63" s="1598"/>
      <c r="J63" s="1598"/>
      <c r="K63" s="1598"/>
      <c r="L63" s="1778"/>
      <c r="M63" s="1605"/>
      <c r="N63" s="1605"/>
      <c r="P63" s="1600"/>
      <c r="Q63" s="1601"/>
      <c r="R63" s="1600"/>
      <c r="S63" s="1606"/>
      <c r="T63" s="1609" t="s">
        <v>239</v>
      </c>
      <c r="U63" s="1608"/>
      <c r="V63" s="1608"/>
      <c r="W63" s="1608"/>
      <c r="X63" s="1608"/>
      <c r="Y63" s="1608"/>
      <c r="Z63" s="1608"/>
      <c r="AA63" s="1608"/>
      <c r="AB63" s="1608"/>
      <c r="AC63" s="1608"/>
      <c r="AD63" s="1608"/>
      <c r="AE63" s="1608"/>
      <c r="AF63" s="1608"/>
      <c r="AG63" s="1608"/>
      <c r="AH63" s="1608"/>
      <c r="AI63" s="1608"/>
      <c r="AJ63" s="1608"/>
      <c r="AK63" s="1608"/>
      <c r="AL63" s="1608"/>
      <c r="AM63" s="1608"/>
      <c r="AN63" s="1608"/>
      <c r="AO63" s="1608"/>
      <c r="AP63" s="1608"/>
      <c r="AQ63" s="1608"/>
      <c r="AR63" s="1608"/>
      <c r="AS63" s="1608"/>
      <c r="AT63" s="1608"/>
      <c r="AU63" s="1608"/>
      <c r="AV63" s="1608"/>
      <c r="AW63" s="1608"/>
      <c r="AX63" s="1608"/>
      <c r="AY63" s="1608"/>
      <c r="AZ63" s="1608"/>
      <c r="BA63" s="1608"/>
      <c r="BB63" s="1608"/>
      <c r="BC63" s="1608"/>
      <c r="BE63" s="1073"/>
      <c r="BF63" s="1073" t="str">
        <f>IF(T63="","",T63)</f>
        <v>Добавить наименование тарифа</v>
      </c>
      <c r="BG63" s="1073"/>
      <c r="BH63" s="1073"/>
      <c r="BI63" s="802">
        <v>0</v>
      </c>
    </row>
    <row customHeight="1" ht="11.549999999999999">
      <c r="M64" s="1444"/>
      <c r="N64" s="1444"/>
      <c r="O64" s="821"/>
      <c r="P64" s="1444"/>
      <c r="Q64" s="1444"/>
      <c r="R64" s="1439"/>
      <c r="S64" s="1439"/>
      <c r="BD64" s="1439"/>
      <c r="BE64" s="1439"/>
      <c r="BF64" s="1439"/>
      <c r="BG64" s="1439"/>
      <c r="BH64" s="1439"/>
      <c r="BI64" s="1439">
        <v>11</v>
      </c>
    </row>
    <row customHeight="1" ht="14.699999999999998">
      <c r="O65" s="821"/>
      <c r="S65" s="1537"/>
      <c r="T65" s="2569"/>
      <c r="U65" s="2569"/>
      <c r="V65" s="2569"/>
      <c r="W65" s="2569"/>
      <c r="X65" s="2569"/>
      <c r="Y65" s="2569"/>
      <c r="Z65" s="2569"/>
      <c r="AA65" s="2569"/>
      <c r="AB65" s="2569"/>
      <c r="AC65" s="2569"/>
      <c r="AD65" s="2569"/>
      <c r="AE65" s="2569"/>
      <c r="AF65" s="2569"/>
      <c r="AG65" s="2569"/>
      <c r="AH65" s="2569"/>
      <c r="AI65" s="2569"/>
      <c r="AJ65" s="2569"/>
      <c r="AK65" s="2569"/>
      <c r="AL65" s="2569"/>
      <c r="AM65" s="2569"/>
      <c r="AN65" s="2569"/>
      <c r="AO65" s="2569"/>
      <c r="AP65" s="2569"/>
      <c r="AQ65" s="2569"/>
      <c r="AR65" s="2569"/>
      <c r="AS65" s="2569"/>
      <c r="AT65" s="2569"/>
      <c r="AU65" s="2569"/>
      <c r="AV65" s="2569"/>
      <c r="AW65" s="2569"/>
      <c r="AX65" s="2569"/>
      <c r="AY65" s="2569"/>
      <c r="AZ65" s="2569"/>
      <c r="BA65" s="2569"/>
      <c r="BB65" s="2569"/>
      <c r="BC65" s="2569"/>
      <c r="BI65" s="1439">
        <v>14</v>
      </c>
    </row>
    <row customHeight="1" ht="14.699999999999998">
      <c r="O66" s="821"/>
      <c r="T66" s="1764"/>
      <c r="U66" s="1764"/>
      <c r="V66" s="1764"/>
      <c r="W66" s="1764"/>
      <c r="X66" s="1764"/>
      <c r="Y66" s="1764"/>
      <c r="Z66" s="1764"/>
      <c r="AA66" s="1764"/>
      <c r="AB66" s="1764"/>
      <c r="AC66" s="1764"/>
      <c r="AD66" s="1764"/>
      <c r="AE66" s="1764"/>
      <c r="AF66" s="1764"/>
      <c r="AG66" s="1764"/>
      <c r="AH66" s="1764"/>
      <c r="AI66" s="1764"/>
      <c r="AJ66" s="1764"/>
      <c r="AK66" s="1764"/>
      <c r="AL66" s="1764"/>
      <c r="AM66" s="1764"/>
      <c r="AN66" s="1764"/>
      <c r="AO66" s="1764"/>
      <c r="AP66" s="1764"/>
      <c r="AQ66" s="1764"/>
      <c r="AR66" s="1764"/>
      <c r="AS66" s="1764"/>
      <c r="AT66" s="1764"/>
      <c r="AU66" s="1764"/>
      <c r="AV66" s="1764"/>
      <c r="AW66" s="1764"/>
      <c r="AX66" s="1764"/>
      <c r="AY66" s="1764"/>
      <c r="AZ66" s="1764"/>
      <c r="BA66" s="1764"/>
      <c r="BB66" s="1764"/>
      <c r="BC66" s="1764"/>
      <c r="BI66" s="1439">
        <v>14</v>
      </c>
    </row>
    <row customHeight="1" ht="14.699999999999998">
      <c r="O67" s="821"/>
      <c r="S67" s="1537"/>
      <c r="T67" s="2569"/>
      <c r="U67" s="2569"/>
      <c r="V67" s="2569"/>
      <c r="W67" s="2569"/>
      <c r="X67" s="2569"/>
      <c r="Y67" s="2569"/>
      <c r="Z67" s="2569"/>
      <c r="AA67" s="2569"/>
      <c r="AB67" s="2569"/>
      <c r="AC67" s="2569"/>
      <c r="AD67" s="2569"/>
      <c r="AE67" s="2569"/>
      <c r="AF67" s="2569"/>
      <c r="AG67" s="2569"/>
      <c r="AH67" s="2569"/>
      <c r="AI67" s="2569"/>
      <c r="AJ67" s="2569"/>
      <c r="AK67" s="2569"/>
      <c r="AL67" s="2569"/>
      <c r="AM67" s="2569"/>
      <c r="AN67" s="2569"/>
      <c r="AO67" s="2569"/>
      <c r="AP67" s="2569"/>
      <c r="AQ67" s="2569"/>
      <c r="AR67" s="2569"/>
      <c r="AS67" s="2569"/>
      <c r="AT67" s="2569"/>
      <c r="AU67" s="2569"/>
      <c r="AV67" s="2569"/>
      <c r="AW67" s="2569"/>
      <c r="AX67" s="2569"/>
      <c r="AY67" s="2569"/>
      <c r="AZ67" s="2569"/>
      <c r="BA67" s="2569"/>
      <c r="BB67" s="2569"/>
      <c r="BC67" s="2569"/>
      <c r="BI67" s="1439">
        <v>14</v>
      </c>
    </row>
    <row customHeight="1" ht="14.699999999999998">
      <c r="O68" s="821"/>
      <c r="BI68" s="1439">
        <v>14</v>
      </c>
    </row>
    <row customHeight="1" ht="14.25" hidden="1">
      <c r="A69" s="1444" t="s">
        <v>85</v>
      </c>
      <c r="B69" s="1444">
        <v>0</v>
      </c>
      <c r="C69" s="1444">
        <v>0</v>
      </c>
      <c r="D69" s="1444">
        <v>0</v>
      </c>
      <c r="E69" s="1444">
        <v>0</v>
      </c>
      <c r="F69" s="1444">
        <v>0</v>
      </c>
      <c r="G69" s="1444">
        <v>0</v>
      </c>
      <c r="H69" s="1444">
        <v>0</v>
      </c>
      <c r="I69" s="1444">
        <v>0</v>
      </c>
      <c r="J69" s="1444">
        <v>0</v>
      </c>
      <c r="K69" s="1444">
        <v>0</v>
      </c>
      <c r="L69" s="1762">
        <v>0</v>
      </c>
      <c r="M69" s="1646">
        <v>0</v>
      </c>
      <c r="N69" s="1646">
        <v>0</v>
      </c>
      <c r="O69" s="1646">
        <v>0</v>
      </c>
      <c r="P69" s="1646">
        <v>0</v>
      </c>
      <c r="Q69" s="1655">
        <v>0</v>
      </c>
      <c r="R69" s="628">
        <v>3</v>
      </c>
      <c r="S69" s="865">
        <v>12</v>
      </c>
      <c r="T69" s="1439">
        <v>31</v>
      </c>
      <c r="U69" s="1439">
        <v>0</v>
      </c>
      <c r="V69" s="1439">
        <v>0</v>
      </c>
      <c r="W69" s="1439">
        <v>0</v>
      </c>
      <c r="X69" s="1439">
        <v>0</v>
      </c>
      <c r="Y69" s="1439">
        <v>0</v>
      </c>
      <c r="Z69" s="1439">
        <v>0</v>
      </c>
      <c r="AA69" s="1439">
        <v>0</v>
      </c>
      <c r="AB69" s="1439">
        <v>0</v>
      </c>
      <c r="AC69" s="1439">
        <v>0</v>
      </c>
      <c r="AD69" s="1439">
        <v>3</v>
      </c>
      <c r="AE69" s="1439">
        <v>3</v>
      </c>
      <c r="AF69" s="1439">
        <v>3</v>
      </c>
      <c r="AG69" s="1439">
        <v>24</v>
      </c>
      <c r="AH69" s="1439">
        <v>3</v>
      </c>
      <c r="AI69" s="1439">
        <v>3</v>
      </c>
      <c r="AJ69" s="1439">
        <v>3</v>
      </c>
      <c r="AK69" s="1439">
        <v>24</v>
      </c>
      <c r="AL69" s="1439">
        <v>3</v>
      </c>
      <c r="AM69" s="1439">
        <v>3</v>
      </c>
      <c r="AN69" s="1439">
        <v>3</v>
      </c>
      <c r="AO69" s="1439">
        <v>18</v>
      </c>
      <c r="AP69" s="1439">
        <v>3</v>
      </c>
      <c r="AQ69" s="1439">
        <v>3</v>
      </c>
      <c r="AR69" s="1439">
        <v>3</v>
      </c>
      <c r="AS69" s="1439">
        <v>18</v>
      </c>
      <c r="AT69" s="1439">
        <v>21</v>
      </c>
      <c r="AU69" s="1439">
        <v>21</v>
      </c>
      <c r="AV69" s="1439">
        <v>21</v>
      </c>
      <c r="AW69" s="1439">
        <v>21</v>
      </c>
      <c r="AX69" s="1439">
        <v>11</v>
      </c>
      <c r="AY69" s="1439">
        <v>3</v>
      </c>
      <c r="AZ69" s="1439">
        <v>11</v>
      </c>
      <c r="BA69" s="1439">
        <v>0</v>
      </c>
      <c r="BB69" s="1439">
        <v>4</v>
      </c>
      <c r="BC69" s="1439">
        <v>115</v>
      </c>
      <c r="BD69" s="795">
        <v>10</v>
      </c>
      <c r="BE69" s="795">
        <v>10</v>
      </c>
      <c r="BF69" s="795">
        <v>10</v>
      </c>
      <c r="BG69" s="795">
        <v>10</v>
      </c>
      <c r="BH69" s="795">
        <v>10</v>
      </c>
      <c r="BI69" s="1439">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C90C5F-D4CF-1709-7AFB-986B9E4E0E08}" mc:Ignorable="x14ac xr xr2 xr3">
  <sheetPr>
    <tabColor rgb="FFCCCCFF"/>
    <pageSetUpPr fitToPage="1"/>
  </sheetPr>
  <dimension ref="A1:AC45"/>
  <sheetViews>
    <sheetView showGridLines="0" zoomScale="90" workbookViewId="0">
      <pane xSplit="6" ySplit="11" topLeftCell="G12" activePane="bottomRight" state="frozen"/>
      <selection pane="bottomLeft" activeCell="A12" sqref="A12"/>
      <selection pane="topRight" activeCell="G1" sqref="G1"/>
      <selection pane="bottomRight" activeCell="G28" sqref="G28"/>
    </sheetView>
  </sheetViews>
  <sheetFormatPr defaultColWidth="9.140625" customHeight="1" defaultRowHeight="14.25"/>
  <cols>
    <col min="1" max="1" style="30541" width="8.00390625" hidden="1" customWidth="1"/>
    <col min="2" max="2" style="30620" width="6.00390625" hidden="1" customWidth="1"/>
    <col min="3" max="3" style="30541" width="3.00390625" customWidth="1"/>
    <col min="4" max="4" style="30726" width="3.00390625" customWidth="1"/>
    <col min="5" max="5" style="30541" width="6.00390625" customWidth="1"/>
    <col min="6" max="6" style="30541" width="2.7109375" hidden="1" customWidth="1"/>
    <col min="7" max="7" style="30541" width="46.7109375" customWidth="1"/>
    <col min="8" max="8" style="30541" width="42.00390625" customWidth="1"/>
    <col min="9" max="9" style="30541" width="14.00390625" customWidth="1"/>
    <col min="10" max="10" style="30727" width="3.00390625" customWidth="1"/>
    <col min="11" max="13" style="30727" width="9.140625" hidden="1"/>
    <col min="14" max="14" style="30727" width="25.7109375" hidden="1" customWidth="1"/>
    <col min="15" max="15" style="30727" width="14.421875" hidden="1" customWidth="1"/>
    <col min="16" max="19" style="30728" width="9.140625" hidden="1"/>
    <col min="20" max="27" style="30541" width="9.140625" hidden="1"/>
    <col min="28" max="28" style="30541" width="8.00390625" customWidth="1"/>
    <col min="29" max="29" style="30541" width="9.140625" hidden="1"/>
  </cols>
  <sheetData>
    <row s="30621" customFormat="1" customHeight="1" ht="5.25" hidden="1">
      <c r="A1" s="780"/>
      <c r="B1" s="795"/>
      <c r="C1" s="795"/>
      <c r="D1" s="505"/>
      <c r="F1" s="795"/>
      <c r="G1" s="531" t="s">
        <v>86</v>
      </c>
      <c r="H1" s="778" t="s">
        <v>87</v>
      </c>
      <c r="I1" s="511" t="s">
        <v>88</v>
      </c>
      <c r="J1" s="531" t="s">
        <v>86</v>
      </c>
      <c r="K1" s="531"/>
      <c r="L1" s="531"/>
      <c r="M1" s="531"/>
      <c r="N1" s="532"/>
      <c r="O1" s="531"/>
      <c r="P1" s="531"/>
      <c r="Q1" s="531"/>
      <c r="R1" s="531"/>
      <c r="S1" s="531"/>
      <c r="T1" s="511"/>
      <c r="U1" s="511"/>
      <c r="V1" s="511"/>
      <c r="W1" s="511"/>
      <c r="X1" s="511"/>
      <c r="Y1" s="511"/>
      <c r="Z1" s="511"/>
      <c r="AA1" s="511"/>
      <c r="AB1" s="511"/>
      <c r="AC1" s="436" t="s">
        <v>14</v>
      </c>
    </row>
    <row s="30630" customFormat="1" customHeight="1" ht="11.25">
      <c r="A2" s="1115"/>
      <c r="B2" s="512"/>
      <c r="C2" s="512"/>
      <c r="D2" s="513"/>
      <c r="E2" s="512"/>
      <c r="F2" s="512"/>
      <c r="G2" s="512"/>
      <c r="H2" s="512"/>
      <c r="I2" s="512"/>
      <c r="J2" s="531"/>
      <c r="K2" s="531"/>
      <c r="L2" s="531"/>
      <c r="M2" s="531"/>
      <c r="N2" s="532"/>
      <c r="O2" s="531"/>
      <c r="P2" s="514"/>
      <c r="Q2" s="514"/>
      <c r="R2" s="514"/>
      <c r="S2" s="514"/>
      <c r="T2" s="513"/>
      <c r="U2" s="513"/>
      <c r="V2" s="513"/>
      <c r="W2" s="513"/>
      <c r="X2" s="513"/>
      <c r="Y2" s="513"/>
      <c r="Z2" s="513"/>
      <c r="AA2" s="513"/>
      <c r="AB2" s="513"/>
      <c r="AC2" s="515">
        <v>11</v>
      </c>
    </row>
    <row s="30636" customFormat="1" customHeight="1" ht="3">
      <c r="A3" s="1042"/>
      <c r="B3" s="701"/>
      <c r="C3" s="1042"/>
      <c r="D3" s="448"/>
      <c r="E3" s="387"/>
      <c r="F3" s="793"/>
      <c r="G3" s="387"/>
      <c r="H3" s="387"/>
      <c r="I3" s="450"/>
      <c r="J3" s="531"/>
      <c r="K3" s="439"/>
      <c r="L3" s="439"/>
      <c r="M3" s="439"/>
      <c r="N3" s="510"/>
      <c r="O3" s="439"/>
      <c r="P3" s="509"/>
      <c r="Q3" s="509"/>
      <c r="R3" s="509"/>
      <c r="S3" s="509"/>
      <c r="AC3" s="400">
        <v>3</v>
      </c>
    </row>
    <row s="30636" customFormat="1" customHeight="1" ht="27.299999999999997">
      <c r="A4" s="1042"/>
      <c r="B4" s="701"/>
      <c r="C4" s="1042"/>
      <c r="D4" s="448"/>
      <c r="E4" s="2384" t="str">
        <f>NameTemplatesInListMO</f>
        <v>Перечень муниципальных районов и муниципальных образований (территорий действия тарифа)</v>
      </c>
      <c r="F4" s="2384"/>
      <c r="G4" s="2384"/>
      <c r="H4" s="2384"/>
      <c r="I4" s="2384"/>
      <c r="J4" s="531"/>
      <c r="K4" s="439"/>
      <c r="L4" s="439"/>
      <c r="M4" s="439"/>
      <c r="N4" s="510"/>
      <c r="O4" s="439"/>
      <c r="P4" s="509"/>
      <c r="Q4" s="509"/>
      <c r="R4" s="509"/>
      <c r="S4" s="509"/>
      <c r="AC4" s="400">
        <v>26</v>
      </c>
    </row>
    <row s="30636" customFormat="1" customHeight="1" ht="3">
      <c r="A5" s="1042"/>
      <c r="B5" s="701"/>
      <c r="C5" s="1042"/>
      <c r="D5" s="448"/>
      <c r="E5" s="387"/>
      <c r="F5" s="793"/>
      <c r="G5" s="451"/>
      <c r="H5" s="451"/>
      <c r="I5" s="452"/>
      <c r="J5" s="439"/>
      <c r="K5" s="439"/>
      <c r="L5" s="439"/>
      <c r="M5" s="439"/>
      <c r="N5" s="510"/>
      <c r="O5" s="439"/>
      <c r="P5" s="509"/>
      <c r="Q5" s="509"/>
      <c r="R5" s="509"/>
      <c r="S5" s="509"/>
      <c r="AC5" s="400">
        <v>3</v>
      </c>
    </row>
    <row s="30636" customFormat="1" customHeight="1" ht="20.25" hidden="1">
      <c r="A6" s="1121"/>
      <c r="B6" s="1117"/>
      <c r="C6" s="453"/>
      <c r="D6" s="448"/>
      <c r="E6" s="1063"/>
      <c r="F6" s="1063"/>
      <c r="G6" s="451"/>
      <c r="H6" s="454"/>
      <c r="I6" s="454"/>
      <c r="J6" s="439"/>
      <c r="K6" s="439"/>
      <c r="L6" s="439"/>
      <c r="M6" s="439"/>
      <c r="N6" s="510"/>
      <c r="O6" s="439"/>
      <c r="P6" s="509"/>
      <c r="Q6" s="509"/>
      <c r="R6" s="509"/>
      <c r="S6" s="509"/>
      <c r="AC6" s="400">
        <v>0</v>
      </c>
    </row>
    <row customHeight="1" ht="25.5" hidden="1">
      <c r="AC7" s="367">
        <v>0</v>
      </c>
    </row>
    <row s="30636" customFormat="1" customHeight="1" ht="14.699999999999998">
      <c r="A8" s="1042"/>
      <c r="B8" s="701"/>
      <c r="C8" s="1042"/>
      <c r="D8" s="448"/>
      <c r="E8" s="2385" t="s">
        <v>89</v>
      </c>
      <c r="F8" s="2386"/>
      <c r="G8" s="2387"/>
      <c r="H8" s="2388" t="s">
        <v>90</v>
      </c>
      <c r="I8" s="2388"/>
      <c r="J8" s="439"/>
      <c r="K8" s="439"/>
      <c r="L8" s="439"/>
      <c r="M8" s="439"/>
      <c r="N8" s="510"/>
      <c r="O8" s="439"/>
      <c r="P8" s="509"/>
      <c r="Q8" s="509"/>
      <c r="R8" s="509"/>
      <c r="S8" s="509"/>
      <c r="AC8" s="400">
        <v>14</v>
      </c>
    </row>
    <row s="30636" customFormat="1" customHeight="1" ht="21">
      <c r="A9" s="1042"/>
      <c r="B9" s="701"/>
      <c r="C9" s="1042"/>
      <c r="D9" s="448"/>
      <c r="E9" s="1061" t="s">
        <v>91</v>
      </c>
      <c r="F9" s="1061"/>
      <c r="G9" s="456" t="s">
        <v>92</v>
      </c>
      <c r="H9" s="456" t="s">
        <v>92</v>
      </c>
      <c r="I9" s="456" t="s">
        <v>88</v>
      </c>
      <c r="J9" s="439"/>
      <c r="K9" s="439"/>
      <c r="L9" s="439"/>
      <c r="M9" s="439"/>
      <c r="N9" s="510"/>
      <c r="O9" s="439"/>
      <c r="P9" s="509"/>
      <c r="Q9" s="509"/>
      <c r="R9" s="509"/>
      <c r="S9" s="509"/>
      <c r="AC9" s="400">
        <v>20</v>
      </c>
    </row>
    <row customHeight="1" ht="11.549999999999999">
      <c r="D10" s="460"/>
      <c r="E10" s="1062" t="s">
        <v>93</v>
      </c>
      <c r="F10" s="1062"/>
      <c r="G10" s="507" t="s">
        <v>94</v>
      </c>
      <c r="H10" s="507" t="s">
        <v>95</v>
      </c>
      <c r="I10" s="507" t="s">
        <v>96</v>
      </c>
      <c r="J10" s="470"/>
      <c r="K10" s="470"/>
      <c r="L10" s="470"/>
      <c r="M10" s="470"/>
      <c r="N10" s="455"/>
      <c r="O10" s="470"/>
      <c r="P10" s="508"/>
      <c r="Q10" s="508"/>
      <c r="R10" s="508"/>
      <c r="S10" s="508"/>
      <c r="AC10" s="367">
        <v>11</v>
      </c>
    </row>
    <row s="30636" customFormat="1" customHeight="1" ht="1.05">
      <c r="A11" s="1042"/>
      <c r="B11" s="701"/>
      <c r="C11" s="1042"/>
      <c r="D11" s="448"/>
      <c r="E11" s="1074"/>
      <c r="F11" s="1074"/>
      <c r="G11" s="457"/>
      <c r="H11" s="457"/>
      <c r="I11" s="459"/>
      <c r="J11" s="533" t="s">
        <v>97</v>
      </c>
      <c r="K11" s="439"/>
      <c r="L11" s="439"/>
      <c r="M11" s="439" t="s">
        <v>98</v>
      </c>
      <c r="N11" s="510" t="s">
        <v>99</v>
      </c>
      <c r="O11" s="439" t="s">
        <v>100</v>
      </c>
      <c r="P11" s="509"/>
      <c r="Q11" s="509"/>
      <c r="R11" s="509"/>
      <c r="S11" s="509"/>
      <c r="AC11" s="400">
        <v>1</v>
      </c>
    </row>
    <row s="30636" customFormat="1" customHeight="1" ht="15">
      <c r="A12" s="2383">
        <v>1</v>
      </c>
      <c r="B12" s="701"/>
      <c r="C12" s="1042"/>
      <c r="D12" s="1066"/>
      <c r="E12" s="503">
        <f>A12</f>
        <v>1</v>
      </c>
      <c r="F12" s="1086" t="s">
        <v>101</v>
      </c>
      <c r="G12" s="824" t="str">
        <f>"Территория "&amp;E12</f>
        <v>Территория 1</v>
      </c>
      <c r="H12" s="1076"/>
      <c r="I12" s="1076"/>
      <c r="J12" s="1073"/>
      <c r="K12" s="784"/>
      <c r="L12" s="784"/>
      <c r="M12" s="784"/>
      <c r="N12" s="510"/>
      <c r="O12" s="784"/>
      <c r="P12" s="509"/>
      <c r="Q12" s="509"/>
      <c r="R12" s="509"/>
      <c r="S12" s="509"/>
      <c r="AC12" s="791">
        <v>14</v>
      </c>
    </row>
    <row s="30681" customFormat="1" customHeight="1" ht="15.75">
      <c r="A13" s="2383"/>
      <c r="B13" s="701">
        <v>1</v>
      </c>
      <c r="C13" s="701"/>
      <c r="D13" s="1084"/>
      <c r="E13" s="1064" t="str">
        <f>A12&amp;"."&amp;B13</f>
        <v>1.1</v>
      </c>
      <c r="F13" s="1079" t="s">
        <v>102</v>
      </c>
      <c r="G13" s="1077" t="s">
        <v>103</v>
      </c>
      <c r="H13" s="1077" t="s">
        <v>103</v>
      </c>
      <c r="I13" s="1075" t="s">
        <v>104</v>
      </c>
      <c r="J13" s="784">
        <f>MERGEVALUE(G13)</f>
      </c>
      <c r="K13" s="795"/>
      <c r="L13" s="795"/>
      <c r="M13" s="784" t="str">
        <f t="array" ref="M13:M13">IF(ISERROR(MATCH(MID(N13,1,250),MID(note_ter,1,250),0)),"n","y")</f>
        <v>n</v>
      </c>
      <c r="N13" s="795"/>
      <c r="O13" s="784" t="str">
        <f>H13&amp;"("&amp;I13&amp;")"</f>
        <v>Город Хабаровск(08701000)</v>
      </c>
      <c r="P13" s="701"/>
      <c r="Q13" s="701"/>
      <c r="R13" s="704"/>
      <c r="S13" s="701"/>
      <c r="T13" s="701"/>
      <c r="U13" s="701"/>
      <c r="V13" s="706"/>
      <c r="W13" s="706"/>
      <c r="X13" s="703"/>
      <c r="Y13" s="703"/>
      <c r="Z13" s="703"/>
      <c r="AA13" s="703"/>
      <c r="AB13" s="703"/>
      <c r="AC13" s="707">
        <v>15</v>
      </c>
    </row>
    <row customHeight="1" ht="15">
      <c r="A14" s="2166"/>
      <c r="B14" s="1650" t="s">
        <v>105</v>
      </c>
      <c r="C14" s="1650"/>
      <c r="D14" s="1084" t="s">
        <v>106</v>
      </c>
      <c r="E14" s="2162" t="str">
        <f>A12&amp;"."&amp;B14</f>
        <v>1.2</v>
      </c>
      <c r="F14" s="2167" t="s">
        <v>107</v>
      </c>
      <c r="G14" s="2171" t="s">
        <v>108</v>
      </c>
      <c r="H14" s="2171" t="s">
        <v>108</v>
      </c>
      <c r="I14" s="2169" t="s">
        <v>109</v>
      </c>
      <c r="J14" s="1908"/>
      <c r="K14" s="1920"/>
      <c r="L14" s="1920"/>
      <c r="M14" s="1908" t="str">
        <f t="array" ref="M14:M14">IF(ISERROR(MATCH(MID(N14,1,250),MID(note_ter,1,250),0)),"n","y")</f>
        <v>n</v>
      </c>
      <c r="N14" s="1920"/>
      <c r="O14" s="1908" t="str">
        <f>H14&amp;"("&amp;I14&amp;")"</f>
        <v>Хабаровский муниципальный район(08655000)</v>
      </c>
      <c r="P14" s="1650"/>
      <c r="Q14" s="1650"/>
      <c r="R14" s="704"/>
      <c r="S14" s="1650"/>
      <c r="T14" s="1650"/>
      <c r="U14" s="1650"/>
      <c r="V14" s="1117"/>
      <c r="W14" s="1117"/>
      <c r="X14" s="911"/>
      <c r="Y14" s="911"/>
      <c r="Z14" s="911"/>
      <c r="AA14" s="911"/>
      <c r="AB14" s="911"/>
      <c r="AC14" s="911"/>
    </row>
    <row s="30681" customFormat="1" customHeight="1" ht="15.75">
      <c r="A15" s="2383"/>
      <c r="B15" s="701"/>
      <c r="C15" s="696"/>
      <c r="D15" s="1085"/>
      <c r="E15" s="705"/>
      <c r="F15" s="461"/>
      <c r="G15" s="699" t="s">
        <v>110</v>
      </c>
      <c r="H15" s="471"/>
      <c r="I15" s="708"/>
      <c r="J15" s="795"/>
      <c r="K15" s="795"/>
      <c r="L15" s="795"/>
      <c r="M15" s="795"/>
      <c r="N15" s="784"/>
      <c r="O15" s="795"/>
      <c r="P15" s="701"/>
      <c r="Q15" s="701"/>
      <c r="R15" s="704"/>
      <c r="S15" s="701"/>
      <c r="T15" s="701"/>
      <c r="U15" s="701"/>
      <c r="V15" s="706"/>
      <c r="W15" s="706"/>
      <c r="X15" s="703"/>
      <c r="Y15" s="703"/>
      <c r="Z15" s="703"/>
      <c r="AA15" s="703"/>
      <c r="AB15" s="703"/>
      <c r="AC15" s="707">
        <v>15</v>
      </c>
    </row>
    <row customHeight="1" ht="15">
      <c r="A16" s="2501" t="s">
        <v>105</v>
      </c>
      <c r="B16" s="1444"/>
      <c r="C16" s="1085" t="s">
        <v>106</v>
      </c>
      <c r="D16" s="2102"/>
      <c r="E16" s="2089" t="str">
        <f>A16</f>
        <v>2</v>
      </c>
      <c r="F16" s="1088" t="s">
        <v>111</v>
      </c>
      <c r="G16" s="824" t="str">
        <f>"Территория "&amp;E16</f>
        <v>Территория 2</v>
      </c>
      <c r="H16" s="1076"/>
      <c r="I16" s="1076"/>
      <c r="J16" s="1073"/>
      <c r="K16" s="1908"/>
      <c r="L16" s="1908"/>
      <c r="M16" s="1908"/>
      <c r="N16" s="510"/>
      <c r="O16" s="1908"/>
      <c r="P16" s="509"/>
      <c r="Q16" s="509"/>
      <c r="R16" s="509"/>
      <c r="S16" s="509"/>
      <c r="T16" s="3168"/>
      <c r="U16" s="3168"/>
      <c r="V16" s="3168"/>
      <c r="W16" s="3168"/>
      <c r="X16" s="3168"/>
      <c r="Y16" s="3168"/>
      <c r="Z16" s="3168"/>
      <c r="AA16" s="3168"/>
      <c r="AB16" s="3168"/>
      <c r="AC16" s="3168"/>
    </row>
    <row customHeight="1" ht="15">
      <c r="A17" s="2501"/>
      <c r="B17" s="1444">
        <v>1</v>
      </c>
      <c r="C17" s="1444"/>
      <c r="D17" s="1084"/>
      <c r="E17" s="2097" t="str">
        <f>A16&amp;"."&amp;B17</f>
        <v>2.1</v>
      </c>
      <c r="F17" s="1087" t="s">
        <v>112</v>
      </c>
      <c r="G17" s="1077" t="s">
        <v>113</v>
      </c>
      <c r="H17" s="1077" t="s">
        <v>113</v>
      </c>
      <c r="I17" s="1075" t="s">
        <v>114</v>
      </c>
      <c r="J17" s="1908"/>
      <c r="K17" s="1920"/>
      <c r="L17" s="1920"/>
      <c r="M17" s="1908" t="str">
        <f t="array" ref="M17:M17">IF(ISERROR(MATCH(MID(N17,1,250),MID(note_ter,1,250),0)),"n","y")</f>
        <v>n</v>
      </c>
      <c r="N17" s="1920"/>
      <c r="O17" s="1908" t="str">
        <f>H17&amp;"("&amp;I17&amp;")"</f>
        <v>Город Комсомольск-на-Амуре(08709000)</v>
      </c>
      <c r="P17" s="1444"/>
      <c r="Q17" s="1444"/>
      <c r="R17" s="704"/>
      <c r="S17" s="1444"/>
      <c r="T17" s="1444"/>
      <c r="U17" s="1444"/>
      <c r="V17" s="706"/>
      <c r="W17" s="706"/>
      <c r="X17" s="703"/>
      <c r="Y17" s="703"/>
      <c r="Z17" s="703"/>
      <c r="AA17" s="703"/>
      <c r="AB17" s="703"/>
      <c r="AC17" s="703"/>
    </row>
    <row customHeight="1" ht="15">
      <c r="A18" s="2501"/>
      <c r="B18" s="1444"/>
      <c r="C18" s="696"/>
      <c r="D18" s="1085"/>
      <c r="E18" s="705"/>
      <c r="F18" s="461"/>
      <c r="G18" s="699" t="s">
        <v>110</v>
      </c>
      <c r="H18" s="471"/>
      <c r="I18" s="708"/>
      <c r="J18" s="1920"/>
      <c r="K18" s="1920"/>
      <c r="L18" s="1920"/>
      <c r="M18" s="1920"/>
      <c r="N18" s="1908"/>
      <c r="O18" s="1920"/>
      <c r="P18" s="1444"/>
      <c r="Q18" s="1444"/>
      <c r="R18" s="704"/>
      <c r="S18" s="1444"/>
      <c r="T18" s="1444"/>
      <c r="U18" s="1444"/>
      <c r="V18" s="706"/>
      <c r="W18" s="706"/>
      <c r="X18" s="703"/>
      <c r="Y18" s="703"/>
      <c r="Z18" s="703"/>
      <c r="AA18" s="703"/>
      <c r="AB18" s="703"/>
      <c r="AC18" s="703"/>
    </row>
    <row customHeight="1" ht="15">
      <c r="A19" s="2501" t="s">
        <v>93</v>
      </c>
      <c r="B19" s="1444"/>
      <c r="C19" s="1085" t="s">
        <v>106</v>
      </c>
      <c r="D19" s="2102"/>
      <c r="E19" s="2089" t="str">
        <f>A19</f>
        <v>3</v>
      </c>
      <c r="F19" s="1088" t="s">
        <v>115</v>
      </c>
      <c r="G19" s="824" t="str">
        <f>"Территория "&amp;E19</f>
        <v>Территория 3</v>
      </c>
      <c r="H19" s="1076"/>
      <c r="I19" s="1076"/>
      <c r="J19" s="1073"/>
      <c r="K19" s="1908"/>
      <c r="L19" s="1908"/>
      <c r="M19" s="1908"/>
      <c r="N19" s="510"/>
      <c r="O19" s="1908"/>
      <c r="P19" s="509"/>
      <c r="Q19" s="509"/>
      <c r="R19" s="509"/>
      <c r="S19" s="509"/>
      <c r="T19" s="3168"/>
      <c r="U19" s="3168"/>
      <c r="V19" s="3168"/>
      <c r="W19" s="3168"/>
      <c r="X19" s="3168"/>
      <c r="Y19" s="3168"/>
      <c r="Z19" s="3168"/>
      <c r="AA19" s="3168"/>
      <c r="AB19" s="3168"/>
      <c r="AC19" s="3168"/>
    </row>
    <row customHeight="1" ht="15">
      <c r="A20" s="2501"/>
      <c r="B20" s="1444">
        <v>1</v>
      </c>
      <c r="C20" s="1444"/>
      <c r="D20" s="1084"/>
      <c r="E20" s="2097" t="str">
        <f>A19&amp;"."&amp;B20</f>
        <v>3.1</v>
      </c>
      <c r="F20" s="1087" t="s">
        <v>94</v>
      </c>
      <c r="G20" s="1077" t="s">
        <v>116</v>
      </c>
      <c r="H20" s="1077" t="s">
        <v>117</v>
      </c>
      <c r="I20" s="1075" t="s">
        <v>118</v>
      </c>
      <c r="J20" s="1908"/>
      <c r="K20" s="1920"/>
      <c r="L20" s="1920"/>
      <c r="M20" s="1908" t="str">
        <f t="array" ref="M20:M20">IF(ISERROR(MATCH(MID(N20,1,250),MID(note_ter,1,250),0)),"n","y")</f>
        <v>n</v>
      </c>
      <c r="N20" s="1920"/>
      <c r="O20" s="1908" t="str">
        <f>H20&amp;"("&amp;I20&amp;")"</f>
        <v>Город Амурск(08603101)</v>
      </c>
      <c r="P20" s="1444"/>
      <c r="Q20" s="1444"/>
      <c r="R20" s="704"/>
      <c r="S20" s="1444"/>
      <c r="T20" s="1444"/>
      <c r="U20" s="1444"/>
      <c r="V20" s="706"/>
      <c r="W20" s="706"/>
      <c r="X20" s="703"/>
      <c r="Y20" s="703"/>
      <c r="Z20" s="703"/>
      <c r="AA20" s="703"/>
      <c r="AB20" s="703"/>
      <c r="AC20" s="703"/>
    </row>
    <row customHeight="1" ht="15">
      <c r="A21" s="2501"/>
      <c r="B21" s="1444"/>
      <c r="C21" s="696"/>
      <c r="D21" s="1085"/>
      <c r="E21" s="705"/>
      <c r="F21" s="461"/>
      <c r="G21" s="699" t="s">
        <v>110</v>
      </c>
      <c r="H21" s="471"/>
      <c r="I21" s="708"/>
      <c r="J21" s="1920"/>
      <c r="K21" s="1920"/>
      <c r="L21" s="1920"/>
      <c r="M21" s="1920"/>
      <c r="N21" s="1908"/>
      <c r="O21" s="1920"/>
      <c r="P21" s="1444"/>
      <c r="Q21" s="1444"/>
      <c r="R21" s="704"/>
      <c r="S21" s="1444"/>
      <c r="T21" s="1444"/>
      <c r="U21" s="1444"/>
      <c r="V21" s="706"/>
      <c r="W21" s="706"/>
      <c r="X21" s="703"/>
      <c r="Y21" s="703"/>
      <c r="Z21" s="703"/>
      <c r="AA21" s="703"/>
      <c r="AB21" s="703"/>
      <c r="AC21" s="703"/>
    </row>
    <row customHeight="1" ht="15">
      <c r="A22" s="2501" t="s">
        <v>94</v>
      </c>
      <c r="B22" s="1444"/>
      <c r="C22" s="1085" t="s">
        <v>106</v>
      </c>
      <c r="D22" s="2102"/>
      <c r="E22" s="2089" t="str">
        <f>A22</f>
        <v>4</v>
      </c>
      <c r="F22" s="1088" t="s">
        <v>119</v>
      </c>
      <c r="G22" s="824" t="str">
        <f>"Территория "&amp;E22</f>
        <v>Территория 4</v>
      </c>
      <c r="H22" s="1076"/>
      <c r="I22" s="1076"/>
      <c r="J22" s="1073"/>
      <c r="K22" s="1908"/>
      <c r="L22" s="1908"/>
      <c r="M22" s="1908"/>
      <c r="N22" s="510"/>
      <c r="O22" s="1908"/>
      <c r="P22" s="509"/>
      <c r="Q22" s="509"/>
      <c r="R22" s="509"/>
      <c r="S22" s="509"/>
      <c r="T22" s="3168"/>
      <c r="U22" s="3168"/>
      <c r="V22" s="3168"/>
      <c r="W22" s="3168"/>
      <c r="X22" s="3168"/>
      <c r="Y22" s="3168"/>
      <c r="Z22" s="3168"/>
      <c r="AA22" s="3168"/>
      <c r="AB22" s="3168"/>
      <c r="AC22" s="3168"/>
    </row>
    <row customHeight="1" ht="15">
      <c r="A23" s="2501"/>
      <c r="B23" s="1444">
        <v>1</v>
      </c>
      <c r="C23" s="1444"/>
      <c r="D23" s="1084"/>
      <c r="E23" s="2097" t="str">
        <f>A22&amp;"."&amp;B23</f>
        <v>4.1</v>
      </c>
      <c r="F23" s="1087" t="s">
        <v>120</v>
      </c>
      <c r="G23" s="1077" t="s">
        <v>121</v>
      </c>
      <c r="H23" s="1077" t="s">
        <v>122</v>
      </c>
      <c r="I23" s="1075" t="s">
        <v>123</v>
      </c>
      <c r="J23" s="1908"/>
      <c r="K23" s="1920"/>
      <c r="L23" s="1920"/>
      <c r="M23" s="1908" t="str">
        <f t="array" ref="M23:M23">IF(ISERROR(MATCH(MID(N23,1,250),MID(note_ter,1,250),0)),"n","y")</f>
        <v>n</v>
      </c>
      <c r="N23" s="1920"/>
      <c r="O23" s="1908" t="str">
        <f>H23&amp;"("&amp;I23&amp;")"</f>
        <v>Город Николаевск-на-Амуре(08631101)</v>
      </c>
      <c r="P23" s="1444"/>
      <c r="Q23" s="1444"/>
      <c r="R23" s="704"/>
      <c r="S23" s="1444"/>
      <c r="T23" s="1444"/>
      <c r="U23" s="1444"/>
      <c r="V23" s="706"/>
      <c r="W23" s="706"/>
      <c r="X23" s="703"/>
      <c r="Y23" s="703"/>
      <c r="Z23" s="703"/>
      <c r="AA23" s="703"/>
      <c r="AB23" s="703"/>
      <c r="AC23" s="703"/>
    </row>
    <row customHeight="1" ht="15">
      <c r="A24" s="2501"/>
      <c r="B24" s="1444"/>
      <c r="C24" s="696"/>
      <c r="D24" s="1085"/>
      <c r="E24" s="705"/>
      <c r="F24" s="461"/>
      <c r="G24" s="699" t="s">
        <v>110</v>
      </c>
      <c r="H24" s="471"/>
      <c r="I24" s="708"/>
      <c r="J24" s="1920"/>
      <c r="K24" s="1920"/>
      <c r="L24" s="1920"/>
      <c r="M24" s="1920"/>
      <c r="N24" s="1908"/>
      <c r="O24" s="1920"/>
      <c r="P24" s="1444"/>
      <c r="Q24" s="1444"/>
      <c r="R24" s="704"/>
      <c r="S24" s="1444"/>
      <c r="T24" s="1444"/>
      <c r="U24" s="1444"/>
      <c r="V24" s="706"/>
      <c r="W24" s="706"/>
      <c r="X24" s="703"/>
      <c r="Y24" s="703"/>
      <c r="Z24" s="703"/>
      <c r="AA24" s="703"/>
      <c r="AB24" s="703"/>
      <c r="AC24" s="703"/>
    </row>
    <row customHeight="1" ht="15">
      <c r="A25" s="2501" t="s">
        <v>124</v>
      </c>
      <c r="B25" s="1444"/>
      <c r="C25" s="1085" t="s">
        <v>106</v>
      </c>
      <c r="D25" s="2102"/>
      <c r="E25" s="2089" t="str">
        <f>A25</f>
        <v>5</v>
      </c>
      <c r="F25" s="1088" t="s">
        <v>125</v>
      </c>
      <c r="G25" s="824" t="str">
        <f>"Территория "&amp;E25</f>
        <v>Территория 5</v>
      </c>
      <c r="H25" s="1076"/>
      <c r="I25" s="1076"/>
      <c r="J25" s="1073"/>
      <c r="K25" s="1908"/>
      <c r="L25" s="1908"/>
      <c r="M25" s="1908"/>
      <c r="N25" s="510"/>
      <c r="O25" s="1908"/>
      <c r="P25" s="509"/>
      <c r="Q25" s="509"/>
      <c r="R25" s="509"/>
      <c r="S25" s="509"/>
      <c r="T25" s="3168"/>
      <c r="U25" s="3168"/>
      <c r="V25" s="3168"/>
      <c r="W25" s="3168"/>
      <c r="X25" s="3168"/>
      <c r="Y25" s="3168"/>
      <c r="Z25" s="3168"/>
      <c r="AA25" s="3168"/>
      <c r="AB25" s="3168"/>
      <c r="AC25" s="3168"/>
    </row>
    <row customHeight="1" ht="15">
      <c r="A26" s="2501"/>
      <c r="B26" s="1444">
        <v>1</v>
      </c>
      <c r="C26" s="1444"/>
      <c r="D26" s="1084"/>
      <c r="E26" s="2097" t="str">
        <f>A25&amp;"."&amp;B26</f>
        <v>5.1</v>
      </c>
      <c r="F26" s="1087" t="s">
        <v>126</v>
      </c>
      <c r="G26" s="1077" t="s">
        <v>127</v>
      </c>
      <c r="H26" s="1077" t="s">
        <v>128</v>
      </c>
      <c r="I26" s="1075" t="s">
        <v>129</v>
      </c>
      <c r="J26" s="1908"/>
      <c r="K26" s="1920"/>
      <c r="L26" s="1920"/>
      <c r="M26" s="1908" t="str">
        <f t="array" ref="M26:M26">IF(ISERROR(MATCH(MID(N26,1,250),MID(note_ter,1,250),0)),"n","y")</f>
        <v>n</v>
      </c>
      <c r="N26" s="1920"/>
      <c r="O26" s="1908" t="str">
        <f>H26&amp;"("&amp;I26&amp;")"</f>
        <v>Поселок Чегдомын(08614151)</v>
      </c>
      <c r="P26" s="1444"/>
      <c r="Q26" s="1444"/>
      <c r="R26" s="704"/>
      <c r="S26" s="1444"/>
      <c r="T26" s="1444"/>
      <c r="U26" s="1444"/>
      <c r="V26" s="706"/>
      <c r="W26" s="706"/>
      <c r="X26" s="703"/>
      <c r="Y26" s="703"/>
      <c r="Z26" s="703"/>
      <c r="AA26" s="703"/>
      <c r="AB26" s="703"/>
      <c r="AC26" s="703"/>
    </row>
    <row customHeight="1" ht="15">
      <c r="A27" s="2501"/>
      <c r="B27" s="1444"/>
      <c r="C27" s="696"/>
      <c r="D27" s="1085"/>
      <c r="E27" s="705"/>
      <c r="F27" s="461"/>
      <c r="G27" s="699" t="s">
        <v>110</v>
      </c>
      <c r="H27" s="471"/>
      <c r="I27" s="708"/>
      <c r="J27" s="1920"/>
      <c r="K27" s="1920"/>
      <c r="L27" s="1920"/>
      <c r="M27" s="1920"/>
      <c r="N27" s="1908"/>
      <c r="O27" s="1920"/>
      <c r="P27" s="1444"/>
      <c r="Q27" s="1444"/>
      <c r="R27" s="704"/>
      <c r="S27" s="1444"/>
      <c r="T27" s="1444"/>
      <c r="U27" s="1444"/>
      <c r="V27" s="706"/>
      <c r="W27" s="706"/>
      <c r="X27" s="703"/>
      <c r="Y27" s="703"/>
      <c r="Z27" s="703"/>
      <c r="AA27" s="703"/>
      <c r="AB27" s="703"/>
      <c r="AC27" s="703"/>
    </row>
    <row customHeight="1" ht="15">
      <c r="A28" s="2501" t="s">
        <v>95</v>
      </c>
      <c r="B28" s="1444"/>
      <c r="C28" s="1085" t="s">
        <v>106</v>
      </c>
      <c r="D28" s="2102"/>
      <c r="E28" s="2089" t="str">
        <f>A28</f>
        <v>6</v>
      </c>
      <c r="F28" s="1088" t="s">
        <v>130</v>
      </c>
      <c r="G28" s="824" t="str">
        <f>"Территория "&amp;E28</f>
        <v>Территория 6</v>
      </c>
      <c r="H28" s="1076"/>
      <c r="I28" s="1076"/>
      <c r="J28" s="1073"/>
      <c r="K28" s="1908"/>
      <c r="L28" s="1908"/>
      <c r="M28" s="1908"/>
      <c r="N28" s="510"/>
      <c r="O28" s="1908"/>
      <c r="P28" s="509"/>
      <c r="Q28" s="509"/>
      <c r="R28" s="509"/>
      <c r="S28" s="509"/>
      <c r="T28" s="3168"/>
      <c r="U28" s="3168"/>
      <c r="V28" s="3168"/>
      <c r="W28" s="3168"/>
      <c r="X28" s="3168"/>
      <c r="Y28" s="3168"/>
      <c r="Z28" s="3168"/>
      <c r="AA28" s="3168"/>
      <c r="AB28" s="3168"/>
      <c r="AC28" s="3168"/>
    </row>
    <row customHeight="1" ht="15">
      <c r="A29" s="2501"/>
      <c r="B29" s="1444">
        <v>1</v>
      </c>
      <c r="C29" s="1444"/>
      <c r="D29" s="1084"/>
      <c r="E29" s="2097" t="str">
        <f>A28&amp;"."&amp;B29</f>
        <v>6.1</v>
      </c>
      <c r="F29" s="1087" t="s">
        <v>131</v>
      </c>
      <c r="G29" s="1077" t="s">
        <v>132</v>
      </c>
      <c r="H29" s="1077" t="s">
        <v>133</v>
      </c>
      <c r="I29" s="1075" t="s">
        <v>134</v>
      </c>
      <c r="J29" s="1908"/>
      <c r="K29" s="1920"/>
      <c r="L29" s="1920"/>
      <c r="M29" s="1908" t="str">
        <f t="array" ref="M29:M29">IF(ISERROR(MATCH(MID(N29,1,250),MID(note_ter,1,250),0)),"n","y")</f>
        <v>n</v>
      </c>
      <c r="N29" s="1920"/>
      <c r="O29" s="1908" t="str">
        <f>H29&amp;"("&amp;I29&amp;")"</f>
        <v>Поселок Майский(08642165)</v>
      </c>
      <c r="P29" s="1444"/>
      <c r="Q29" s="1444"/>
      <c r="R29" s="704"/>
      <c r="S29" s="1444"/>
      <c r="T29" s="1444"/>
      <c r="U29" s="1444"/>
      <c r="V29" s="706"/>
      <c r="W29" s="706"/>
      <c r="X29" s="703"/>
      <c r="Y29" s="703"/>
      <c r="Z29" s="703"/>
      <c r="AA29" s="703"/>
      <c r="AB29" s="703"/>
      <c r="AC29" s="703"/>
    </row>
    <row customHeight="1" ht="15">
      <c r="A30" s="2501"/>
      <c r="B30" s="1444"/>
      <c r="C30" s="696"/>
      <c r="D30" s="1085"/>
      <c r="E30" s="705"/>
      <c r="F30" s="461"/>
      <c r="G30" s="699" t="s">
        <v>110</v>
      </c>
      <c r="H30" s="471"/>
      <c r="I30" s="708"/>
      <c r="J30" s="1920"/>
      <c r="K30" s="1920"/>
      <c r="L30" s="1920"/>
      <c r="M30" s="1920"/>
      <c r="N30" s="1908"/>
      <c r="O30" s="1920"/>
      <c r="P30" s="1444"/>
      <c r="Q30" s="1444"/>
      <c r="R30" s="704"/>
      <c r="S30" s="1444"/>
      <c r="T30" s="1444"/>
      <c r="U30" s="1444"/>
      <c r="V30" s="706"/>
      <c r="W30" s="706"/>
      <c r="X30" s="703"/>
      <c r="Y30" s="703"/>
      <c r="Z30" s="703"/>
      <c r="AA30" s="703"/>
      <c r="AB30" s="703"/>
      <c r="AC30" s="703"/>
    </row>
    <row s="30636" customFormat="1" customHeight="1" ht="14.699999999999998">
      <c r="A31" s="1042"/>
      <c r="B31" s="701"/>
      <c r="C31" s="1042"/>
      <c r="D31" s="1066"/>
      <c r="E31" s="1078"/>
      <c r="F31" s="462"/>
      <c r="G31" s="700" t="s">
        <v>135</v>
      </c>
      <c r="H31" s="462"/>
      <c r="I31" s="463"/>
      <c r="J31" s="533"/>
      <c r="K31" s="439"/>
      <c r="L31" s="439"/>
      <c r="M31" s="439"/>
      <c r="N31" s="510" t="s">
        <v>136</v>
      </c>
      <c r="O31" s="439"/>
      <c r="P31" s="509"/>
      <c r="Q31" s="509"/>
      <c r="R31" s="509"/>
      <c r="S31" s="509"/>
      <c r="AC31" s="400">
        <v>14</v>
      </c>
    </row>
    <row s="30636" customFormat="1" customHeight="1" ht="22.049999999999997">
      <c r="A32" s="1042"/>
      <c r="B32" s="701"/>
      <c r="C32" s="1042"/>
      <c r="D32" s="449"/>
      <c r="E32" s="464"/>
      <c r="F32" s="464"/>
      <c r="G32" s="464"/>
      <c r="H32" s="464"/>
      <c r="I32" s="464"/>
      <c r="J32" s="439"/>
      <c r="K32" s="439"/>
      <c r="L32" s="439"/>
      <c r="M32" s="439"/>
      <c r="N32" s="510"/>
      <c r="O32" s="439"/>
      <c r="P32" s="509"/>
      <c r="Q32" s="509"/>
      <c r="R32" s="509"/>
      <c r="S32" s="509"/>
      <c r="AC32" s="400">
        <v>21</v>
      </c>
    </row>
    <row s="30636" customFormat="1" customHeight="1" ht="14.699999999999998">
      <c r="A33" s="1042"/>
      <c r="B33" s="701"/>
      <c r="C33" s="1042"/>
      <c r="D33" s="449"/>
      <c r="E33" s="367"/>
      <c r="F33" s="1042"/>
      <c r="G33" s="367"/>
      <c r="H33" s="367"/>
      <c r="I33" s="367"/>
      <c r="J33" s="439"/>
      <c r="K33" s="439"/>
      <c r="L33" s="439"/>
      <c r="M33" s="439"/>
      <c r="N33" s="510"/>
      <c r="O33" s="439"/>
      <c r="P33" s="509"/>
      <c r="Q33" s="509"/>
      <c r="R33" s="509"/>
      <c r="S33" s="509"/>
      <c r="AC33" s="400">
        <v>14</v>
      </c>
    </row>
    <row s="30636" customFormat="1" customHeight="1" ht="1.05">
      <c r="A34" s="1042"/>
      <c r="B34" s="701"/>
      <c r="C34" s="1042"/>
      <c r="D34" s="449"/>
      <c r="E34" s="367"/>
      <c r="F34" s="1042"/>
      <c r="G34" s="367"/>
      <c r="H34" s="367"/>
      <c r="I34" s="367"/>
      <c r="J34" s="439"/>
      <c r="K34" s="439"/>
      <c r="L34" s="439"/>
      <c r="M34" s="439"/>
      <c r="N34" s="510"/>
      <c r="O34" s="439"/>
      <c r="P34" s="509"/>
      <c r="Q34" s="509"/>
      <c r="R34" s="509"/>
      <c r="S34" s="509"/>
      <c r="AC34" s="400">
        <v>1</v>
      </c>
    </row>
    <row s="30721" customFormat="1" customHeight="1" ht="10.5">
      <c r="B35" s="1118"/>
      <c r="D35" s="466"/>
      <c r="J35" s="439"/>
      <c r="K35" s="439"/>
      <c r="L35" s="439"/>
      <c r="M35" s="439"/>
      <c r="N35" s="510"/>
      <c r="O35" s="439"/>
      <c r="P35" s="509"/>
      <c r="Q35" s="509"/>
      <c r="R35" s="509"/>
      <c r="S35" s="509"/>
      <c r="AC35" s="465">
        <v>10</v>
      </c>
    </row>
    <row s="30721" customFormat="1" customHeight="1" ht="10.5">
      <c r="B36" s="1118"/>
      <c r="D36" s="466"/>
      <c r="J36" s="439"/>
      <c r="K36" s="439"/>
      <c r="L36" s="439"/>
      <c r="M36" s="439"/>
      <c r="N36" s="510"/>
      <c r="O36" s="439"/>
      <c r="P36" s="509"/>
      <c r="Q36" s="509"/>
      <c r="R36" s="509"/>
      <c r="S36" s="509"/>
      <c r="AC36" s="465">
        <v>10</v>
      </c>
    </row>
    <row customHeight="1" ht="14.699999999999998">
      <c r="AC37" s="367">
        <v>14</v>
      </c>
    </row>
    <row customHeight="1" ht="14.699999999999998">
      <c r="AC38" s="367">
        <v>14</v>
      </c>
    </row>
    <row customHeight="1" ht="14.699999999999998">
      <c r="AC39" s="367">
        <v>14</v>
      </c>
    </row>
    <row customHeight="1" ht="14.699999999999998">
      <c r="H40" s="346"/>
      <c r="AC40" s="367">
        <v>14</v>
      </c>
    </row>
    <row customHeight="1" ht="14.699999999999998">
      <c r="AC41" s="367">
        <v>14</v>
      </c>
    </row>
    <row customHeight="1" ht="14.699999999999998">
      <c r="AC42" s="367">
        <v>14</v>
      </c>
    </row>
    <row customHeight="1" ht="14.699999999999998">
      <c r="AC43" s="367">
        <v>14</v>
      </c>
    </row>
    <row customHeight="1" ht="14.699999999999998">
      <c r="J44" s="367"/>
      <c r="K44" s="367"/>
      <c r="L44" s="367"/>
      <c r="AC44" s="367">
        <v>14</v>
      </c>
    </row>
    <row customHeight="1" ht="22.5" hidden="1">
      <c r="A45" s="1042" t="s">
        <v>85</v>
      </c>
      <c r="B45" s="701">
        <v>0</v>
      </c>
      <c r="C45" s="1042">
        <v>3</v>
      </c>
      <c r="D45" s="449">
        <v>3</v>
      </c>
      <c r="E45" s="367">
        <v>6</v>
      </c>
      <c r="F45" s="1042">
        <v>0</v>
      </c>
      <c r="G45" s="367">
        <v>46</v>
      </c>
      <c r="H45" s="367">
        <v>42</v>
      </c>
      <c r="I45" s="367">
        <v>14</v>
      </c>
      <c r="J45" s="439">
        <v>3</v>
      </c>
      <c r="K45" s="439">
        <v>0</v>
      </c>
      <c r="L45" s="439">
        <v>0</v>
      </c>
      <c r="M45" s="439">
        <v>0</v>
      </c>
      <c r="N45" s="510">
        <v>0</v>
      </c>
      <c r="O45" s="439">
        <v>0</v>
      </c>
      <c r="P45" s="509">
        <v>0</v>
      </c>
      <c r="Q45" s="509">
        <v>0</v>
      </c>
      <c r="R45" s="509">
        <v>0</v>
      </c>
      <c r="S45" s="509">
        <v>0</v>
      </c>
      <c r="T45" s="367">
        <v>0</v>
      </c>
      <c r="U45" s="367">
        <v>0</v>
      </c>
      <c r="V45" s="367">
        <v>0</v>
      </c>
      <c r="W45" s="367">
        <v>0</v>
      </c>
      <c r="X45" s="367">
        <v>0</v>
      </c>
      <c r="Y45" s="367">
        <v>0</v>
      </c>
      <c r="Z45" s="367">
        <v>0</v>
      </c>
      <c r="AA45" s="367">
        <v>0</v>
      </c>
      <c r="AB45" s="367">
        <v>8</v>
      </c>
      <c r="AC45" s="367">
        <v>23</v>
      </c>
    </row>
  </sheetData>
  <sheetProtection sheet="1" formatColumns="0" formatRows="0" autoFilter="0" sort="1" insertRows="1" insertColumns="1" deleteRows="1" deleteColumns="1"/>
  <mergeCells count="9">
    <mergeCell ref="A12:A15"/>
    <mergeCell ref="E4:I4"/>
    <mergeCell ref="E8:G8"/>
    <mergeCell ref="H8:I8"/>
    <mergeCell ref="A16:A18"/>
    <mergeCell ref="A19:A21"/>
    <mergeCell ref="A22:A24"/>
    <mergeCell ref="A25:A27"/>
    <mergeCell ref="A28:A30"/>
  </mergeCells>
  <dataValidations count="6">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6">
      <formula1>900</formula1>
    </dataValidation>
    <dataValidation type="textLength" operator="lessThanOrEqual" allowBlank="1" showInputMessage="1" showErrorMessage="1" errorTitle="Ошибка" error="Допускается ввод не более 900 символов!" sqref="G19">
      <formula1>900</formula1>
    </dataValidation>
    <dataValidation type="textLength" operator="lessThanOrEqual" allowBlank="1" showInputMessage="1" showErrorMessage="1" errorTitle="Ошибка" error="Допускается ввод не более 900 символов!" sqref="G22">
      <formula1>900</formula1>
    </dataValidation>
    <dataValidation type="textLength" operator="lessThanOrEqual" allowBlank="1" showInputMessage="1" showErrorMessage="1" errorTitle="Ошибка" error="Допускается ввод не более 900 символов!" sqref="G25">
      <formula1>900</formula1>
    </dataValidation>
    <dataValidation type="textLength" operator="lessThanOrEqual" allowBlank="1" showInputMessage="1" showErrorMessage="1" errorTitle="Ошибка" error="Допускается ввод не более 900 символов!" sqref="G28">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466F73-8FFA-367F-AC54-15CB2A76C6A8}"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30620" width="10.57421875" hidden="1"/>
    <col min="2" max="2" style="30620" width="11.00390625" hidden="1" customWidth="1"/>
    <col min="3" max="3" style="30620" width="10.57421875" hidden="1"/>
    <col min="4" max="4" style="30620" width="11.8515625" hidden="1" customWidth="1"/>
    <col min="5" max="5" style="30620" width="10.00390625" hidden="1" customWidth="1"/>
    <col min="6" max="6" style="30620" width="8.7109375" hidden="1" customWidth="1"/>
    <col min="7" max="7" style="30620" width="7.57421875" hidden="1" customWidth="1"/>
    <col min="8" max="8" style="30620" width="11.421875" hidden="1" customWidth="1"/>
    <col min="9" max="9" style="30620" width="14.140625" hidden="1" customWidth="1"/>
    <col min="10" max="10" style="30620" width="9.8515625" hidden="1" customWidth="1"/>
    <col min="11" max="11" style="30620" width="14.7109375" hidden="1" customWidth="1"/>
    <col min="12" max="12" style="31502" width="19.140625" hidden="1" customWidth="1"/>
    <col min="13" max="14" style="31503" width="12.28125" hidden="1" customWidth="1"/>
    <col min="15" max="15" style="31503" width="23.421875" hidden="1" customWidth="1"/>
    <col min="16" max="16" style="31504" width="3.00390625" customWidth="1"/>
    <col min="17" max="18" style="31505" width="3.00390625" customWidth="1"/>
    <col min="19" max="19" style="31506" width="12.00390625" customWidth="1"/>
    <col min="20" max="20" style="30541" width="35.00390625" customWidth="1"/>
    <col min="21" max="21" style="30541" width="0.140625" customWidth="1"/>
    <col min="22" max="28" style="30541" width="19.7109375" hidden="1" customWidth="1"/>
    <col min="29" max="29" style="30541" width="11.7109375" hidden="1" customWidth="1"/>
    <col min="30" max="30" style="30541" width="3.7109375" hidden="1" customWidth="1"/>
    <col min="31" max="31" style="30541" width="11.7109375" hidden="1" customWidth="1"/>
    <col min="32" max="32" style="30541" width="8.57421875" hidden="1" customWidth="1"/>
    <col min="33" max="33" style="30541" width="19.7109375" customWidth="1"/>
    <col min="34" max="39" style="30541" width="19.00390625" customWidth="1"/>
    <col min="40" max="40" style="30541" width="11.00390625" customWidth="1"/>
    <col min="41" max="41" style="30541" width="3.7109375" customWidth="1"/>
    <col min="42" max="42" style="30541" width="11.00390625" customWidth="1"/>
    <col min="43" max="43" style="30541" width="8.57421875" hidden="1" customWidth="1"/>
    <col min="44" max="44" style="30541" width="4.00390625" customWidth="1"/>
    <col min="45" max="45" style="30541" width="115.00390625" customWidth="1"/>
    <col min="46" max="50" style="30621" width="10.00390625" customWidth="1"/>
    <col min="51" max="51" style="30541" width="10.57421875" hidden="1"/>
  </cols>
  <sheetData>
    <row customHeight="1" ht="22.5" hidden="1">
      <c r="AC1" s="611"/>
      <c r="AN1" s="611"/>
      <c r="AY1" s="1439" t="s">
        <v>14</v>
      </c>
    </row>
    <row customHeight="1" ht="23.25" hidden="1">
      <c r="A2" s="1647"/>
      <c r="B2" s="1647"/>
      <c r="C2" s="1647"/>
      <c r="D2" s="1647"/>
      <c r="E2" s="2542">
        <v>1</v>
      </c>
      <c r="F2" s="1647"/>
      <c r="G2" s="1647"/>
      <c r="H2" s="1647"/>
      <c r="I2" s="1647"/>
      <c r="J2" s="1647"/>
      <c r="K2" s="1647"/>
      <c r="L2" s="1648"/>
      <c r="M2" s="1649"/>
      <c r="N2" s="1649"/>
      <c r="O2" s="1649"/>
      <c r="P2" s="645"/>
      <c r="Q2" s="644"/>
      <c r="R2" s="639"/>
      <c r="S2" s="1777">
        <f>INDEX(PT_DIFFERENTIATION_NUM_NTAR,MATCH(A2,PT_DIFFERENTIATION_NTAR_ID,0))</f>
      </c>
      <c r="T2" s="582" t="s">
        <v>153</v>
      </c>
      <c r="U2" s="584"/>
      <c r="V2" s="2526"/>
      <c r="W2" s="2527"/>
      <c r="X2" s="2527"/>
      <c r="Y2" s="2527"/>
      <c r="Z2" s="2527"/>
      <c r="AA2" s="2527"/>
      <c r="AB2" s="2527"/>
      <c r="AC2" s="2527"/>
      <c r="AD2" s="2527"/>
      <c r="AE2" s="2527"/>
      <c r="AF2" s="2528"/>
      <c r="AG2" s="2526">
        <f>INDEX(PT_DIFFERENTIATION_NTAR,MATCH(A2,PT_DIFFERENTIATION_NTAR_ID,0))</f>
      </c>
      <c r="AH2" s="2527"/>
      <c r="AI2" s="2527"/>
      <c r="AJ2" s="2527"/>
      <c r="AK2" s="2527"/>
      <c r="AL2" s="2527"/>
      <c r="AM2" s="2527"/>
      <c r="AN2" s="2527"/>
      <c r="AO2" s="2527"/>
      <c r="AP2" s="2527"/>
      <c r="AQ2" s="2527"/>
      <c r="AR2" s="2528"/>
      <c r="AS2"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784"/>
      <c r="AV2" s="784" t="str">
        <f>IF(T2="","",T2)</f>
        <v>Наименование тарифа</v>
      </c>
      <c r="AW2" s="784"/>
      <c r="AX2" s="784"/>
      <c r="AY2" s="1439">
        <v>0</v>
      </c>
    </row>
    <row customHeight="1" ht="23.25" hidden="1">
      <c r="A3" s="1647"/>
      <c r="B3" s="1647"/>
      <c r="C3" s="1647"/>
      <c r="D3" s="1647"/>
      <c r="E3" s="2543"/>
      <c r="F3" s="2542">
        <v>1</v>
      </c>
      <c r="G3" s="1647"/>
      <c r="H3" s="1647"/>
      <c r="I3" s="1647"/>
      <c r="J3" s="1647"/>
      <c r="K3" s="1647"/>
      <c r="L3" s="1648"/>
      <c r="M3" s="1649"/>
      <c r="N3" s="1649"/>
      <c r="O3" s="1649"/>
      <c r="P3" s="1771"/>
      <c r="Q3" s="636"/>
      <c r="R3" s="637"/>
      <c r="S3" s="1777">
        <f>INDEX(PT_DIFFERENTIATION_NUM_TER,MATCH(B3,PT_DIFFERENTIATION_TER_ID,0))</f>
      </c>
      <c r="T3" s="592" t="s">
        <v>457</v>
      </c>
      <c r="U3" s="584"/>
      <c r="V3" s="2526"/>
      <c r="W3" s="2527"/>
      <c r="X3" s="2527"/>
      <c r="Y3" s="2527"/>
      <c r="Z3" s="2527"/>
      <c r="AA3" s="2527"/>
      <c r="AB3" s="2527"/>
      <c r="AC3" s="2527"/>
      <c r="AD3" s="2527"/>
      <c r="AE3" s="2527"/>
      <c r="AF3" s="2528"/>
      <c r="AG3" s="2526">
        <f>INDEX(PT_DIFFERENTIATION_TER,MATCH(B3,PT_DIFFERENTIATION_TER_ID,0))</f>
      </c>
      <c r="AH3" s="2527"/>
      <c r="AI3" s="2527"/>
      <c r="AJ3" s="2527"/>
      <c r="AK3" s="2527"/>
      <c r="AL3" s="2527"/>
      <c r="AM3" s="2527"/>
      <c r="AN3" s="2527"/>
      <c r="AO3" s="2527"/>
      <c r="AP3" s="2527"/>
      <c r="AQ3" s="2527"/>
      <c r="AR3" s="2528"/>
      <c r="AS3" s="1542" t="s">
        <v>458</v>
      </c>
      <c r="AU3" s="784"/>
      <c r="AV3" s="784" t="str">
        <f>IF(T3="","",T3)</f>
        <v>Территория действия тарифа</v>
      </c>
      <c r="AW3" s="784"/>
      <c r="AX3" s="784"/>
      <c r="AY3" s="1439">
        <v>0</v>
      </c>
    </row>
    <row customHeight="1" ht="23.25" hidden="1">
      <c r="A4" s="1647"/>
      <c r="B4" s="1647"/>
      <c r="C4" s="1647"/>
      <c r="D4" s="1647"/>
      <c r="E4" s="2543"/>
      <c r="F4" s="2543"/>
      <c r="G4" s="2542">
        <v>1</v>
      </c>
      <c r="H4" s="1647"/>
      <c r="I4" s="1647"/>
      <c r="J4" s="1647"/>
      <c r="K4" s="1647"/>
      <c r="L4" s="1648"/>
      <c r="M4" s="1649"/>
      <c r="N4" s="1649"/>
      <c r="O4" s="1649"/>
      <c r="P4" s="638"/>
      <c r="Q4" s="636"/>
      <c r="R4" s="637"/>
      <c r="S4" s="1777">
        <f>INDEX(PT_DIFFERENTIATION_NUM_CS,MATCH(C4,PT_DIFFERENTIATION_CS_ID,0))</f>
      </c>
      <c r="T4" s="593" t="s">
        <v>602</v>
      </c>
      <c r="U4" s="584"/>
      <c r="V4" s="2526"/>
      <c r="W4" s="2527"/>
      <c r="X4" s="2527"/>
      <c r="Y4" s="2527"/>
      <c r="Z4" s="2527"/>
      <c r="AA4" s="2527"/>
      <c r="AB4" s="2527"/>
      <c r="AC4" s="2527"/>
      <c r="AD4" s="2527"/>
      <c r="AE4" s="2527"/>
      <c r="AF4" s="2528"/>
      <c r="AG4" s="2526">
        <f>INDEX(PT_DIFFERENTIATION_CS,MATCH(C4,PT_DIFFERENTIATION_CS_ID,0))</f>
      </c>
      <c r="AH4" s="2527"/>
      <c r="AI4" s="2527"/>
      <c r="AJ4" s="2527"/>
      <c r="AK4" s="2527"/>
      <c r="AL4" s="2527"/>
      <c r="AM4" s="2527"/>
      <c r="AN4" s="2527"/>
      <c r="AO4" s="2527"/>
      <c r="AP4" s="2527"/>
      <c r="AQ4" s="2527"/>
      <c r="AR4" s="2528"/>
      <c r="AS4" s="1542" t="s">
        <v>603</v>
      </c>
      <c r="AU4" s="784"/>
      <c r="AV4" s="784" t="str">
        <f>IF(T4="","",T4)</f>
        <v>Наименование централизованной системы горячего водоснабжения</v>
      </c>
      <c r="AW4" s="784"/>
      <c r="AX4" s="784"/>
      <c r="AY4" s="1439">
        <v>0</v>
      </c>
    </row>
    <row customHeight="1" ht="23.25" hidden="1">
      <c r="A5" s="1647"/>
      <c r="B5" s="1647"/>
      <c r="C5" s="1647"/>
      <c r="D5" s="1647"/>
      <c r="E5" s="2543"/>
      <c r="F5" s="2543"/>
      <c r="G5" s="2543"/>
      <c r="H5" s="2543"/>
      <c r="I5" s="2540">
        <f>S4&amp;".1"</f>
      </c>
      <c r="J5" s="1647"/>
      <c r="K5" s="1647"/>
      <c r="L5" s="1648"/>
      <c r="P5" s="2541">
        <v>1</v>
      </c>
      <c r="Q5" s="1765"/>
      <c r="R5" s="640"/>
      <c r="S5" s="1777">
        <f>$I5</f>
      </c>
      <c r="T5" s="569" t="s">
        <v>555</v>
      </c>
      <c r="U5" s="584"/>
      <c r="V5" s="2634"/>
      <c r="W5" s="2635"/>
      <c r="X5" s="2635"/>
      <c r="Y5" s="2635"/>
      <c r="Z5" s="2635"/>
      <c r="AA5" s="2635"/>
      <c r="AB5" s="2635"/>
      <c r="AC5" s="2635"/>
      <c r="AD5" s="2635"/>
      <c r="AE5" s="2635"/>
      <c r="AF5" s="2636"/>
      <c r="AG5" s="2637"/>
      <c r="AH5" s="2638"/>
      <c r="AI5" s="2638"/>
      <c r="AJ5" s="2638"/>
      <c r="AK5" s="2638"/>
      <c r="AL5" s="2638"/>
      <c r="AM5" s="2638"/>
      <c r="AN5" s="2638"/>
      <c r="AO5" s="2638"/>
      <c r="AP5" s="2638"/>
      <c r="AQ5" s="2638"/>
      <c r="AR5" s="2639"/>
      <c r="AS5" s="1542" t="s">
        <v>556</v>
      </c>
      <c r="AU5" s="784"/>
      <c r="AV5" s="784" t="str">
        <f>IF(T5="","",T5)</f>
        <v>Наименование признака дифференциации</v>
      </c>
      <c r="AW5" s="784"/>
      <c r="AX5" s="784"/>
      <c r="AY5" s="1439">
        <v>0</v>
      </c>
    </row>
    <row customHeight="1" ht="23.25" hidden="1">
      <c r="A6" s="1647"/>
      <c r="B6" s="1647"/>
      <c r="C6" s="1647"/>
      <c r="D6" s="1647"/>
      <c r="E6" s="2543"/>
      <c r="F6" s="2543"/>
      <c r="G6" s="2543"/>
      <c r="H6" s="2543"/>
      <c r="I6" s="2570"/>
      <c r="J6" s="2540">
        <f>I5&amp;".1"</f>
      </c>
      <c r="K6" s="1647"/>
      <c r="L6" s="1648" t="s">
        <v>466</v>
      </c>
      <c r="P6" s="2541"/>
      <c r="Q6" s="2541">
        <v>1</v>
      </c>
      <c r="R6" s="641"/>
      <c r="S6" s="1777">
        <f>$J6</f>
      </c>
      <c r="T6" s="570" t="s">
        <v>467</v>
      </c>
      <c r="U6" s="584"/>
      <c r="V6" s="2529"/>
      <c r="W6" s="2530"/>
      <c r="X6" s="2530"/>
      <c r="Y6" s="2530"/>
      <c r="Z6" s="2530"/>
      <c r="AA6" s="2530"/>
      <c r="AB6" s="2530"/>
      <c r="AC6" s="2530"/>
      <c r="AD6" s="2530"/>
      <c r="AE6" s="2530"/>
      <c r="AF6" s="2531"/>
      <c r="AG6" s="2529"/>
      <c r="AH6" s="2530"/>
      <c r="AI6" s="2530"/>
      <c r="AJ6" s="2530"/>
      <c r="AK6" s="2530"/>
      <c r="AL6" s="2530"/>
      <c r="AM6" s="2530"/>
      <c r="AN6" s="2530"/>
      <c r="AO6" s="2530"/>
      <c r="AP6" s="2530"/>
      <c r="AQ6" s="2530"/>
      <c r="AR6" s="2531"/>
      <c r="AS6" s="1591" t="s">
        <v>557</v>
      </c>
      <c r="AU6" s="784"/>
      <c r="AV6" s="784" t="str">
        <f>IF(T6="","",T6)</f>
        <v>Группа потребителей</v>
      </c>
      <c r="AW6" s="784"/>
      <c r="AX6" s="784"/>
      <c r="AY6" s="1439">
        <v>0</v>
      </c>
    </row>
    <row customHeight="1" ht="23.25" hidden="1">
      <c r="A7" s="1647"/>
      <c r="B7" s="1647"/>
      <c r="C7" s="1647"/>
      <c r="D7" s="1647"/>
      <c r="E7" s="2543"/>
      <c r="F7" s="2543"/>
      <c r="G7" s="2543"/>
      <c r="H7" s="2543"/>
      <c r="I7" s="2570"/>
      <c r="J7" s="2570"/>
      <c r="K7" s="2540">
        <f>J6&amp;".1"</f>
      </c>
      <c r="L7" s="1648"/>
      <c r="P7" s="2541"/>
      <c r="Q7" s="2541"/>
      <c r="R7" s="641">
        <v>1</v>
      </c>
      <c r="S7" s="1777">
        <f>$K7</f>
      </c>
      <c r="T7" s="1721"/>
      <c r="U7" s="584"/>
      <c r="V7" s="1035"/>
      <c r="W7" s="1035"/>
      <c r="X7" s="1035"/>
      <c r="Y7" s="1035"/>
      <c r="Z7" s="1035"/>
      <c r="AA7" s="1035"/>
      <c r="AB7" s="1035"/>
      <c r="AC7" s="2549"/>
      <c r="AD7" s="2391" t="s">
        <v>64</v>
      </c>
      <c r="AE7" s="2549"/>
      <c r="AF7" s="2391" t="s">
        <v>64</v>
      </c>
      <c r="AG7" s="1035"/>
      <c r="AH7" s="1035"/>
      <c r="AI7" s="1035"/>
      <c r="AJ7" s="1035"/>
      <c r="AK7" s="1035"/>
      <c r="AL7" s="1035"/>
      <c r="AM7" s="1035"/>
      <c r="AN7" s="2549"/>
      <c r="AO7" s="2391" t="s">
        <v>64</v>
      </c>
      <c r="AP7" s="2571"/>
      <c r="AQ7" s="2391" t="s">
        <v>64</v>
      </c>
      <c r="AR7" s="1722"/>
      <c r="AS7" s="26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795">
        <f>STRCHECKDATE(V8:AR8)</f>
      </c>
      <c r="AU7" s="784"/>
      <c r="AV7" s="784" t="str">
        <f>IF(T7="","",T7)</f>
        <v/>
      </c>
      <c r="AW7" s="784"/>
      <c r="AX7" s="784"/>
      <c r="AY7" s="1439">
        <v>0</v>
      </c>
    </row>
    <row customHeight="1" ht="14.25" hidden="1">
      <c r="A8" s="1647"/>
      <c r="B8" s="1647"/>
      <c r="C8" s="1647"/>
      <c r="D8" s="1647"/>
      <c r="E8" s="2543"/>
      <c r="F8" s="2543"/>
      <c r="G8" s="2543"/>
      <c r="H8" s="2543"/>
      <c r="I8" s="2570"/>
      <c r="J8" s="2570"/>
      <c r="K8" s="2540"/>
      <c r="L8" s="1648"/>
      <c r="P8" s="2541"/>
      <c r="Q8" s="2541"/>
      <c r="R8" s="641"/>
      <c r="S8" s="1774"/>
      <c r="T8" s="584"/>
      <c r="U8" s="584"/>
      <c r="V8" s="609"/>
      <c r="W8" s="609"/>
      <c r="X8" s="609"/>
      <c r="Y8" s="609"/>
      <c r="Z8" s="609"/>
      <c r="AA8" s="609"/>
      <c r="AB8" s="609"/>
      <c r="AC8" s="2550"/>
      <c r="AD8" s="2391"/>
      <c r="AE8" s="2550"/>
      <c r="AF8" s="2391"/>
      <c r="AG8" s="609"/>
      <c r="AH8" s="609"/>
      <c r="AI8" s="609"/>
      <c r="AJ8" s="609"/>
      <c r="AK8" s="609"/>
      <c r="AL8" s="609"/>
      <c r="AM8" s="609"/>
      <c r="AN8" s="2550"/>
      <c r="AO8" s="2391"/>
      <c r="AP8" s="2572"/>
      <c r="AQ8" s="2391"/>
      <c r="AR8" s="1723"/>
      <c r="AS8" s="2633"/>
      <c r="AU8" s="784"/>
      <c r="AV8" s="784" t="str">
        <f>IF(T8="","",T8)</f>
        <v/>
      </c>
      <c r="AW8" s="784"/>
      <c r="AX8" s="784"/>
      <c r="AY8" s="1439">
        <v>0</v>
      </c>
    </row>
    <row customHeight="1" ht="21" hidden="1">
      <c r="A9" s="1647"/>
      <c r="B9" s="1647"/>
      <c r="C9" s="1647"/>
      <c r="D9" s="1647"/>
      <c r="E9" s="2543"/>
      <c r="F9" s="2543"/>
      <c r="G9" s="2543"/>
      <c r="H9" s="2543"/>
      <c r="I9" s="2570"/>
      <c r="J9" s="2540"/>
      <c r="K9" s="1647"/>
      <c r="L9" s="1648"/>
      <c r="P9" s="2541"/>
      <c r="Q9" s="2541"/>
      <c r="R9" s="640"/>
      <c r="S9" s="1562"/>
      <c r="T9" s="571" t="s">
        <v>558</v>
      </c>
      <c r="U9" s="651"/>
      <c r="V9" s="651"/>
      <c r="W9" s="884"/>
      <c r="X9" s="884"/>
      <c r="Y9" s="884"/>
      <c r="Z9" s="884"/>
      <c r="AA9" s="884"/>
      <c r="AB9" s="884"/>
      <c r="AC9" s="651"/>
      <c r="AD9" s="651"/>
      <c r="AE9" s="651"/>
      <c r="AF9" s="651"/>
      <c r="AG9" s="651"/>
      <c r="AH9" s="884"/>
      <c r="AI9" s="884"/>
      <c r="AJ9" s="884"/>
      <c r="AK9" s="884"/>
      <c r="AL9" s="884"/>
      <c r="AM9" s="651"/>
      <c r="AN9" s="651"/>
      <c r="AO9" s="651"/>
      <c r="AP9" s="651"/>
      <c r="AQ9" s="651"/>
      <c r="AR9" s="651"/>
      <c r="AS9" s="1542" t="s">
        <v>559</v>
      </c>
      <c r="AU9" s="784"/>
      <c r="AV9" s="784" t="str">
        <f>IF(T9="","",T9)</f>
        <v>Добавить значение признака дифференциации</v>
      </c>
      <c r="AW9" s="784"/>
      <c r="AX9" s="784"/>
      <c r="AY9" s="1439">
        <v>0</v>
      </c>
    </row>
    <row customHeight="1" ht="21" hidden="1">
      <c r="A10" s="1647"/>
      <c r="B10" s="1647"/>
      <c r="C10" s="1647"/>
      <c r="D10" s="1647"/>
      <c r="E10" s="2543"/>
      <c r="F10" s="2543"/>
      <c r="G10" s="2543"/>
      <c r="H10" s="2543"/>
      <c r="I10" s="2540"/>
      <c r="J10" s="1647"/>
      <c r="K10" s="1647"/>
      <c r="L10" s="1648"/>
      <c r="P10" s="2541"/>
      <c r="Q10" s="1765"/>
      <c r="R10" s="640"/>
      <c r="S10" s="1562"/>
      <c r="T10" s="649" t="s">
        <v>472</v>
      </c>
      <c r="U10" s="651"/>
      <c r="V10" s="651"/>
      <c r="W10" s="884"/>
      <c r="X10" s="884"/>
      <c r="Y10" s="884"/>
      <c r="Z10" s="884"/>
      <c r="AA10" s="884"/>
      <c r="AB10" s="884"/>
      <c r="AC10" s="651"/>
      <c r="AD10" s="651"/>
      <c r="AE10" s="651"/>
      <c r="AF10" s="650"/>
      <c r="AG10" s="651"/>
      <c r="AH10" s="884"/>
      <c r="AI10" s="884"/>
      <c r="AJ10" s="884"/>
      <c r="AK10" s="884"/>
      <c r="AL10" s="884"/>
      <c r="AM10" s="651"/>
      <c r="AN10" s="651"/>
      <c r="AO10" s="651"/>
      <c r="AP10" s="651"/>
      <c r="AQ10" s="650"/>
      <c r="AR10" s="651"/>
      <c r="AS10" s="1724"/>
      <c r="AU10" s="784"/>
      <c r="AV10" s="784" t="str">
        <f>IF(T10="","",T10)</f>
        <v>Добавить группу потребителей</v>
      </c>
      <c r="AW10" s="784"/>
      <c r="AX10" s="784"/>
      <c r="AY10" s="1439">
        <v>0</v>
      </c>
    </row>
    <row customHeight="1" ht="21" hidden="1">
      <c r="A11" s="1647"/>
      <c r="B11" s="1647"/>
      <c r="C11" s="1647"/>
      <c r="D11" s="1647"/>
      <c r="E11" s="2543"/>
      <c r="F11" s="2543"/>
      <c r="G11" s="2543"/>
      <c r="H11" s="2542"/>
      <c r="I11" s="1647"/>
      <c r="J11" s="1647"/>
      <c r="K11" s="1647"/>
      <c r="L11" s="1648"/>
      <c r="M11" s="1649"/>
      <c r="N11" s="1649"/>
      <c r="O11" s="821"/>
      <c r="P11" s="644"/>
      <c r="Q11" s="659"/>
      <c r="R11" s="639"/>
      <c r="S11" s="1562"/>
      <c r="T11" s="656" t="s">
        <v>560</v>
      </c>
      <c r="U11" s="651"/>
      <c r="V11" s="651"/>
      <c r="W11" s="884"/>
      <c r="X11" s="884"/>
      <c r="Y11" s="884"/>
      <c r="Z11" s="884"/>
      <c r="AA11" s="884"/>
      <c r="AB11" s="884"/>
      <c r="AC11" s="651"/>
      <c r="AD11" s="651"/>
      <c r="AE11" s="651"/>
      <c r="AF11" s="650"/>
      <c r="AG11" s="651"/>
      <c r="AH11" s="884"/>
      <c r="AI11" s="884"/>
      <c r="AJ11" s="884"/>
      <c r="AK11" s="884"/>
      <c r="AL11" s="884"/>
      <c r="AM11" s="651"/>
      <c r="AN11" s="651"/>
      <c r="AO11" s="651"/>
      <c r="AP11" s="651"/>
      <c r="AQ11" s="650"/>
      <c r="AR11" s="651"/>
      <c r="AS11" s="587"/>
      <c r="AU11" s="784"/>
      <c r="AV11" s="784" t="str">
        <f>IF(T11="","",T11)</f>
        <v>Добавить наименование признака дифференциации</v>
      </c>
      <c r="AW11" s="784"/>
      <c r="AX11" s="784"/>
      <c r="AY11" s="1439">
        <v>0</v>
      </c>
    </row>
    <row s="30621" customFormat="1" customHeight="1" ht="14.25" hidden="1">
      <c r="A12" s="1627"/>
      <c r="B12" s="1627"/>
      <c r="C12" s="1598"/>
      <c r="D12" s="1598"/>
      <c r="E12" s="2543"/>
      <c r="F12" s="2542"/>
      <c r="G12" s="1598"/>
      <c r="H12" s="1598"/>
      <c r="I12" s="1598"/>
      <c r="J12" s="1598"/>
      <c r="K12" s="1598"/>
      <c r="L12" s="1778"/>
      <c r="M12" s="1605"/>
      <c r="N12" s="1605"/>
      <c r="P12" s="1600"/>
      <c r="Q12" s="1601"/>
      <c r="R12" s="1600"/>
      <c r="S12" s="1606"/>
      <c r="T12" s="1609" t="s">
        <v>214</v>
      </c>
      <c r="U12" s="1608"/>
      <c r="V12" s="1608"/>
      <c r="W12" s="1608"/>
      <c r="X12" s="1608"/>
      <c r="Y12" s="1608"/>
      <c r="Z12" s="1608"/>
      <c r="AA12" s="1608"/>
      <c r="AB12" s="1608"/>
      <c r="AC12" s="1608"/>
      <c r="AD12" s="1608"/>
      <c r="AE12" s="1608"/>
      <c r="AF12" s="1608"/>
      <c r="AG12" s="1608"/>
      <c r="AH12" s="1608"/>
      <c r="AI12" s="1608"/>
      <c r="AJ12" s="1608"/>
      <c r="AK12" s="1608"/>
      <c r="AL12" s="1608"/>
      <c r="AM12" s="1608"/>
      <c r="AN12" s="1608"/>
      <c r="AO12" s="1608"/>
      <c r="AP12" s="1608"/>
      <c r="AQ12" s="1608"/>
      <c r="AR12" s="1608"/>
      <c r="AS12" s="1608"/>
      <c r="AU12" s="1073"/>
      <c r="AV12" s="1073" t="str">
        <f>IF(T12="","",T12)</f>
        <v>Добавить централизованную систему для дифференциации</v>
      </c>
      <c r="AW12" s="1073"/>
      <c r="AX12" s="1073"/>
      <c r="AY12" s="802">
        <v>0</v>
      </c>
    </row>
    <row s="30621" customFormat="1" customHeight="1" ht="14.25" hidden="1">
      <c r="A13" s="1627"/>
      <c r="B13" s="1627"/>
      <c r="C13" s="1627"/>
      <c r="D13" s="1627"/>
      <c r="E13" s="2542"/>
      <c r="F13" s="1627"/>
      <c r="G13" s="1627"/>
      <c r="H13" s="1627"/>
      <c r="I13" s="1627"/>
      <c r="J13" s="1627"/>
      <c r="K13" s="1627"/>
      <c r="L13" s="1630"/>
      <c r="M13" s="1605"/>
      <c r="N13" s="1605"/>
      <c r="O13" s="802"/>
      <c r="P13" s="664"/>
      <c r="Q13" s="1628"/>
      <c r="R13" s="664"/>
      <c r="S13" s="1606"/>
      <c r="T13" s="1609" t="s">
        <v>230</v>
      </c>
      <c r="U13" s="1608"/>
      <c r="V13" s="1608"/>
      <c r="W13" s="1608"/>
      <c r="X13" s="1608"/>
      <c r="Y13" s="1608"/>
      <c r="Z13" s="1608"/>
      <c r="AA13" s="1608"/>
      <c r="AB13" s="1608"/>
      <c r="AC13" s="1608"/>
      <c r="AD13" s="1608"/>
      <c r="AE13" s="1608"/>
      <c r="AF13" s="1608"/>
      <c r="AG13" s="1608"/>
      <c r="AH13" s="1608"/>
      <c r="AI13" s="1608"/>
      <c r="AJ13" s="1608"/>
      <c r="AK13" s="1608"/>
      <c r="AL13" s="1608"/>
      <c r="AM13" s="1608"/>
      <c r="AN13" s="1608"/>
      <c r="AO13" s="1608"/>
      <c r="AP13" s="1608"/>
      <c r="AQ13" s="1608"/>
      <c r="AR13" s="1608"/>
      <c r="AS13" s="1608"/>
      <c r="AU13" s="784"/>
      <c r="AV13" s="784" t="str">
        <f>IF(T13="","",T13)</f>
        <v>Добавить территорию для дифференциации</v>
      </c>
      <c r="AW13" s="784"/>
      <c r="AX13" s="784"/>
      <c r="AY13" s="795">
        <v>0</v>
      </c>
    </row>
    <row customHeight="1" ht="14.25" hidden="1">
      <c r="AF14" s="611"/>
      <c r="AQ14" s="611"/>
      <c r="AY14" s="1439">
        <v>0</v>
      </c>
    </row>
    <row customHeight="1" ht="14.25" hidden="1">
      <c r="AG15" s="1644"/>
      <c r="AH15" s="1644"/>
      <c r="AI15" s="1644"/>
      <c r="AJ15" s="1644"/>
      <c r="AK15" s="1644"/>
      <c r="AL15" s="1644"/>
      <c r="AM15" s="1644"/>
      <c r="AN15" s="2551"/>
      <c r="AO15" s="2552" t="s">
        <v>64</v>
      </c>
      <c r="AP15" s="2551"/>
      <c r="AQ15" s="2552" t="s">
        <v>64</v>
      </c>
      <c r="AY15" s="1439">
        <v>0</v>
      </c>
    </row>
    <row customHeight="1" ht="14.25" hidden="1">
      <c r="AG16" s="1644"/>
      <c r="AH16" s="1644"/>
      <c r="AI16" s="1644"/>
      <c r="AJ16" s="1644"/>
      <c r="AK16" s="1644"/>
      <c r="AL16" s="1644"/>
      <c r="AM16" s="1644"/>
      <c r="AN16" s="2552"/>
      <c r="AO16" s="2552"/>
      <c r="AP16" s="2552"/>
      <c r="AQ16" s="2552"/>
      <c r="AY16" s="1439">
        <v>0</v>
      </c>
    </row>
    <row customHeight="1" ht="14.25" hidden="1">
      <c r="AQ17" s="611"/>
      <c r="AY17" s="1439">
        <v>0</v>
      </c>
    </row>
    <row s="30620" customFormat="1" customHeight="1" ht="22.5" hidden="1">
      <c r="L18" s="1762"/>
      <c r="M18" s="1646"/>
      <c r="N18" s="1646"/>
      <c r="O18" s="1651" t="s">
        <v>474</v>
      </c>
      <c r="P18" s="1646"/>
      <c r="Q18" s="1655"/>
      <c r="R18" s="1655"/>
      <c r="S18" s="1013"/>
      <c r="W18" s="1650"/>
      <c r="X18" s="1650"/>
      <c r="Y18" s="1650"/>
      <c r="Z18" s="1650"/>
      <c r="AA18" s="1650"/>
      <c r="AB18" s="1650"/>
      <c r="AC18" s="1651"/>
      <c r="AE18" s="1651"/>
      <c r="AF18" s="1650"/>
      <c r="AH18" s="1650"/>
      <c r="AI18" s="1650"/>
      <c r="AJ18" s="1650"/>
      <c r="AK18" s="1650"/>
      <c r="AL18" s="1650"/>
      <c r="AN18" s="1651"/>
      <c r="AP18" s="1651"/>
      <c r="AQ18" s="1650"/>
      <c r="AT18" s="795"/>
      <c r="AU18" s="795"/>
      <c r="AV18" s="795"/>
      <c r="AW18" s="795"/>
      <c r="AX18" s="795"/>
      <c r="AY18" s="1444">
        <v>0</v>
      </c>
    </row>
    <row s="30620" customFormat="1" customHeight="1" ht="14.25" hidden="1">
      <c r="L19" s="1762"/>
      <c r="M19" s="1646"/>
      <c r="N19" s="1646"/>
      <c r="O19" s="1646"/>
      <c r="P19" s="1646"/>
      <c r="Q19" s="1655"/>
      <c r="R19" s="1655"/>
      <c r="S19" s="1013"/>
      <c r="W19" s="1650"/>
      <c r="X19" s="1650"/>
      <c r="Y19" s="1650"/>
      <c r="Z19" s="1650"/>
      <c r="AA19" s="1650"/>
      <c r="AB19" s="1650"/>
      <c r="AF19" s="1650"/>
      <c r="AH19" s="1650"/>
      <c r="AI19" s="1650"/>
      <c r="AJ19" s="1650"/>
      <c r="AK19" s="1650"/>
      <c r="AL19" s="1650"/>
      <c r="AQ19" s="1650"/>
      <c r="AT19" s="795"/>
      <c r="AU19" s="795"/>
      <c r="AV19" s="795"/>
      <c r="AW19" s="795"/>
      <c r="AX19" s="795"/>
      <c r="AY19" s="1444">
        <v>0</v>
      </c>
    </row>
    <row s="30620" customFormat="1" customHeight="1" ht="12" hidden="1">
      <c r="L20" s="1762"/>
      <c r="M20" s="1646"/>
      <c r="N20" s="1646"/>
      <c r="O20" s="1648" t="s">
        <v>475</v>
      </c>
      <c r="P20" s="1646"/>
      <c r="Q20" s="1726"/>
      <c r="R20" s="1726"/>
      <c r="S20" s="1013"/>
      <c r="T20" s="1444" t="s">
        <v>476</v>
      </c>
      <c r="W20" s="1650"/>
      <c r="X20" s="1650"/>
      <c r="Y20" s="1650"/>
      <c r="Z20" s="1650"/>
      <c r="AA20" s="1650"/>
      <c r="AB20" s="1650"/>
      <c r="AD20" s="470" t="s">
        <v>477</v>
      </c>
      <c r="AF20" s="470" t="s">
        <v>478</v>
      </c>
      <c r="AG20" s="1444" t="s">
        <v>476</v>
      </c>
      <c r="AH20" s="1650"/>
      <c r="AI20" s="1650"/>
      <c r="AJ20" s="1650"/>
      <c r="AK20" s="1650"/>
      <c r="AL20" s="1650"/>
      <c r="AO20" s="470" t="s">
        <v>479</v>
      </c>
      <c r="AQ20" s="470" t="s">
        <v>478</v>
      </c>
      <c r="AY20" s="1444">
        <v>0</v>
      </c>
    </row>
    <row customHeight="1" ht="14.25" hidden="1">
      <c r="O21" s="1648"/>
      <c r="AY21" s="1439">
        <v>0</v>
      </c>
    </row>
    <row customHeight="1" ht="14.25" hidden="1">
      <c r="O22" s="1648"/>
      <c r="AY22" s="1439">
        <v>0</v>
      </c>
    </row>
    <row customHeight="1" ht="14.699999999999998">
      <c r="Q23" s="660"/>
      <c r="R23" s="660"/>
      <c r="S23" s="1559"/>
      <c r="T23" s="647"/>
      <c r="U23" s="647"/>
      <c r="V23" s="793"/>
      <c r="W23" s="1919"/>
      <c r="X23" s="1919"/>
      <c r="Y23" s="1919"/>
      <c r="Z23" s="1919"/>
      <c r="AA23" s="1919"/>
      <c r="AB23" s="1919"/>
      <c r="AC23" s="793"/>
      <c r="AD23" s="793"/>
      <c r="AE23" s="793"/>
      <c r="AF23" s="793"/>
      <c r="AG23" s="793"/>
      <c r="AH23" s="1919"/>
      <c r="AI23" s="1919"/>
      <c r="AJ23" s="1919"/>
      <c r="AK23" s="1919"/>
      <c r="AL23" s="1919"/>
      <c r="AM23" s="793"/>
      <c r="AN23" s="793"/>
      <c r="AO23" s="793"/>
      <c r="AP23" s="793"/>
      <c r="AQ23" s="793"/>
      <c r="AY23" s="1439">
        <v>14</v>
      </c>
    </row>
    <row customHeight="1" ht="26.25">
      <c r="Q24" s="660"/>
      <c r="R24" s="660"/>
      <c r="S24" s="253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32"/>
      <c r="U24" s="2532"/>
      <c r="V24" s="2532"/>
      <c r="W24" s="2532"/>
      <c r="X24" s="2532"/>
      <c r="Y24" s="2532"/>
      <c r="Z24" s="2532"/>
      <c r="AA24" s="2532"/>
      <c r="AB24" s="2532"/>
      <c r="AC24" s="2532"/>
      <c r="AD24" s="2532"/>
      <c r="AE24" s="2532"/>
      <c r="AF24" s="2532"/>
      <c r="AG24" s="2532"/>
      <c r="AH24" s="2532"/>
      <c r="AI24" s="2532"/>
      <c r="AJ24" s="2532"/>
      <c r="AK24" s="2532"/>
      <c r="AL24" s="2532"/>
      <c r="AM24" s="2532"/>
      <c r="AN24" s="2532"/>
      <c r="AO24" s="2532"/>
      <c r="AP24" s="2532"/>
      <c r="AQ24" s="1527"/>
      <c r="AY24" s="1439">
        <v>25</v>
      </c>
    </row>
    <row customHeight="1" ht="14.699999999999998">
      <c r="Q25" s="660"/>
      <c r="R25" s="660"/>
      <c r="S25" s="2533" t="str">
        <f>IF(org=0,"Не определено",org)</f>
        <v>АО "ДГК"</v>
      </c>
      <c r="T25" s="2533"/>
      <c r="U25" s="2533"/>
      <c r="V25" s="2533"/>
      <c r="W25" s="2533"/>
      <c r="X25" s="2533"/>
      <c r="Y25" s="2533"/>
      <c r="Z25" s="2533"/>
      <c r="AA25" s="2533"/>
      <c r="AB25" s="2533"/>
      <c r="AC25" s="2533"/>
      <c r="AD25" s="2533"/>
      <c r="AE25" s="2533"/>
      <c r="AF25" s="2533"/>
      <c r="AG25" s="2533"/>
      <c r="AH25" s="2533"/>
      <c r="AI25" s="2533"/>
      <c r="AJ25" s="2533"/>
      <c r="AK25" s="2533"/>
      <c r="AL25" s="2533"/>
      <c r="AM25" s="2533"/>
      <c r="AN25" s="2533"/>
      <c r="AO25" s="2533"/>
      <c r="AP25" s="2533"/>
      <c r="AQ25" s="1527"/>
      <c r="AY25" s="1439">
        <v>14</v>
      </c>
    </row>
    <row customHeight="1" ht="14.25">
      <c r="Q26" s="660"/>
      <c r="R26" s="660"/>
      <c r="S26" s="1559"/>
      <c r="T26" s="647"/>
      <c r="U26" s="647"/>
      <c r="V26" s="606"/>
      <c r="W26" s="606"/>
      <c r="X26" s="606"/>
      <c r="Y26" s="606"/>
      <c r="Z26" s="606"/>
      <c r="AA26" s="606"/>
      <c r="AB26" s="606"/>
      <c r="AC26" s="606"/>
      <c r="AD26" s="606"/>
      <c r="AE26" s="606"/>
      <c r="AF26" s="606"/>
      <c r="AG26" s="606"/>
      <c r="AH26" s="606"/>
      <c r="AI26" s="606"/>
      <c r="AJ26" s="606"/>
      <c r="AK26" s="606"/>
      <c r="AL26" s="606"/>
      <c r="AM26" s="606"/>
      <c r="AN26" s="606"/>
      <c r="AO26" s="606"/>
      <c r="AP26" s="606"/>
      <c r="AQ26" s="606"/>
      <c r="AR26" s="793"/>
      <c r="AY26" s="1439">
        <v>0</v>
      </c>
    </row>
    <row s="30764" customFormat="1" customHeight="1" ht="25.5">
      <c r="A27" s="1652"/>
      <c r="B27" s="1652"/>
      <c r="C27" s="1652"/>
      <c r="D27" s="1652"/>
      <c r="E27" s="1652"/>
      <c r="F27" s="1652"/>
      <c r="G27" s="1652"/>
      <c r="H27" s="1652"/>
      <c r="I27" s="1652"/>
      <c r="J27" s="1652"/>
      <c r="K27" s="1652"/>
      <c r="L27" s="1653"/>
      <c r="M27" s="1652"/>
      <c r="N27" s="1652"/>
      <c r="O27" s="1652"/>
      <c r="S27" s="2534" t="s">
        <v>42</v>
      </c>
      <c r="T27" s="2534"/>
      <c r="U27" s="1656"/>
      <c r="V27" s="2535" t="str">
        <f>IF(TITLE_NAME_OR_PR_CHANGE="",IF(TITLE_NAME_OR_PR="","",TITLE_NAME_OR_PR),TITLE_NAME_OR_PR_CHANGE)</f>
        <v>Комитет по ценам и тарифам Правительства Хабаровского края</v>
      </c>
      <c r="W27" s="2535"/>
      <c r="X27" s="2535"/>
      <c r="Y27" s="2535"/>
      <c r="Z27" s="2535"/>
      <c r="AA27" s="2535"/>
      <c r="AB27" s="2535"/>
      <c r="AC27" s="2535"/>
      <c r="AD27" s="2535"/>
      <c r="AE27" s="2535"/>
      <c r="AF27" s="610"/>
      <c r="AG27" s="2535" t="str">
        <f>IF(TITLE_NAME_OR_PR_CHANGE="",IF(TITLE_NAME_OR_PR="","",TITLE_NAME_OR_PR),TITLE_NAME_OR_PR_CHANGE)</f>
        <v>Комитет по ценам и тарифам Правительства Хабаровского края</v>
      </c>
      <c r="AH27" s="2535"/>
      <c r="AI27" s="2535"/>
      <c r="AJ27" s="2535"/>
      <c r="AK27" s="2535"/>
      <c r="AL27" s="2535"/>
      <c r="AM27" s="2535"/>
      <c r="AN27" s="2535"/>
      <c r="AO27" s="2535"/>
      <c r="AP27" s="2535"/>
      <c r="AQ27" s="610"/>
      <c r="AR27" s="610"/>
      <c r="AS27" s="564"/>
      <c r="AT27" s="652"/>
      <c r="AU27" s="652"/>
      <c r="AV27" s="652"/>
      <c r="AW27" s="652"/>
      <c r="AX27" s="652"/>
      <c r="AY27" s="702">
        <v>0</v>
      </c>
    </row>
    <row s="30764" customFormat="1" customHeight="1" ht="18.75">
      <c r="A28" s="1652"/>
      <c r="B28" s="1652"/>
      <c r="C28" s="1652"/>
      <c r="D28" s="1652"/>
      <c r="E28" s="1652"/>
      <c r="F28" s="1652"/>
      <c r="G28" s="1652"/>
      <c r="H28" s="1652"/>
      <c r="I28" s="1652"/>
      <c r="J28" s="1652"/>
      <c r="K28" s="1652"/>
      <c r="L28" s="1653"/>
      <c r="M28" s="1652"/>
      <c r="N28" s="1652"/>
      <c r="O28" s="1652"/>
      <c r="S28" s="2534" t="s">
        <v>480</v>
      </c>
      <c r="T28" s="2534"/>
      <c r="U28" s="1656"/>
      <c r="V28" s="2548" t="str">
        <f>IF(TITLE_DATE_PR_CHANGE="",IF(TITLE_DATE_PR="","",TITLE_DATE_PR),TITLE_DATE_PR_CHANGE)</f>
        <v>45645</v>
      </c>
      <c r="W28" s="2548"/>
      <c r="X28" s="2548"/>
      <c r="Y28" s="2548"/>
      <c r="Z28" s="2548"/>
      <c r="AA28" s="2548"/>
      <c r="AB28" s="2548"/>
      <c r="AC28" s="2548"/>
      <c r="AD28" s="2548"/>
      <c r="AE28" s="2548"/>
      <c r="AF28" s="610"/>
      <c r="AG28" s="2548" t="str">
        <f>IF(TITLE_DATE_PR_CHANGE="",IF(TITLE_DATE_PR="","",TITLE_DATE_PR),TITLE_DATE_PR_CHANGE)</f>
        <v>45645</v>
      </c>
      <c r="AH28" s="2548"/>
      <c r="AI28" s="2548"/>
      <c r="AJ28" s="2548"/>
      <c r="AK28" s="2548"/>
      <c r="AL28" s="2548"/>
      <c r="AM28" s="2548"/>
      <c r="AN28" s="2548"/>
      <c r="AO28" s="2548"/>
      <c r="AP28" s="2548"/>
      <c r="AQ28" s="610"/>
      <c r="AR28" s="610"/>
      <c r="AS28" s="564"/>
      <c r="AT28" s="652"/>
      <c r="AU28" s="652"/>
      <c r="AV28" s="652"/>
      <c r="AW28" s="652"/>
      <c r="AX28" s="652"/>
      <c r="AY28" s="702">
        <v>0</v>
      </c>
    </row>
    <row s="30764" customFormat="1" customHeight="1" ht="18.75">
      <c r="A29" s="1652"/>
      <c r="B29" s="1652"/>
      <c r="C29" s="1652"/>
      <c r="D29" s="1652"/>
      <c r="E29" s="1652"/>
      <c r="F29" s="1652"/>
      <c r="G29" s="1652"/>
      <c r="H29" s="1652"/>
      <c r="I29" s="1652"/>
      <c r="J29" s="1652"/>
      <c r="K29" s="1652"/>
      <c r="L29" s="1653"/>
      <c r="M29" s="1652"/>
      <c r="N29" s="1652"/>
      <c r="O29" s="1652"/>
      <c r="S29" s="2534" t="s">
        <v>481</v>
      </c>
      <c r="T29" s="2534"/>
      <c r="U29" s="1656"/>
      <c r="V29" s="2535" t="str">
        <f>IF(TITLE_NUMBER_PR_CHANGE="",IF(TITLE_NUMBER_PR="","",TITLE_NUMBER_PR),TITLE_NUMBER_PR_CHANGE)</f>
        <v>№ 40/8</v>
      </c>
      <c r="W29" s="2535"/>
      <c r="X29" s="2535"/>
      <c r="Y29" s="2535"/>
      <c r="Z29" s="2535"/>
      <c r="AA29" s="2535"/>
      <c r="AB29" s="2535"/>
      <c r="AC29" s="2535"/>
      <c r="AD29" s="2535"/>
      <c r="AE29" s="2535"/>
      <c r="AF29" s="610"/>
      <c r="AG29" s="2535" t="str">
        <f>IF(TITLE_NUMBER_PR_CHANGE="",IF(TITLE_NUMBER_PR="","",TITLE_NUMBER_PR),TITLE_NUMBER_PR_CHANGE)</f>
        <v>№ 40/8</v>
      </c>
      <c r="AH29" s="2535"/>
      <c r="AI29" s="2535"/>
      <c r="AJ29" s="2535"/>
      <c r="AK29" s="2535"/>
      <c r="AL29" s="2535"/>
      <c r="AM29" s="2535"/>
      <c r="AN29" s="2535"/>
      <c r="AO29" s="2535"/>
      <c r="AP29" s="2535"/>
      <c r="AQ29" s="610"/>
      <c r="AR29" s="610"/>
      <c r="AS29" s="564"/>
      <c r="AT29" s="652"/>
      <c r="AU29" s="652"/>
      <c r="AV29" s="652"/>
      <c r="AW29" s="652"/>
      <c r="AX29" s="652"/>
      <c r="AY29" s="702">
        <v>0</v>
      </c>
    </row>
    <row s="30764" customFormat="1" customHeight="1" ht="18.75">
      <c r="A30" s="1652"/>
      <c r="B30" s="1652"/>
      <c r="C30" s="1652"/>
      <c r="D30" s="1652"/>
      <c r="E30" s="1652"/>
      <c r="F30" s="1652"/>
      <c r="G30" s="1652"/>
      <c r="H30" s="1652"/>
      <c r="I30" s="1652"/>
      <c r="J30" s="1652"/>
      <c r="K30" s="1652"/>
      <c r="L30" s="1653"/>
      <c r="M30" s="1652"/>
      <c r="N30" s="1652"/>
      <c r="O30" s="1652"/>
      <c r="S30" s="2534" t="s">
        <v>44</v>
      </c>
      <c r="T30" s="2534"/>
      <c r="U30" s="1656"/>
      <c r="V30" s="2535" t="str">
        <f>IF(TITLE_IST_PUB_CHANGE="",IF(TITLE_IST_PUB="","",TITLE_IST_PUB),TITLE_IST_PUB_CHANGE)</f>
        <v>Официальный интернет - портал нормативных правовых актов Хабаровского края https://laws.khv.gov.ru/</v>
      </c>
      <c r="W30" s="2535"/>
      <c r="X30" s="2535"/>
      <c r="Y30" s="2535"/>
      <c r="Z30" s="2535"/>
      <c r="AA30" s="2535"/>
      <c r="AB30" s="2535"/>
      <c r="AC30" s="2535"/>
      <c r="AD30" s="2535"/>
      <c r="AE30" s="2535"/>
      <c r="AF30" s="610"/>
      <c r="AG30" s="2535" t="str">
        <f>IF(TITLE_IST_PUB_CHANGE="",IF(TITLE_IST_PUB="","",TITLE_IST_PUB),TITLE_IST_PUB_CHANGE)</f>
        <v>Официальный интернет - портал нормативных правовых актов Хабаровского края https://laws.khv.gov.ru/</v>
      </c>
      <c r="AH30" s="2535"/>
      <c r="AI30" s="2535"/>
      <c r="AJ30" s="2535"/>
      <c r="AK30" s="2535"/>
      <c r="AL30" s="2535"/>
      <c r="AM30" s="2535"/>
      <c r="AN30" s="2535"/>
      <c r="AO30" s="2535"/>
      <c r="AP30" s="2535"/>
      <c r="AQ30" s="610"/>
      <c r="AR30" s="610"/>
      <c r="AS30" s="564"/>
      <c r="AT30" s="652"/>
      <c r="AU30" s="652"/>
      <c r="AV30" s="652"/>
      <c r="AW30" s="652"/>
      <c r="AX30" s="652"/>
      <c r="AY30" s="702">
        <v>0</v>
      </c>
    </row>
    <row customHeight="1" ht="14.25" hidden="1">
      <c r="Q31" s="660"/>
      <c r="R31" s="660"/>
      <c r="S31" s="1559"/>
      <c r="T31" s="647"/>
      <c r="U31" s="647"/>
      <c r="V31" s="606"/>
      <c r="W31" s="606"/>
      <c r="X31" s="606"/>
      <c r="Y31" s="606"/>
      <c r="Z31" s="606"/>
      <c r="AA31" s="606"/>
      <c r="AB31" s="606"/>
      <c r="AC31" s="606"/>
      <c r="AD31" s="606"/>
      <c r="AE31" s="606"/>
      <c r="AF31" s="606"/>
      <c r="AG31" s="606"/>
      <c r="AH31" s="606"/>
      <c r="AI31" s="606"/>
      <c r="AJ31" s="606"/>
      <c r="AK31" s="606"/>
      <c r="AL31" s="606"/>
      <c r="AM31" s="606"/>
      <c r="AN31" s="606"/>
      <c r="AO31" s="606"/>
      <c r="AP31" s="606"/>
      <c r="AQ31" s="606"/>
      <c r="AR31" s="793"/>
      <c r="AY31" s="1439">
        <v>0</v>
      </c>
    </row>
    <row s="30764" customFormat="1" customHeight="1" ht="18.75" hidden="1">
      <c r="A32" s="1652"/>
      <c r="B32" s="1652"/>
      <c r="C32" s="1652"/>
      <c r="D32" s="1652"/>
      <c r="E32" s="1652"/>
      <c r="F32" s="1652"/>
      <c r="G32" s="1652"/>
      <c r="H32" s="1652"/>
      <c r="I32" s="1652"/>
      <c r="J32" s="1652"/>
      <c r="K32" s="1652"/>
      <c r="L32" s="1653"/>
      <c r="M32" s="1652"/>
      <c r="N32" s="1652"/>
      <c r="O32" s="1652"/>
      <c r="S32" s="2534" t="s">
        <v>482</v>
      </c>
      <c r="T32" s="2534"/>
      <c r="U32" s="1656"/>
      <c r="V32" s="2548" t="str">
        <f>IF(TITLE_DATE_PR_CHANGE="",IF(TITLE_DATE_PR="","",TITLE_DATE_PR),TITLE_DATE_PR_CHANGE)</f>
        <v>45645</v>
      </c>
      <c r="W32" s="2548"/>
      <c r="X32" s="2548"/>
      <c r="Y32" s="2548"/>
      <c r="Z32" s="2548"/>
      <c r="AA32" s="2548"/>
      <c r="AB32" s="2548"/>
      <c r="AC32" s="2548"/>
      <c r="AD32" s="2548"/>
      <c r="AE32" s="2548"/>
      <c r="AF32" s="610"/>
      <c r="AG32" s="2548" t="str">
        <f>IF(TITLE_DATE_PR_CHANGE="",IF(TITLE_DATE_PR="","",TITLE_DATE_PR),TITLE_DATE_PR_CHANGE)</f>
        <v>45645</v>
      </c>
      <c r="AH32" s="2548"/>
      <c r="AI32" s="2548"/>
      <c r="AJ32" s="2548"/>
      <c r="AK32" s="2548"/>
      <c r="AL32" s="2548"/>
      <c r="AM32" s="2548"/>
      <c r="AN32" s="2548"/>
      <c r="AO32" s="2548"/>
      <c r="AP32" s="2548"/>
      <c r="AQ32" s="610"/>
      <c r="AR32" s="610"/>
      <c r="AS32" s="564"/>
      <c r="AT32" s="652"/>
      <c r="AU32" s="652"/>
      <c r="AV32" s="652"/>
      <c r="AW32" s="652"/>
      <c r="AX32" s="652"/>
      <c r="AY32" s="702">
        <v>0</v>
      </c>
    </row>
    <row s="30764" customFormat="1" customHeight="1" ht="18.75" hidden="1">
      <c r="A33" s="1652"/>
      <c r="B33" s="1652"/>
      <c r="C33" s="1652"/>
      <c r="D33" s="1652"/>
      <c r="E33" s="1652"/>
      <c r="F33" s="1652"/>
      <c r="G33" s="1652"/>
      <c r="H33" s="1652"/>
      <c r="I33" s="1652"/>
      <c r="J33" s="1652"/>
      <c r="K33" s="1652"/>
      <c r="L33" s="1653"/>
      <c r="M33" s="1652"/>
      <c r="N33" s="1652"/>
      <c r="O33" s="1652"/>
      <c r="S33" s="2534" t="s">
        <v>483</v>
      </c>
      <c r="T33" s="2534"/>
      <c r="U33" s="1656"/>
      <c r="V33" s="2535" t="str">
        <f>IF(TITLE_NUMBER_PR_CHANGE="",IF(TITLE_NUMBER_PR="","",TITLE_NUMBER_PR),TITLE_NUMBER_PR_CHANGE)</f>
        <v>№ 40/8</v>
      </c>
      <c r="W33" s="2535"/>
      <c r="X33" s="2535"/>
      <c r="Y33" s="2535"/>
      <c r="Z33" s="2535"/>
      <c r="AA33" s="2535"/>
      <c r="AB33" s="2535"/>
      <c r="AC33" s="2535"/>
      <c r="AD33" s="2535"/>
      <c r="AE33" s="2535"/>
      <c r="AF33" s="610"/>
      <c r="AG33" s="2535" t="str">
        <f>IF(TITLE_NUMBER_PR_CHANGE="",IF(TITLE_NUMBER_PR="","",TITLE_NUMBER_PR),TITLE_NUMBER_PR_CHANGE)</f>
        <v>№ 40/8</v>
      </c>
      <c r="AH33" s="2535"/>
      <c r="AI33" s="2535"/>
      <c r="AJ33" s="2535"/>
      <c r="AK33" s="2535"/>
      <c r="AL33" s="2535"/>
      <c r="AM33" s="2535"/>
      <c r="AN33" s="2535"/>
      <c r="AO33" s="2535"/>
      <c r="AP33" s="2535"/>
      <c r="AQ33" s="610"/>
      <c r="AR33" s="610"/>
      <c r="AS33" s="564"/>
      <c r="AT33" s="652"/>
      <c r="AU33" s="652"/>
      <c r="AV33" s="652"/>
      <c r="AW33" s="652"/>
      <c r="AX33" s="652"/>
      <c r="AY33" s="702">
        <v>0</v>
      </c>
    </row>
    <row s="30764" customFormat="1" customHeight="1" ht="1.05">
      <c r="A34" s="1652"/>
      <c r="B34" s="1652"/>
      <c r="C34" s="1652"/>
      <c r="D34" s="1652"/>
      <c r="E34" s="1652"/>
      <c r="F34" s="1652"/>
      <c r="G34" s="1652"/>
      <c r="H34" s="1652"/>
      <c r="I34" s="1652"/>
      <c r="J34" s="1652"/>
      <c r="K34" s="1652"/>
      <c r="L34" s="1653"/>
      <c r="M34" s="1652"/>
      <c r="N34" s="1652"/>
      <c r="O34" s="1652"/>
      <c r="S34" s="607"/>
      <c r="T34" s="607"/>
      <c r="U34" s="1772"/>
      <c r="V34" s="610"/>
      <c r="W34" s="1919"/>
      <c r="X34" s="1919"/>
      <c r="Y34" s="1919"/>
      <c r="Z34" s="1919"/>
      <c r="AA34" s="1919"/>
      <c r="AB34" s="1919"/>
      <c r="AC34" s="610"/>
      <c r="AD34" s="610"/>
      <c r="AE34" s="610"/>
      <c r="AF34" s="562" t="s">
        <v>484</v>
      </c>
      <c r="AG34" s="610"/>
      <c r="AH34" s="1919"/>
      <c r="AI34" s="1919"/>
      <c r="AJ34" s="1919"/>
      <c r="AK34" s="1919"/>
      <c r="AL34" s="1919"/>
      <c r="AM34" s="610"/>
      <c r="AN34" s="610"/>
      <c r="AO34" s="610"/>
      <c r="AP34" s="610"/>
      <c r="AQ34" s="562" t="s">
        <v>484</v>
      </c>
      <c r="AT34" s="652"/>
      <c r="AU34" s="652"/>
      <c r="AV34" s="652"/>
      <c r="AW34" s="652"/>
      <c r="AX34" s="652"/>
      <c r="AY34" s="702">
        <v>1</v>
      </c>
    </row>
    <row customHeight="1" ht="14.699999999999998">
      <c r="Q35" s="660"/>
      <c r="R35" s="660"/>
      <c r="S35" s="1559"/>
      <c r="T35" s="647"/>
      <c r="U35" s="1528"/>
      <c r="V35" s="2536"/>
      <c r="W35" s="2536"/>
      <c r="X35" s="2536"/>
      <c r="Y35" s="2536"/>
      <c r="Z35" s="2536"/>
      <c r="AA35" s="2536"/>
      <c r="AB35" s="2536"/>
      <c r="AC35" s="2536"/>
      <c r="AD35" s="2536"/>
      <c r="AE35" s="2536"/>
      <c r="AF35" s="2536"/>
      <c r="AG35" s="2536"/>
      <c r="AH35" s="2536"/>
      <c r="AI35" s="2536"/>
      <c r="AJ35" s="2536"/>
      <c r="AK35" s="2536"/>
      <c r="AL35" s="2536"/>
      <c r="AM35" s="2536"/>
      <c r="AN35" s="2536"/>
      <c r="AO35" s="2536"/>
      <c r="AP35" s="2536"/>
      <c r="AQ35" s="2536"/>
      <c r="AY35" s="1439">
        <v>14</v>
      </c>
    </row>
    <row customHeight="1" ht="14.699999999999998">
      <c r="Q36" s="660"/>
      <c r="R36" s="660"/>
      <c r="S36" s="2411" t="s">
        <v>360</v>
      </c>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c r="AS36" s="2411" t="s">
        <v>361</v>
      </c>
      <c r="AY36" s="1439">
        <v>14</v>
      </c>
    </row>
    <row customHeight="1" ht="14.699999999999998">
      <c r="Q37" s="660"/>
      <c r="R37" s="660"/>
      <c r="S37" s="2557" t="s">
        <v>91</v>
      </c>
      <c r="T37" s="2493" t="s">
        <v>485</v>
      </c>
      <c r="U37" s="585"/>
      <c r="V37" s="2558" t="s">
        <v>486</v>
      </c>
      <c r="W37" s="2575"/>
      <c r="X37" s="2575"/>
      <c r="Y37" s="2575"/>
      <c r="Z37" s="2575"/>
      <c r="AA37" s="2575"/>
      <c r="AB37" s="2575"/>
      <c r="AC37" s="2559"/>
      <c r="AD37" s="2559"/>
      <c r="AE37" s="2560"/>
      <c r="AF37" s="2561" t="s">
        <v>487</v>
      </c>
      <c r="AG37" s="2558" t="s">
        <v>486</v>
      </c>
      <c r="AH37" s="2559"/>
      <c r="AI37" s="2559"/>
      <c r="AJ37" s="2559"/>
      <c r="AK37" s="2559"/>
      <c r="AL37" s="2559"/>
      <c r="AM37" s="2559"/>
      <c r="AN37" s="2559"/>
      <c r="AO37" s="2559"/>
      <c r="AP37" s="2560"/>
      <c r="AQ37" s="2561" t="s">
        <v>488</v>
      </c>
      <c r="AR37" s="2564" t="s">
        <v>489</v>
      </c>
      <c r="AS37" s="2411"/>
      <c r="AY37" s="1439">
        <v>14</v>
      </c>
    </row>
    <row customHeight="1" ht="19.95">
      <c r="Q38" s="660"/>
      <c r="R38" s="660"/>
      <c r="S38" s="2557"/>
      <c r="T38" s="2493"/>
      <c r="U38" s="1315"/>
      <c r="V38" s="2650" t="s">
        <v>604</v>
      </c>
      <c r="W38" s="2649" t="s">
        <v>605</v>
      </c>
      <c r="X38" s="2649"/>
      <c r="Y38" s="2649"/>
      <c r="Z38" s="2649" t="s">
        <v>606</v>
      </c>
      <c r="AA38" s="2649"/>
      <c r="AB38" s="2649"/>
      <c r="AC38" s="2578" t="s">
        <v>493</v>
      </c>
      <c r="AD38" s="2597"/>
      <c r="AE38" s="2598"/>
      <c r="AF38" s="2562"/>
      <c r="AG38" s="2650" t="s">
        <v>604</v>
      </c>
      <c r="AH38" s="2649" t="s">
        <v>605</v>
      </c>
      <c r="AI38" s="2649"/>
      <c r="AJ38" s="2649"/>
      <c r="AK38" s="2649" t="s">
        <v>606</v>
      </c>
      <c r="AL38" s="2649"/>
      <c r="AM38" s="2649"/>
      <c r="AN38" s="2578" t="s">
        <v>493</v>
      </c>
      <c r="AO38" s="2597"/>
      <c r="AP38" s="2598"/>
      <c r="AQ38" s="2562"/>
      <c r="AR38" s="2565"/>
      <c r="AS38" s="2411"/>
      <c r="AY38" s="1439">
        <v>19</v>
      </c>
    </row>
    <row s="30541" customFormat="1" customHeight="1" ht="19.95">
      <c r="A39" s="1650"/>
      <c r="B39" s="1650"/>
      <c r="C39" s="1650"/>
      <c r="D39" s="1650"/>
      <c r="E39" s="1650"/>
      <c r="F39" s="1650"/>
      <c r="G39" s="1650"/>
      <c r="H39" s="1650"/>
      <c r="I39" s="1650"/>
      <c r="J39" s="1650"/>
      <c r="K39" s="1650"/>
      <c r="L39" s="2235"/>
      <c r="M39" s="1646"/>
      <c r="N39" s="1646"/>
      <c r="O39" s="1646"/>
      <c r="P39" s="2249"/>
      <c r="Q39" s="660"/>
      <c r="R39" s="660"/>
      <c r="S39" s="2557"/>
      <c r="T39" s="2493"/>
      <c r="U39" s="1315"/>
      <c r="V39" s="2650"/>
      <c r="W39" s="2649" t="s">
        <v>607</v>
      </c>
      <c r="X39" s="2649" t="s">
        <v>608</v>
      </c>
      <c r="Y39" s="2649"/>
      <c r="Z39" s="2649" t="s">
        <v>609</v>
      </c>
      <c r="AA39" s="2649" t="s">
        <v>608</v>
      </c>
      <c r="AB39" s="2649"/>
      <c r="AC39" s="2579"/>
      <c r="AD39" s="2599"/>
      <c r="AE39" s="2600"/>
      <c r="AF39" s="2562"/>
      <c r="AG39" s="2650"/>
      <c r="AH39" s="2649" t="s">
        <v>607</v>
      </c>
      <c r="AI39" s="2649" t="s">
        <v>608</v>
      </c>
      <c r="AJ39" s="2649"/>
      <c r="AK39" s="2649" t="s">
        <v>609</v>
      </c>
      <c r="AL39" s="2649" t="s">
        <v>608</v>
      </c>
      <c r="AM39" s="2649"/>
      <c r="AN39" s="2579"/>
      <c r="AO39" s="2599"/>
      <c r="AP39" s="2600"/>
      <c r="AQ39" s="2562"/>
      <c r="AR39" s="2565"/>
      <c r="AS39" s="2411"/>
      <c r="AT39" s="1920"/>
      <c r="AU39" s="1920"/>
      <c r="AV39" s="1920"/>
      <c r="AW39" s="1920"/>
      <c r="AX39" s="1920"/>
      <c r="AY39" s="1915">
        <v>19</v>
      </c>
    </row>
    <row customHeight="1" ht="61.949999999999996">
      <c r="A40" s="1654"/>
      <c r="B40" s="1654" t="s">
        <v>165</v>
      </c>
      <c r="C40" s="1654" t="s">
        <v>166</v>
      </c>
      <c r="D40" s="1654" t="s">
        <v>167</v>
      </c>
      <c r="E40" s="1648" t="s">
        <v>494</v>
      </c>
      <c r="F40" s="1648" t="s">
        <v>495</v>
      </c>
      <c r="G40" s="1648" t="s">
        <v>496</v>
      </c>
      <c r="H40" s="1648"/>
      <c r="I40" s="1648" t="s">
        <v>562</v>
      </c>
      <c r="J40" s="1648" t="s">
        <v>499</v>
      </c>
      <c r="K40" s="1648" t="s">
        <v>563</v>
      </c>
      <c r="L40" s="1648" t="s">
        <v>475</v>
      </c>
      <c r="Q40" s="660"/>
      <c r="R40" s="660"/>
      <c r="S40" s="2557"/>
      <c r="T40" s="2493"/>
      <c r="U40" s="586"/>
      <c r="V40" s="2650"/>
      <c r="W40" s="2649"/>
      <c r="X40" s="2267" t="s">
        <v>610</v>
      </c>
      <c r="Y40" s="2267" t="s">
        <v>611</v>
      </c>
      <c r="Z40" s="2649"/>
      <c r="AA40" s="2267" t="s">
        <v>612</v>
      </c>
      <c r="AB40" s="2267" t="s">
        <v>613</v>
      </c>
      <c r="AC40" s="1773" t="s">
        <v>503</v>
      </c>
      <c r="AD40" s="2554" t="s">
        <v>504</v>
      </c>
      <c r="AE40" s="2555"/>
      <c r="AF40" s="2563"/>
      <c r="AG40" s="2650"/>
      <c r="AH40" s="2649"/>
      <c r="AI40" s="2267" t="s">
        <v>610</v>
      </c>
      <c r="AJ40" s="2267" t="s">
        <v>611</v>
      </c>
      <c r="AK40" s="2649"/>
      <c r="AL40" s="2267" t="s">
        <v>612</v>
      </c>
      <c r="AM40" s="2267" t="s">
        <v>613</v>
      </c>
      <c r="AN40" s="1773" t="s">
        <v>503</v>
      </c>
      <c r="AO40" s="2554" t="s">
        <v>504</v>
      </c>
      <c r="AP40" s="2555"/>
      <c r="AQ40" s="2563"/>
      <c r="AR40" s="2566"/>
      <c r="AS40" s="2411"/>
      <c r="AY40" s="1439">
        <v>59</v>
      </c>
    </row>
    <row s="31261" customFormat="1" customHeight="1" ht="11.25" hidden="1">
      <c r="A41" s="1654"/>
      <c r="B41" s="1654"/>
      <c r="C41" s="1654"/>
      <c r="D41" s="1654"/>
      <c r="E41" s="1654"/>
      <c r="F41" s="1654"/>
      <c r="G41" s="1654"/>
      <c r="H41" s="1654"/>
      <c r="I41" s="1654"/>
      <c r="J41" s="1654"/>
      <c r="K41" s="1654"/>
      <c r="L41" s="1648"/>
      <c r="M41" s="1646"/>
      <c r="N41" s="1646"/>
      <c r="O41" s="1646"/>
      <c r="P41" s="1530"/>
      <c r="Q41" s="1531"/>
      <c r="R41" s="1538">
        <v>1</v>
      </c>
      <c r="S41" s="1561" t="s">
        <v>141</v>
      </c>
      <c r="T41" s="1539" t="s">
        <v>105</v>
      </c>
      <c r="U41" s="1529" t="str">
        <f>OFFSET(U41,0,-1)</f>
        <v>2</v>
      </c>
      <c r="V41" s="1766">
        <f>OFFSET(V41,0,-1)+1</f>
        <v>3</v>
      </c>
      <c r="W41" s="1625"/>
      <c r="X41" s="1625"/>
      <c r="Y41" s="1625"/>
      <c r="Z41" s="1625"/>
      <c r="AA41" s="1625"/>
      <c r="AB41" s="1625"/>
      <c r="AC41" s="1766">
        <f>OFFSET(AC41,0,-1)+1</f>
        <v>1</v>
      </c>
      <c r="AD41" s="2556">
        <f>OFFSET(AD41,0,-1)+1</f>
        <v>2</v>
      </c>
      <c r="AE41" s="2556"/>
      <c r="AF41" s="1766">
        <f>OFFSET(AF41,0,-2)+1</f>
        <v>3</v>
      </c>
      <c r="AG41" s="1766">
        <f>OFFSET(AG41,0,-1)+1</f>
        <v>4</v>
      </c>
      <c r="AH41" s="2240"/>
      <c r="AI41" s="2240"/>
      <c r="AJ41" s="2240"/>
      <c r="AK41" s="2240"/>
      <c r="AL41" s="2240"/>
      <c r="AM41" s="1766">
        <f>OFFSET(AM41,0,-1)+1</f>
        <v>1</v>
      </c>
      <c r="AN41" s="1766">
        <f>OFFSET(AN41,0,-1)+1</f>
        <v>2</v>
      </c>
      <c r="AO41" s="2556">
        <f>OFFSET(AO41,0,-1)+1</f>
        <v>3</v>
      </c>
      <c r="AP41" s="2556"/>
      <c r="AQ41" s="1766">
        <f>OFFSET(AQ41,0,-2)+1</f>
        <v>4</v>
      </c>
      <c r="AR41" s="1529">
        <f>OFFSET(AR41,0,-1)</f>
        <v>4</v>
      </c>
      <c r="AS41" s="1766">
        <f>OFFSET(AS41,0,-1)+1</f>
        <v>5</v>
      </c>
      <c r="AT41" s="795"/>
      <c r="AU41" s="795"/>
      <c r="AV41" s="795"/>
      <c r="AW41" s="795"/>
      <c r="AX41" s="795"/>
      <c r="AY41" s="780">
        <v>0</v>
      </c>
    </row>
    <row customHeight="1" ht="24">
      <c r="A42" s="1647" t="s">
        <v>311</v>
      </c>
      <c r="B42" s="1647"/>
      <c r="C42" s="1647"/>
      <c r="D42" s="1647"/>
      <c r="E42" s="2542">
        <v>1</v>
      </c>
      <c r="F42" s="1647"/>
      <c r="G42" s="1647"/>
      <c r="H42" s="1647"/>
      <c r="I42" s="1647"/>
      <c r="J42" s="1647"/>
      <c r="K42" s="1647"/>
      <c r="L42" s="1648"/>
      <c r="M42" s="1649"/>
      <c r="N42" s="1649"/>
      <c r="O42" s="1649"/>
      <c r="P42" s="645"/>
      <c r="Q42" s="644"/>
      <c r="R42" s="639"/>
      <c r="S42" s="1777">
        <f>INDEX(PT_DIFFERENTIATION_NUM_NTAR,MATCH(A42,PT_DIFFERENTIATION_NTAR_ID,0))</f>
        <v>0</v>
      </c>
      <c r="T42" s="582" t="s">
        <v>153</v>
      </c>
      <c r="U42" s="584"/>
      <c r="V42" s="2526"/>
      <c r="W42" s="2527"/>
      <c r="X42" s="2527"/>
      <c r="Y42" s="2527"/>
      <c r="Z42" s="2527"/>
      <c r="AA42" s="2527"/>
      <c r="AB42" s="2527"/>
      <c r="AC42" s="2527"/>
      <c r="AD42" s="2527"/>
      <c r="AE42" s="2527"/>
      <c r="AF42" s="2528"/>
      <c r="AG42" s="2526" t="str">
        <f>INDEX(PT_DIFFERENTIATION_NTAR,MATCH(A42,PT_DIFFERENTIATION_NTAR_ID,0))</f>
        <v/>
      </c>
      <c r="AH42" s="2527"/>
      <c r="AI42" s="2527"/>
      <c r="AJ42" s="2527"/>
      <c r="AK42" s="2527"/>
      <c r="AL42" s="2527"/>
      <c r="AM42" s="2527"/>
      <c r="AN42" s="2527"/>
      <c r="AO42" s="2527"/>
      <c r="AP42" s="2527"/>
      <c r="AQ42" s="2527"/>
      <c r="AR42" s="2528"/>
      <c r="AS42"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784"/>
      <c r="AV42" s="784" t="str">
        <f>IF(T42="","",T42)</f>
        <v>Наименование тарифа</v>
      </c>
      <c r="AW42" s="784"/>
      <c r="AX42" s="784"/>
      <c r="AY42" s="1439">
        <v>23</v>
      </c>
    </row>
    <row customHeight="1" ht="24">
      <c r="A43" s="1647" t="s">
        <v>311</v>
      </c>
      <c r="B43" s="1647" t="s">
        <v>312</v>
      </c>
      <c r="C43" s="1647"/>
      <c r="D43" s="1647"/>
      <c r="E43" s="2543"/>
      <c r="F43" s="2542">
        <v>1</v>
      </c>
      <c r="G43" s="1647"/>
      <c r="H43" s="1647"/>
      <c r="I43" s="1647"/>
      <c r="J43" s="1647"/>
      <c r="K43" s="1647"/>
      <c r="L43" s="1648"/>
      <c r="M43" s="1649"/>
      <c r="N43" s="1649"/>
      <c r="O43" s="1649"/>
      <c r="P43" s="1771"/>
      <c r="Q43" s="636"/>
      <c r="R43" s="637"/>
      <c r="S43" s="1777" t="str">
        <f>INDEX(PT_DIFFERENTIATION_NUM_TER,MATCH(B43,PT_DIFFERENTIATION_TER_ID,0))</f>
        <v>.</v>
      </c>
      <c r="T43" s="592" t="s">
        <v>457</v>
      </c>
      <c r="U43" s="584"/>
      <c r="V43" s="2526"/>
      <c r="W43" s="2527"/>
      <c r="X43" s="2527"/>
      <c r="Y43" s="2527"/>
      <c r="Z43" s="2527"/>
      <c r="AA43" s="2527"/>
      <c r="AB43" s="2527"/>
      <c r="AC43" s="2527"/>
      <c r="AD43" s="2527"/>
      <c r="AE43" s="2527"/>
      <c r="AF43" s="2528"/>
      <c r="AG43" s="2526" t="str">
        <f>INDEX(PT_DIFFERENTIATION_TER,MATCH(B43,PT_DIFFERENTIATION_TER_ID,0))</f>
        <v/>
      </c>
      <c r="AH43" s="2527"/>
      <c r="AI43" s="2527"/>
      <c r="AJ43" s="2527"/>
      <c r="AK43" s="2527"/>
      <c r="AL43" s="2527"/>
      <c r="AM43" s="2527"/>
      <c r="AN43" s="2527"/>
      <c r="AO43" s="2527"/>
      <c r="AP43" s="2527"/>
      <c r="AQ43" s="2527"/>
      <c r="AR43" s="2528"/>
      <c r="AS43" s="1542" t="s">
        <v>458</v>
      </c>
      <c r="AU43" s="784"/>
      <c r="AV43" s="784" t="str">
        <f>IF(T43="","",T43)</f>
        <v>Территория действия тарифа</v>
      </c>
      <c r="AW43" s="784"/>
      <c r="AX43" s="784"/>
      <c r="AY43" s="1439">
        <v>23</v>
      </c>
    </row>
    <row customHeight="1" ht="24">
      <c r="A44" s="1647" t="s">
        <v>311</v>
      </c>
      <c r="B44" s="1647" t="s">
        <v>312</v>
      </c>
      <c r="C44" s="1647" t="s">
        <v>313</v>
      </c>
      <c r="D44" s="1647"/>
      <c r="E44" s="2543"/>
      <c r="F44" s="2543"/>
      <c r="G44" s="2542">
        <v>1</v>
      </c>
      <c r="H44" s="1647"/>
      <c r="I44" s="1647"/>
      <c r="J44" s="1647"/>
      <c r="K44" s="1647"/>
      <c r="L44" s="1648"/>
      <c r="M44" s="1649"/>
      <c r="N44" s="1649"/>
      <c r="O44" s="1649"/>
      <c r="P44" s="638"/>
      <c r="Q44" s="636"/>
      <c r="R44" s="637"/>
      <c r="S44" s="1777" t="str">
        <f>INDEX(PT_DIFFERENTIATION_NUM_CS,MATCH(C44,PT_DIFFERENTIATION_CS_ID,0))</f>
        <v>..</v>
      </c>
      <c r="T44" s="593" t="s">
        <v>602</v>
      </c>
      <c r="U44" s="584"/>
      <c r="V44" s="2526"/>
      <c r="W44" s="2527"/>
      <c r="X44" s="2527"/>
      <c r="Y44" s="2527"/>
      <c r="Z44" s="2527"/>
      <c r="AA44" s="2527"/>
      <c r="AB44" s="2527"/>
      <c r="AC44" s="2527"/>
      <c r="AD44" s="2527"/>
      <c r="AE44" s="2527"/>
      <c r="AF44" s="2528"/>
      <c r="AG44" s="2526" t="str">
        <f>INDEX(PT_DIFFERENTIATION_CS,MATCH(C44,PT_DIFFERENTIATION_CS_ID,0))</f>
        <v/>
      </c>
      <c r="AH44" s="2527"/>
      <c r="AI44" s="2527"/>
      <c r="AJ44" s="2527"/>
      <c r="AK44" s="2527"/>
      <c r="AL44" s="2527"/>
      <c r="AM44" s="2527"/>
      <c r="AN44" s="2527"/>
      <c r="AO44" s="2527"/>
      <c r="AP44" s="2527"/>
      <c r="AQ44" s="2527"/>
      <c r="AR44" s="2528"/>
      <c r="AS44" s="1542" t="s">
        <v>603</v>
      </c>
      <c r="AU44" s="784"/>
      <c r="AV44" s="784" t="str">
        <f>IF(T44="","",T44)</f>
        <v>Наименование централизованной системы горячего водоснабжения</v>
      </c>
      <c r="AW44" s="784"/>
      <c r="AX44" s="784"/>
      <c r="AY44" s="1439">
        <v>23</v>
      </c>
    </row>
    <row customHeight="1" ht="24">
      <c r="A45" s="1647" t="s">
        <v>311</v>
      </c>
      <c r="B45" s="1647" t="s">
        <v>312</v>
      </c>
      <c r="C45" s="1647" t="s">
        <v>313</v>
      </c>
      <c r="D45" s="1647" t="s">
        <v>614</v>
      </c>
      <c r="E45" s="2543"/>
      <c r="F45" s="2543"/>
      <c r="G45" s="2543"/>
      <c r="H45" s="2543"/>
      <c r="I45" s="2540" t="str">
        <f>S44&amp;".1"</f>
        <v>...1</v>
      </c>
      <c r="J45" s="1647"/>
      <c r="K45" s="1647"/>
      <c r="L45" s="1648"/>
      <c r="P45" s="2541">
        <v>1</v>
      </c>
      <c r="Q45" s="1765"/>
      <c r="R45" s="640"/>
      <c r="S45" s="1777" t="str">
        <f>$I45</f>
        <v>...1</v>
      </c>
      <c r="T45" s="569" t="s">
        <v>555</v>
      </c>
      <c r="U45" s="584"/>
      <c r="V45" s="2634"/>
      <c r="W45" s="2635"/>
      <c r="X45" s="2635"/>
      <c r="Y45" s="2635"/>
      <c r="Z45" s="2635"/>
      <c r="AA45" s="2635"/>
      <c r="AB45" s="2635"/>
      <c r="AC45" s="2635"/>
      <c r="AD45" s="2635"/>
      <c r="AE45" s="2635"/>
      <c r="AF45" s="2636"/>
      <c r="AG45" s="2637"/>
      <c r="AH45" s="2638"/>
      <c r="AI45" s="2638"/>
      <c r="AJ45" s="2638"/>
      <c r="AK45" s="2638"/>
      <c r="AL45" s="2638"/>
      <c r="AM45" s="2638"/>
      <c r="AN45" s="2638"/>
      <c r="AO45" s="2638"/>
      <c r="AP45" s="2638"/>
      <c r="AQ45" s="2638"/>
      <c r="AR45" s="2639"/>
      <c r="AS45" s="1542" t="s">
        <v>556</v>
      </c>
      <c r="AU45" s="784"/>
      <c r="AV45" s="784" t="str">
        <f>IF(T45="","",T45)</f>
        <v>Наименование признака дифференциации</v>
      </c>
      <c r="AW45" s="784"/>
      <c r="AX45" s="784"/>
      <c r="AY45" s="1439">
        <v>23</v>
      </c>
    </row>
    <row customHeight="1" ht="24">
      <c r="A46" s="1647" t="s">
        <v>311</v>
      </c>
      <c r="B46" s="1647" t="s">
        <v>312</v>
      </c>
      <c r="C46" s="1647" t="s">
        <v>313</v>
      </c>
      <c r="D46" s="1647" t="s">
        <v>614</v>
      </c>
      <c r="E46" s="2543"/>
      <c r="F46" s="2543"/>
      <c r="G46" s="2543"/>
      <c r="H46" s="2543"/>
      <c r="I46" s="2570"/>
      <c r="J46" s="2540" t="str">
        <f>I45&amp;".1"</f>
        <v>...1.1</v>
      </c>
      <c r="K46" s="1647"/>
      <c r="L46" s="1648" t="s">
        <v>466</v>
      </c>
      <c r="P46" s="2541"/>
      <c r="Q46" s="2541">
        <v>1</v>
      </c>
      <c r="R46" s="641"/>
      <c r="S46" s="1777" t="str">
        <f>$J46</f>
        <v>...1.1</v>
      </c>
      <c r="T46" s="570" t="s">
        <v>467</v>
      </c>
      <c r="U46" s="584"/>
      <c r="V46" s="2529"/>
      <c r="W46" s="2530"/>
      <c r="X46" s="2530"/>
      <c r="Y46" s="2530"/>
      <c r="Z46" s="2530"/>
      <c r="AA46" s="2530"/>
      <c r="AB46" s="2530"/>
      <c r="AC46" s="2530"/>
      <c r="AD46" s="2530"/>
      <c r="AE46" s="2530"/>
      <c r="AF46" s="2531"/>
      <c r="AG46" s="2529"/>
      <c r="AH46" s="2530"/>
      <c r="AI46" s="2530"/>
      <c r="AJ46" s="2530"/>
      <c r="AK46" s="2530"/>
      <c r="AL46" s="2530"/>
      <c r="AM46" s="2530"/>
      <c r="AN46" s="2530"/>
      <c r="AO46" s="2530"/>
      <c r="AP46" s="2530"/>
      <c r="AQ46" s="2530"/>
      <c r="AR46" s="2531"/>
      <c r="AS46" s="1591" t="s">
        <v>557</v>
      </c>
      <c r="AU46" s="784"/>
      <c r="AV46" s="784" t="str">
        <f>IF(T46="","",T46)</f>
        <v>Группа потребителей</v>
      </c>
      <c r="AW46" s="784"/>
      <c r="AX46" s="784"/>
      <c r="AY46" s="1439">
        <v>23</v>
      </c>
    </row>
    <row customHeight="1" ht="24">
      <c r="A47" s="1647" t="s">
        <v>311</v>
      </c>
      <c r="B47" s="1647" t="s">
        <v>312</v>
      </c>
      <c r="C47" s="1647" t="s">
        <v>313</v>
      </c>
      <c r="D47" s="1647" t="s">
        <v>614</v>
      </c>
      <c r="E47" s="2543"/>
      <c r="F47" s="2543"/>
      <c r="G47" s="2543"/>
      <c r="H47" s="2543"/>
      <c r="I47" s="2570"/>
      <c r="J47" s="2570"/>
      <c r="K47" s="2540" t="str">
        <f>J46&amp;".1"</f>
        <v>...1.1.1</v>
      </c>
      <c r="L47" s="1648"/>
      <c r="P47" s="2541"/>
      <c r="Q47" s="2541"/>
      <c r="R47" s="641">
        <v>1</v>
      </c>
      <c r="S47" s="1777" t="str">
        <f>$K47</f>
        <v>...1.1.1</v>
      </c>
      <c r="T47" s="1721"/>
      <c r="U47" s="584"/>
      <c r="V47" s="1035"/>
      <c r="W47" s="1035"/>
      <c r="X47" s="1035"/>
      <c r="Y47" s="1035"/>
      <c r="Z47" s="1035"/>
      <c r="AA47" s="1035"/>
      <c r="AB47" s="1035"/>
      <c r="AC47" s="2551"/>
      <c r="AD47" s="2552" t="s">
        <v>64</v>
      </c>
      <c r="AE47" s="2551"/>
      <c r="AF47" s="2552" t="s">
        <v>64</v>
      </c>
      <c r="AG47" s="1035"/>
      <c r="AH47" s="1035"/>
      <c r="AI47" s="1035"/>
      <c r="AJ47" s="1035"/>
      <c r="AK47" s="1035"/>
      <c r="AL47" s="1035"/>
      <c r="AM47" s="1035"/>
      <c r="AN47" s="2549"/>
      <c r="AO47" s="2391" t="s">
        <v>64</v>
      </c>
      <c r="AP47" s="2571"/>
      <c r="AQ47" s="2391" t="s">
        <v>19</v>
      </c>
      <c r="AR47" s="1722"/>
      <c r="AS47" s="26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795">
        <f>STRCHECKDATE(V48:AR48)</f>
      </c>
      <c r="AU47" s="784"/>
      <c r="AV47" s="784" t="str">
        <f>IF(T47="","",T47)</f>
        <v/>
      </c>
      <c r="AW47" s="784"/>
      <c r="AX47" s="784"/>
      <c r="AY47" s="1439">
        <v>23</v>
      </c>
    </row>
    <row customHeight="1" ht="0">
      <c r="A48" s="1647" t="s">
        <v>311</v>
      </c>
      <c r="B48" s="1647" t="s">
        <v>312</v>
      </c>
      <c r="C48" s="1647" t="s">
        <v>313</v>
      </c>
      <c r="D48" s="1647" t="s">
        <v>614</v>
      </c>
      <c r="E48" s="2543"/>
      <c r="F48" s="2543"/>
      <c r="G48" s="2543"/>
      <c r="H48" s="2543"/>
      <c r="I48" s="2570"/>
      <c r="J48" s="2570"/>
      <c r="K48" s="2540"/>
      <c r="L48" s="1648"/>
      <c r="P48" s="2541"/>
      <c r="Q48" s="2541"/>
      <c r="R48" s="641"/>
      <c r="S48" s="1774"/>
      <c r="T48" s="584"/>
      <c r="U48" s="584"/>
      <c r="V48" s="1644"/>
      <c r="W48" s="1644"/>
      <c r="X48" s="1644"/>
      <c r="Y48" s="1644"/>
      <c r="Z48" s="1644"/>
      <c r="AA48" s="1644"/>
      <c r="AB48" s="1644"/>
      <c r="AC48" s="2552"/>
      <c r="AD48" s="2552"/>
      <c r="AE48" s="2552"/>
      <c r="AF48" s="2552"/>
      <c r="AG48" s="609"/>
      <c r="AH48" s="609"/>
      <c r="AI48" s="609"/>
      <c r="AJ48" s="609"/>
      <c r="AK48" s="609"/>
      <c r="AL48" s="609"/>
      <c r="AM48" s="609"/>
      <c r="AN48" s="2550"/>
      <c r="AO48" s="2391"/>
      <c r="AP48" s="2572"/>
      <c r="AQ48" s="2391"/>
      <c r="AR48" s="1723"/>
      <c r="AS48" s="2633"/>
      <c r="AU48" s="784"/>
      <c r="AV48" s="784" t="str">
        <f>IF(T48="","",T48)</f>
        <v/>
      </c>
      <c r="AW48" s="784"/>
      <c r="AX48" s="784"/>
      <c r="AY48" s="1439">
        <v>0</v>
      </c>
    </row>
    <row customHeight="1" ht="21">
      <c r="A49" s="1647" t="s">
        <v>311</v>
      </c>
      <c r="B49" s="1647" t="s">
        <v>312</v>
      </c>
      <c r="C49" s="1647" t="s">
        <v>313</v>
      </c>
      <c r="D49" s="1647" t="s">
        <v>614</v>
      </c>
      <c r="E49" s="2543"/>
      <c r="F49" s="2543"/>
      <c r="G49" s="2543"/>
      <c r="H49" s="2543"/>
      <c r="I49" s="2570"/>
      <c r="J49" s="2540"/>
      <c r="K49" s="1647"/>
      <c r="L49" s="1648"/>
      <c r="P49" s="2541"/>
      <c r="Q49" s="2541"/>
      <c r="R49" s="640"/>
      <c r="S49" s="1562"/>
      <c r="T49" s="571" t="s">
        <v>558</v>
      </c>
      <c r="U49" s="651"/>
      <c r="V49" s="651"/>
      <c r="W49" s="884"/>
      <c r="X49" s="884"/>
      <c r="Y49" s="884"/>
      <c r="Z49" s="884"/>
      <c r="AA49" s="884"/>
      <c r="AB49" s="884"/>
      <c r="AC49" s="651"/>
      <c r="AD49" s="651"/>
      <c r="AE49" s="651"/>
      <c r="AF49" s="651"/>
      <c r="AG49" s="651"/>
      <c r="AH49" s="884"/>
      <c r="AI49" s="884"/>
      <c r="AJ49" s="884"/>
      <c r="AK49" s="884"/>
      <c r="AL49" s="884"/>
      <c r="AM49" s="651"/>
      <c r="AN49" s="651"/>
      <c r="AO49" s="651"/>
      <c r="AP49" s="651"/>
      <c r="AQ49" s="651"/>
      <c r="AR49" s="651"/>
      <c r="AS49" s="1542" t="s">
        <v>559</v>
      </c>
      <c r="AU49" s="784"/>
      <c r="AV49" s="784" t="str">
        <f>IF(T49="","",T49)</f>
        <v>Добавить значение признака дифференциации</v>
      </c>
      <c r="AW49" s="784"/>
      <c r="AX49" s="784"/>
      <c r="AY49" s="1439">
        <v>20</v>
      </c>
    </row>
    <row customHeight="1" ht="22.049999999999997">
      <c r="A50" s="1647" t="s">
        <v>311</v>
      </c>
      <c r="B50" s="1647" t="s">
        <v>312</v>
      </c>
      <c r="C50" s="1647" t="s">
        <v>313</v>
      </c>
      <c r="D50" s="1647" t="s">
        <v>614</v>
      </c>
      <c r="E50" s="2543"/>
      <c r="F50" s="2543"/>
      <c r="G50" s="2543"/>
      <c r="H50" s="2543"/>
      <c r="I50" s="2540"/>
      <c r="J50" s="1647"/>
      <c r="K50" s="1647"/>
      <c r="L50" s="1648"/>
      <c r="P50" s="2541"/>
      <c r="Q50" s="1765"/>
      <c r="R50" s="640"/>
      <c r="S50" s="1562"/>
      <c r="T50" s="649" t="s">
        <v>472</v>
      </c>
      <c r="U50" s="651"/>
      <c r="V50" s="651"/>
      <c r="W50" s="884"/>
      <c r="X50" s="884"/>
      <c r="Y50" s="884"/>
      <c r="Z50" s="884"/>
      <c r="AA50" s="884"/>
      <c r="AB50" s="884"/>
      <c r="AC50" s="651"/>
      <c r="AD50" s="651"/>
      <c r="AE50" s="651"/>
      <c r="AF50" s="650"/>
      <c r="AG50" s="651"/>
      <c r="AH50" s="884"/>
      <c r="AI50" s="884"/>
      <c r="AJ50" s="884"/>
      <c r="AK50" s="884"/>
      <c r="AL50" s="884"/>
      <c r="AM50" s="651"/>
      <c r="AN50" s="651"/>
      <c r="AO50" s="651"/>
      <c r="AP50" s="651"/>
      <c r="AQ50" s="650"/>
      <c r="AR50" s="651"/>
      <c r="AS50" s="1724"/>
      <c r="AU50" s="784"/>
      <c r="AV50" s="784" t="str">
        <f>IF(T50="","",T50)</f>
        <v>Добавить группу потребителей</v>
      </c>
      <c r="AW50" s="784"/>
      <c r="AX50" s="784"/>
      <c r="AY50" s="1439">
        <v>21</v>
      </c>
    </row>
    <row customHeight="1" ht="22.049999999999997">
      <c r="A51" s="1647" t="s">
        <v>311</v>
      </c>
      <c r="B51" s="1647" t="s">
        <v>312</v>
      </c>
      <c r="C51" s="1647" t="s">
        <v>313</v>
      </c>
      <c r="D51" s="1647" t="s">
        <v>614</v>
      </c>
      <c r="E51" s="2543"/>
      <c r="F51" s="2543"/>
      <c r="G51" s="2543"/>
      <c r="H51" s="2542"/>
      <c r="I51" s="1647"/>
      <c r="J51" s="1647"/>
      <c r="K51" s="1647"/>
      <c r="L51" s="1648"/>
      <c r="M51" s="1649"/>
      <c r="N51" s="1649"/>
      <c r="O51" s="821"/>
      <c r="P51" s="644"/>
      <c r="Q51" s="659"/>
      <c r="R51" s="639"/>
      <c r="S51" s="1562"/>
      <c r="T51" s="656" t="s">
        <v>560</v>
      </c>
      <c r="U51" s="651"/>
      <c r="V51" s="651"/>
      <c r="W51" s="884"/>
      <c r="X51" s="884"/>
      <c r="Y51" s="884"/>
      <c r="Z51" s="884"/>
      <c r="AA51" s="884"/>
      <c r="AB51" s="884"/>
      <c r="AC51" s="651"/>
      <c r="AD51" s="651"/>
      <c r="AE51" s="651"/>
      <c r="AF51" s="650"/>
      <c r="AG51" s="651"/>
      <c r="AH51" s="884"/>
      <c r="AI51" s="884"/>
      <c r="AJ51" s="884"/>
      <c r="AK51" s="884"/>
      <c r="AL51" s="884"/>
      <c r="AM51" s="651"/>
      <c r="AN51" s="651"/>
      <c r="AO51" s="651"/>
      <c r="AP51" s="651"/>
      <c r="AQ51" s="650"/>
      <c r="AR51" s="651"/>
      <c r="AS51" s="587"/>
      <c r="AU51" s="784"/>
      <c r="AV51" s="784" t="str">
        <f>IF(T51="","",T51)</f>
        <v>Добавить наименование признака дифференциации</v>
      </c>
      <c r="AW51" s="784"/>
      <c r="AX51" s="784"/>
      <c r="AY51" s="1439">
        <v>21</v>
      </c>
    </row>
    <row s="30621" customFormat="1" customHeight="1" ht="0">
      <c r="A52" s="1627" t="s">
        <v>311</v>
      </c>
      <c r="B52" s="1627" t="s">
        <v>312</v>
      </c>
      <c r="C52" s="1598"/>
      <c r="D52" s="1598"/>
      <c r="E52" s="2543"/>
      <c r="F52" s="2542"/>
      <c r="G52" s="1598"/>
      <c r="H52" s="1598"/>
      <c r="I52" s="1598"/>
      <c r="J52" s="1598"/>
      <c r="K52" s="1598"/>
      <c r="L52" s="1778"/>
      <c r="M52" s="1605"/>
      <c r="N52" s="1605"/>
      <c r="P52" s="1600"/>
      <c r="Q52" s="1601"/>
      <c r="R52" s="1600"/>
      <c r="S52" s="1606"/>
      <c r="T52" s="1609" t="s">
        <v>214</v>
      </c>
      <c r="U52" s="1608"/>
      <c r="V52" s="1608"/>
      <c r="W52" s="1608"/>
      <c r="X52" s="1608"/>
      <c r="Y52" s="1608"/>
      <c r="Z52" s="1608"/>
      <c r="AA52" s="1608"/>
      <c r="AB52" s="1608"/>
      <c r="AC52" s="1608"/>
      <c r="AD52" s="1608"/>
      <c r="AE52" s="1608"/>
      <c r="AF52" s="1608"/>
      <c r="AG52" s="1608"/>
      <c r="AH52" s="1608"/>
      <c r="AI52" s="1608"/>
      <c r="AJ52" s="1608"/>
      <c r="AK52" s="1608"/>
      <c r="AL52" s="1608"/>
      <c r="AM52" s="1608"/>
      <c r="AN52" s="1608"/>
      <c r="AO52" s="1608"/>
      <c r="AP52" s="1608"/>
      <c r="AQ52" s="1608"/>
      <c r="AR52" s="1608"/>
      <c r="AS52" s="1608"/>
      <c r="AU52" s="1073"/>
      <c r="AV52" s="1073" t="str">
        <f>IF(T52="","",T52)</f>
        <v>Добавить централизованную систему для дифференциации</v>
      </c>
      <c r="AW52" s="1073"/>
      <c r="AX52" s="1073"/>
      <c r="AY52" s="802">
        <v>0</v>
      </c>
    </row>
    <row s="30621" customFormat="1" customHeight="1" ht="0">
      <c r="A53" s="1627" t="s">
        <v>311</v>
      </c>
      <c r="B53" s="1627"/>
      <c r="C53" s="1627"/>
      <c r="D53" s="1627"/>
      <c r="E53" s="2542"/>
      <c r="F53" s="1627"/>
      <c r="G53" s="1627"/>
      <c r="H53" s="1627"/>
      <c r="I53" s="1627"/>
      <c r="J53" s="1627"/>
      <c r="K53" s="1627"/>
      <c r="L53" s="1630"/>
      <c r="M53" s="1605"/>
      <c r="N53" s="1605"/>
      <c r="O53" s="802"/>
      <c r="P53" s="664"/>
      <c r="Q53" s="1628"/>
      <c r="R53" s="664"/>
      <c r="S53" s="1606"/>
      <c r="T53" s="1609" t="s">
        <v>230</v>
      </c>
      <c r="U53" s="1608"/>
      <c r="V53" s="1608"/>
      <c r="W53" s="1608"/>
      <c r="X53" s="1608"/>
      <c r="Y53" s="1608"/>
      <c r="Z53" s="1608"/>
      <c r="AA53" s="1608"/>
      <c r="AB53" s="1608"/>
      <c r="AC53" s="1608"/>
      <c r="AD53" s="1608"/>
      <c r="AE53" s="1608"/>
      <c r="AF53" s="1608"/>
      <c r="AG53" s="1608"/>
      <c r="AH53" s="1608"/>
      <c r="AI53" s="1608"/>
      <c r="AJ53" s="1608"/>
      <c r="AK53" s="1608"/>
      <c r="AL53" s="1608"/>
      <c r="AM53" s="1608"/>
      <c r="AN53" s="1608"/>
      <c r="AO53" s="1608"/>
      <c r="AP53" s="1608"/>
      <c r="AQ53" s="1608"/>
      <c r="AR53" s="1608"/>
      <c r="AS53" s="1608"/>
      <c r="AU53" s="784"/>
      <c r="AV53" s="784" t="str">
        <f>IF(T53="","",T53)</f>
        <v>Добавить территорию для дифференциации</v>
      </c>
      <c r="AW53" s="784"/>
      <c r="AX53" s="784"/>
      <c r="AY53" s="795">
        <v>0</v>
      </c>
    </row>
    <row s="30621" customFormat="1" customHeight="1" ht="0">
      <c r="A54" s="1598"/>
      <c r="B54" s="1598"/>
      <c r="C54" s="1598"/>
      <c r="D54" s="1598"/>
      <c r="E54" s="1627"/>
      <c r="F54" s="1598"/>
      <c r="G54" s="1598"/>
      <c r="H54" s="1598"/>
      <c r="I54" s="1598"/>
      <c r="J54" s="1598"/>
      <c r="K54" s="1598"/>
      <c r="L54" s="1778"/>
      <c r="M54" s="1605"/>
      <c r="N54" s="1605"/>
      <c r="P54" s="1600"/>
      <c r="Q54" s="1601"/>
      <c r="R54" s="1600"/>
      <c r="S54" s="1606"/>
      <c r="T54" s="1609" t="s">
        <v>239</v>
      </c>
      <c r="U54" s="1608"/>
      <c r="V54" s="1608"/>
      <c r="W54" s="1608"/>
      <c r="X54" s="1608"/>
      <c r="Y54" s="1608"/>
      <c r="Z54" s="1608"/>
      <c r="AA54" s="1608"/>
      <c r="AB54" s="1608"/>
      <c r="AC54" s="1608"/>
      <c r="AD54" s="1608"/>
      <c r="AE54" s="1608"/>
      <c r="AF54" s="1608"/>
      <c r="AG54" s="1608"/>
      <c r="AH54" s="1608"/>
      <c r="AI54" s="1608"/>
      <c r="AJ54" s="1608"/>
      <c r="AK54" s="1608"/>
      <c r="AL54" s="1608"/>
      <c r="AM54" s="1608"/>
      <c r="AN54" s="1608"/>
      <c r="AO54" s="1608"/>
      <c r="AP54" s="1608"/>
      <c r="AQ54" s="1608"/>
      <c r="AR54" s="1608"/>
      <c r="AS54" s="1608"/>
      <c r="AU54" s="1073"/>
      <c r="AV54" s="1073" t="str">
        <f>IF(T54="","",T54)</f>
        <v>Добавить наименование тарифа</v>
      </c>
      <c r="AW54" s="1073"/>
      <c r="AX54" s="1073"/>
      <c r="AY54" s="802">
        <v>0</v>
      </c>
    </row>
    <row customHeight="1" ht="11.549999999999999">
      <c r="M55" s="1444"/>
      <c r="N55" s="1444"/>
      <c r="O55" s="821"/>
      <c r="P55" s="1439"/>
      <c r="Q55" s="1439"/>
      <c r="R55" s="1439"/>
      <c r="S55" s="1439"/>
      <c r="AT55" s="1439"/>
      <c r="AU55" s="1439"/>
      <c r="AV55" s="1439"/>
      <c r="AW55" s="1439"/>
      <c r="AX55" s="1439"/>
      <c r="AY55" s="1439">
        <v>11</v>
      </c>
    </row>
    <row customHeight="1" ht="14.699999999999998">
      <c r="O56" s="821"/>
      <c r="S56" s="1537"/>
      <c r="T56" s="2569"/>
      <c r="U56" s="2569"/>
      <c r="V56" s="2569"/>
      <c r="W56" s="2569"/>
      <c r="X56" s="2569"/>
      <c r="Y56" s="2569"/>
      <c r="Z56" s="2569"/>
      <c r="AA56" s="2569"/>
      <c r="AB56" s="2569"/>
      <c r="AC56" s="2569"/>
      <c r="AD56" s="2569"/>
      <c r="AE56" s="2569"/>
      <c r="AF56" s="2569"/>
      <c r="AG56" s="2569"/>
      <c r="AH56" s="2569"/>
      <c r="AI56" s="2569"/>
      <c r="AJ56" s="2569"/>
      <c r="AK56" s="2569"/>
      <c r="AL56" s="2569"/>
      <c r="AM56" s="2569"/>
      <c r="AN56" s="2569"/>
      <c r="AO56" s="2569"/>
      <c r="AP56" s="2569"/>
      <c r="AQ56" s="2569"/>
      <c r="AR56" s="2569"/>
      <c r="AS56" s="2569"/>
      <c r="AY56" s="1439">
        <v>14</v>
      </c>
    </row>
    <row customHeight="1" ht="14.699999999999998">
      <c r="O57" s="821"/>
      <c r="AY57" s="1439">
        <v>14</v>
      </c>
    </row>
    <row customHeight="1" ht="14.699999999999998">
      <c r="O58" s="821"/>
      <c r="S58" s="1537"/>
      <c r="T58" s="2569"/>
      <c r="U58" s="2569"/>
      <c r="V58" s="2569"/>
      <c r="W58" s="2569"/>
      <c r="X58" s="2569"/>
      <c r="Y58" s="2569"/>
      <c r="Z58" s="2569"/>
      <c r="AA58" s="2569"/>
      <c r="AB58" s="2569"/>
      <c r="AC58" s="2569"/>
      <c r="AD58" s="2569"/>
      <c r="AE58" s="2569"/>
      <c r="AF58" s="2569"/>
      <c r="AG58" s="2569"/>
      <c r="AH58" s="2569"/>
      <c r="AI58" s="2569"/>
      <c r="AJ58" s="2569"/>
      <c r="AK58" s="2569"/>
      <c r="AL58" s="2569"/>
      <c r="AM58" s="2569"/>
      <c r="AN58" s="2569"/>
      <c r="AO58" s="2569"/>
      <c r="AP58" s="2569"/>
      <c r="AQ58" s="2569"/>
      <c r="AR58" s="2569"/>
      <c r="AS58" s="2569"/>
      <c r="AY58" s="1439">
        <v>14</v>
      </c>
    </row>
    <row customHeight="1" ht="22.5" hidden="1">
      <c r="A59" s="1444" t="s">
        <v>85</v>
      </c>
      <c r="B59" s="1444">
        <v>0</v>
      </c>
      <c r="C59" s="1444">
        <v>0</v>
      </c>
      <c r="D59" s="1444">
        <v>0</v>
      </c>
      <c r="E59" s="1444">
        <v>0</v>
      </c>
      <c r="F59" s="1444">
        <v>0</v>
      </c>
      <c r="G59" s="1444">
        <v>0</v>
      </c>
      <c r="H59" s="1444">
        <v>0</v>
      </c>
      <c r="I59" s="1444">
        <v>0</v>
      </c>
      <c r="J59" s="1444">
        <v>0</v>
      </c>
      <c r="K59" s="1444">
        <v>0</v>
      </c>
      <c r="L59" s="1762">
        <v>0</v>
      </c>
      <c r="M59" s="1646">
        <v>0</v>
      </c>
      <c r="N59" s="1646">
        <v>0</v>
      </c>
      <c r="O59" s="1646">
        <v>0</v>
      </c>
      <c r="P59" s="1757">
        <v>3</v>
      </c>
      <c r="Q59" s="628">
        <v>3</v>
      </c>
      <c r="R59" s="628">
        <v>3</v>
      </c>
      <c r="S59" s="865">
        <v>12</v>
      </c>
      <c r="T59" s="1439">
        <v>35</v>
      </c>
      <c r="U59" s="1439">
        <v>0</v>
      </c>
      <c r="V59" s="1439">
        <v>0</v>
      </c>
      <c r="W59" s="1915">
        <v>0</v>
      </c>
      <c r="X59" s="1915">
        <v>0</v>
      </c>
      <c r="Y59" s="1915">
        <v>0</v>
      </c>
      <c r="Z59" s="1915">
        <v>0</v>
      </c>
      <c r="AA59" s="1915">
        <v>0</v>
      </c>
      <c r="AB59" s="1915">
        <v>0</v>
      </c>
      <c r="AC59" s="1439">
        <v>0</v>
      </c>
      <c r="AD59" s="1439">
        <v>0</v>
      </c>
      <c r="AE59" s="1439">
        <v>0</v>
      </c>
      <c r="AF59" s="1439">
        <v>0</v>
      </c>
      <c r="AG59" s="1439">
        <v>19</v>
      </c>
      <c r="AH59" s="1915">
        <v>19</v>
      </c>
      <c r="AI59" s="1915">
        <v>19</v>
      </c>
      <c r="AJ59" s="1915">
        <v>19</v>
      </c>
      <c r="AK59" s="1915">
        <v>19</v>
      </c>
      <c r="AL59" s="1915">
        <v>19</v>
      </c>
      <c r="AM59" s="1439">
        <v>19</v>
      </c>
      <c r="AN59" s="1439">
        <v>11</v>
      </c>
      <c r="AO59" s="1439">
        <v>3</v>
      </c>
      <c r="AP59" s="1439">
        <v>11</v>
      </c>
      <c r="AQ59" s="1439">
        <v>0</v>
      </c>
      <c r="AR59" s="1439">
        <v>4</v>
      </c>
      <c r="AS59" s="1439">
        <v>115</v>
      </c>
      <c r="AT59" s="795">
        <v>10</v>
      </c>
      <c r="AU59" s="795">
        <v>10</v>
      </c>
      <c r="AV59" s="795">
        <v>10</v>
      </c>
      <c r="AW59" s="795">
        <v>10</v>
      </c>
      <c r="AX59" s="795">
        <v>10</v>
      </c>
      <c r="AY59" s="1439">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C21831-4447-3067-0151-113BF2F9BF0D}"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30620" width="10.57421875" hidden="1"/>
    <col min="2" max="2" style="30620" width="11.00390625" hidden="1" customWidth="1"/>
    <col min="3" max="3" style="30620" width="10.57421875" hidden="1"/>
    <col min="4" max="4" style="30620" width="11.8515625" hidden="1" customWidth="1"/>
    <col min="5" max="5" style="30620" width="10.00390625" hidden="1" customWidth="1"/>
    <col min="6" max="6" style="30620" width="8.7109375" hidden="1" customWidth="1"/>
    <col min="7" max="7" style="30620" width="7.57421875" hidden="1" customWidth="1"/>
    <col min="8" max="8" style="30620" width="11.421875" hidden="1" customWidth="1"/>
    <col min="9" max="9" style="30620" width="14.140625" hidden="1" customWidth="1"/>
    <col min="10" max="10" style="30620" width="9.8515625" hidden="1" customWidth="1"/>
    <col min="11" max="11" style="30620" width="14.7109375" hidden="1" customWidth="1"/>
    <col min="12" max="12" style="31502" width="19.140625" hidden="1" customWidth="1"/>
    <col min="13" max="14" style="31503" width="12.28125" hidden="1" customWidth="1"/>
    <col min="15" max="15" style="31503" width="23.421875" hidden="1" customWidth="1"/>
    <col min="16" max="16" style="31504" width="3.00390625" customWidth="1"/>
    <col min="17" max="18" style="31505" width="3.00390625" customWidth="1"/>
    <col min="19" max="19" style="31506" width="12.00390625" customWidth="1"/>
    <col min="20" max="20" style="30541" width="35.00390625" customWidth="1"/>
    <col min="21" max="21" style="30541" width="0.140625" customWidth="1"/>
    <col min="22" max="28" style="30541" width="19.7109375" hidden="1" customWidth="1"/>
    <col min="29" max="29" style="30541" width="11.7109375" hidden="1" customWidth="1"/>
    <col min="30" max="30" style="30541" width="3.7109375" hidden="1" customWidth="1"/>
    <col min="31" max="31" style="30541" width="11.7109375" hidden="1" customWidth="1"/>
    <col min="32" max="32" style="30541" width="8.57421875" hidden="1" customWidth="1"/>
    <col min="33" max="33" style="30541" width="19.7109375" customWidth="1"/>
    <col min="34" max="39" style="30541" width="19.00390625" customWidth="1"/>
    <col min="40" max="40" style="30541" width="11.00390625" customWidth="1"/>
    <col min="41" max="41" style="30541" width="3.7109375" customWidth="1"/>
    <col min="42" max="42" style="30541" width="11.00390625" customWidth="1"/>
    <col min="43" max="43" style="30541" width="8.57421875" hidden="1" customWidth="1"/>
    <col min="44" max="44" style="30541" width="4.00390625" customWidth="1"/>
    <col min="45" max="45" style="30541" width="115.00390625" customWidth="1"/>
    <col min="46" max="50" style="30621" width="10.00390625" customWidth="1"/>
    <col min="51" max="51" style="30541" width="10.57421875" hidden="1"/>
  </cols>
  <sheetData>
    <row customHeight="1" ht="22.5" hidden="1">
      <c r="AB1" s="611"/>
      <c r="AC1" s="611"/>
      <c r="AM1" s="611"/>
      <c r="AN1" s="611"/>
      <c r="AY1" s="1439" t="s">
        <v>14</v>
      </c>
    </row>
    <row customHeight="1" ht="23.25" hidden="1">
      <c r="A2" s="1647"/>
      <c r="B2" s="1647"/>
      <c r="C2" s="1647"/>
      <c r="D2" s="1647"/>
      <c r="E2" s="2542">
        <v>1</v>
      </c>
      <c r="F2" s="1647"/>
      <c r="G2" s="1647"/>
      <c r="H2" s="1647"/>
      <c r="I2" s="1647"/>
      <c r="J2" s="1647"/>
      <c r="K2" s="1647"/>
      <c r="L2" s="1648"/>
      <c r="M2" s="1649"/>
      <c r="N2" s="1649"/>
      <c r="O2" s="1649"/>
      <c r="P2" s="645"/>
      <c r="Q2" s="644"/>
      <c r="R2" s="639"/>
      <c r="S2" s="1777">
        <f>INDEX(PT_DIFFERENTIATION_NUM_NTAR,MATCH(A2,PT_DIFFERENTIATION_NTAR_ID,0))</f>
      </c>
      <c r="T2" s="582" t="s">
        <v>153</v>
      </c>
      <c r="U2" s="584"/>
      <c r="V2" s="2526"/>
      <c r="W2" s="2527"/>
      <c r="X2" s="2527"/>
      <c r="Y2" s="2527"/>
      <c r="Z2" s="2527"/>
      <c r="AA2" s="2527"/>
      <c r="AB2" s="2527"/>
      <c r="AC2" s="2527"/>
      <c r="AD2" s="2527"/>
      <c r="AE2" s="2527"/>
      <c r="AF2" s="2528"/>
      <c r="AG2" s="2526">
        <f>INDEX(PT_DIFFERENTIATION_NTAR,MATCH(A2,PT_DIFFERENTIATION_NTAR_ID,0))</f>
      </c>
      <c r="AH2" s="2527"/>
      <c r="AI2" s="2527"/>
      <c r="AJ2" s="2527"/>
      <c r="AK2" s="2527"/>
      <c r="AL2" s="2527"/>
      <c r="AM2" s="2527"/>
      <c r="AN2" s="2527"/>
      <c r="AO2" s="2527"/>
      <c r="AP2" s="2527"/>
      <c r="AQ2" s="2527"/>
      <c r="AR2" s="2528"/>
      <c r="AS2"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784"/>
      <c r="AV2" s="784" t="str">
        <f>IF(T2="","",T2)</f>
        <v>Наименование тарифа</v>
      </c>
      <c r="AW2" s="784"/>
      <c r="AX2" s="784"/>
      <c r="AY2" s="1439">
        <v>0</v>
      </c>
    </row>
    <row customHeight="1" ht="23.25" hidden="1">
      <c r="A3" s="1647"/>
      <c r="B3" s="1647"/>
      <c r="C3" s="1647"/>
      <c r="D3" s="1647"/>
      <c r="E3" s="2543"/>
      <c r="F3" s="2542">
        <v>1</v>
      </c>
      <c r="G3" s="1647"/>
      <c r="H3" s="1647"/>
      <c r="I3" s="1647"/>
      <c r="J3" s="1647"/>
      <c r="K3" s="1647"/>
      <c r="L3" s="1648"/>
      <c r="M3" s="1649"/>
      <c r="N3" s="1649"/>
      <c r="O3" s="1649"/>
      <c r="P3" s="1771"/>
      <c r="Q3" s="636"/>
      <c r="R3" s="637"/>
      <c r="S3" s="1777">
        <f>INDEX(PT_DIFFERENTIATION_NUM_TER,MATCH(B3,PT_DIFFERENTIATION_TER_ID,0))</f>
      </c>
      <c r="T3" s="592" t="s">
        <v>457</v>
      </c>
      <c r="U3" s="584"/>
      <c r="V3" s="2526"/>
      <c r="W3" s="2527"/>
      <c r="X3" s="2527"/>
      <c r="Y3" s="2527"/>
      <c r="Z3" s="2527"/>
      <c r="AA3" s="2527"/>
      <c r="AB3" s="2527"/>
      <c r="AC3" s="2527"/>
      <c r="AD3" s="2527"/>
      <c r="AE3" s="2527"/>
      <c r="AF3" s="2528"/>
      <c r="AG3" s="2526">
        <f>INDEX(PT_DIFFERENTIATION_TER,MATCH(B3,PT_DIFFERENTIATION_TER_ID,0))</f>
      </c>
      <c r="AH3" s="2527"/>
      <c r="AI3" s="2527"/>
      <c r="AJ3" s="2527"/>
      <c r="AK3" s="2527"/>
      <c r="AL3" s="2527"/>
      <c r="AM3" s="2527"/>
      <c r="AN3" s="2527"/>
      <c r="AO3" s="2527"/>
      <c r="AP3" s="2527"/>
      <c r="AQ3" s="2527"/>
      <c r="AR3" s="2528"/>
      <c r="AS3" s="1542" t="s">
        <v>458</v>
      </c>
      <c r="AU3" s="784"/>
      <c r="AV3" s="784" t="str">
        <f>IF(T3="","",T3)</f>
        <v>Территория действия тарифа</v>
      </c>
      <c r="AW3" s="784"/>
      <c r="AX3" s="784"/>
      <c r="AY3" s="1439">
        <v>0</v>
      </c>
    </row>
    <row customHeight="1" ht="23.25" hidden="1">
      <c r="A4" s="1647"/>
      <c r="B4" s="1647"/>
      <c r="C4" s="1647"/>
      <c r="D4" s="1647"/>
      <c r="E4" s="2543"/>
      <c r="F4" s="2543"/>
      <c r="G4" s="2542">
        <v>1</v>
      </c>
      <c r="H4" s="1647"/>
      <c r="I4" s="1647"/>
      <c r="J4" s="1647"/>
      <c r="K4" s="1647"/>
      <c r="L4" s="1648"/>
      <c r="M4" s="1649"/>
      <c r="N4" s="1649"/>
      <c r="O4" s="1649"/>
      <c r="P4" s="638"/>
      <c r="Q4" s="636"/>
      <c r="R4" s="637"/>
      <c r="S4" s="1777">
        <f>INDEX(PT_DIFFERENTIATION_NUM_CS,MATCH(C4,PT_DIFFERENTIATION_CS_ID,0))</f>
      </c>
      <c r="T4" s="593" t="s">
        <v>602</v>
      </c>
      <c r="U4" s="584"/>
      <c r="V4" s="2526"/>
      <c r="W4" s="2527"/>
      <c r="X4" s="2527"/>
      <c r="Y4" s="2527"/>
      <c r="Z4" s="2527"/>
      <c r="AA4" s="2527"/>
      <c r="AB4" s="2527"/>
      <c r="AC4" s="2527"/>
      <c r="AD4" s="2527"/>
      <c r="AE4" s="2527"/>
      <c r="AF4" s="2528"/>
      <c r="AG4" s="2526">
        <f>INDEX(PT_DIFFERENTIATION_CS,MATCH(C4,PT_DIFFERENTIATION_CS_ID,0))</f>
      </c>
      <c r="AH4" s="2527"/>
      <c r="AI4" s="2527"/>
      <c r="AJ4" s="2527"/>
      <c r="AK4" s="2527"/>
      <c r="AL4" s="2527"/>
      <c r="AM4" s="2527"/>
      <c r="AN4" s="2527"/>
      <c r="AO4" s="2527"/>
      <c r="AP4" s="2527"/>
      <c r="AQ4" s="2527"/>
      <c r="AR4" s="2528"/>
      <c r="AS4" s="1542" t="s">
        <v>603</v>
      </c>
      <c r="AU4" s="784"/>
      <c r="AV4" s="784" t="str">
        <f>IF(T4="","",T4)</f>
        <v>Наименование централизованной системы горячего водоснабжения</v>
      </c>
      <c r="AW4" s="784"/>
      <c r="AX4" s="784"/>
      <c r="AY4" s="1439">
        <v>0</v>
      </c>
    </row>
    <row customHeight="1" ht="23.25" hidden="1">
      <c r="A5" s="1647"/>
      <c r="B5" s="1647"/>
      <c r="C5" s="1647"/>
      <c r="D5" s="1647"/>
      <c r="E5" s="2543"/>
      <c r="F5" s="2543"/>
      <c r="G5" s="2543"/>
      <c r="H5" s="2543"/>
      <c r="I5" s="2540">
        <f>S4&amp;".1"</f>
      </c>
      <c r="J5" s="1647"/>
      <c r="K5" s="1647"/>
      <c r="L5" s="1648"/>
      <c r="P5" s="2541">
        <v>1</v>
      </c>
      <c r="Q5" s="1765"/>
      <c r="R5" s="640"/>
      <c r="S5" s="1777">
        <f>$I5</f>
      </c>
      <c r="T5" s="569" t="s">
        <v>555</v>
      </c>
      <c r="U5" s="584"/>
      <c r="V5" s="2634"/>
      <c r="W5" s="2635"/>
      <c r="X5" s="2635"/>
      <c r="Y5" s="2635"/>
      <c r="Z5" s="2635"/>
      <c r="AA5" s="2635"/>
      <c r="AB5" s="2635"/>
      <c r="AC5" s="2635"/>
      <c r="AD5" s="2635"/>
      <c r="AE5" s="2635"/>
      <c r="AF5" s="2636"/>
      <c r="AG5" s="2637"/>
      <c r="AH5" s="2638"/>
      <c r="AI5" s="2638"/>
      <c r="AJ5" s="2638"/>
      <c r="AK5" s="2638"/>
      <c r="AL5" s="2638"/>
      <c r="AM5" s="2638"/>
      <c r="AN5" s="2638"/>
      <c r="AO5" s="2638"/>
      <c r="AP5" s="2638"/>
      <c r="AQ5" s="2638"/>
      <c r="AR5" s="2639"/>
      <c r="AS5" s="1542" t="s">
        <v>556</v>
      </c>
      <c r="AU5" s="784"/>
      <c r="AV5" s="784" t="str">
        <f>IF(T5="","",T5)</f>
        <v>Наименование признака дифференциации</v>
      </c>
      <c r="AW5" s="784"/>
      <c r="AX5" s="784"/>
      <c r="AY5" s="1439">
        <v>0</v>
      </c>
    </row>
    <row customHeight="1" ht="23.25" hidden="1">
      <c r="A6" s="1647"/>
      <c r="B6" s="1647"/>
      <c r="C6" s="1647"/>
      <c r="D6" s="1647"/>
      <c r="E6" s="2543"/>
      <c r="F6" s="2543"/>
      <c r="G6" s="2543"/>
      <c r="H6" s="2543"/>
      <c r="I6" s="2570"/>
      <c r="J6" s="2540">
        <f>I5&amp;".1"</f>
      </c>
      <c r="K6" s="1647"/>
      <c r="L6" s="1648" t="s">
        <v>466</v>
      </c>
      <c r="P6" s="2541"/>
      <c r="Q6" s="2541">
        <v>1</v>
      </c>
      <c r="R6" s="641"/>
      <c r="S6" s="1777">
        <f>$J6</f>
      </c>
      <c r="T6" s="570" t="s">
        <v>467</v>
      </c>
      <c r="U6" s="584"/>
      <c r="V6" s="2529"/>
      <c r="W6" s="2530"/>
      <c r="X6" s="2530"/>
      <c r="Y6" s="2530"/>
      <c r="Z6" s="2530"/>
      <c r="AA6" s="2530"/>
      <c r="AB6" s="2530"/>
      <c r="AC6" s="2530"/>
      <c r="AD6" s="2530"/>
      <c r="AE6" s="2530"/>
      <c r="AF6" s="2531"/>
      <c r="AG6" s="2529"/>
      <c r="AH6" s="2530"/>
      <c r="AI6" s="2530"/>
      <c r="AJ6" s="2530"/>
      <c r="AK6" s="2530"/>
      <c r="AL6" s="2530"/>
      <c r="AM6" s="2530"/>
      <c r="AN6" s="2530"/>
      <c r="AO6" s="2530"/>
      <c r="AP6" s="2530"/>
      <c r="AQ6" s="2530"/>
      <c r="AR6" s="2531"/>
      <c r="AS6" s="1591" t="s">
        <v>557</v>
      </c>
      <c r="AU6" s="784"/>
      <c r="AV6" s="784" t="str">
        <f>IF(T6="","",T6)</f>
        <v>Группа потребителей</v>
      </c>
      <c r="AW6" s="784"/>
      <c r="AX6" s="784"/>
      <c r="AY6" s="1439">
        <v>0</v>
      </c>
    </row>
    <row customHeight="1" ht="23.25" hidden="1">
      <c r="A7" s="1647"/>
      <c r="B7" s="1647"/>
      <c r="C7" s="1647"/>
      <c r="D7" s="1647"/>
      <c r="E7" s="2543"/>
      <c r="F7" s="2543"/>
      <c r="G7" s="2543"/>
      <c r="H7" s="2543"/>
      <c r="I7" s="2570"/>
      <c r="J7" s="2570"/>
      <c r="K7" s="2540">
        <f>J6&amp;".1"</f>
      </c>
      <c r="L7" s="1648"/>
      <c r="P7" s="2541"/>
      <c r="Q7" s="2541"/>
      <c r="R7" s="641">
        <v>1</v>
      </c>
      <c r="S7" s="1777">
        <f>$K7</f>
      </c>
      <c r="T7" s="1721"/>
      <c r="U7" s="584"/>
      <c r="V7" s="1035"/>
      <c r="W7" s="1035"/>
      <c r="X7" s="1035"/>
      <c r="Y7" s="1035"/>
      <c r="Z7" s="1035"/>
      <c r="AA7" s="1035"/>
      <c r="AB7" s="1541"/>
      <c r="AC7" s="2549"/>
      <c r="AD7" s="2391" t="s">
        <v>64</v>
      </c>
      <c r="AE7" s="2549"/>
      <c r="AF7" s="2391" t="s">
        <v>64</v>
      </c>
      <c r="AG7" s="1035"/>
      <c r="AH7" s="1035"/>
      <c r="AI7" s="1035"/>
      <c r="AJ7" s="1035"/>
      <c r="AK7" s="1035"/>
      <c r="AL7" s="1035"/>
      <c r="AM7" s="1541"/>
      <c r="AN7" s="2549"/>
      <c r="AO7" s="2391" t="s">
        <v>64</v>
      </c>
      <c r="AP7" s="2571"/>
      <c r="AQ7" s="2391" t="s">
        <v>64</v>
      </c>
      <c r="AR7" s="1722"/>
      <c r="AS7" s="26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795">
        <f>STRCHECKDATE(V8:AR8)</f>
      </c>
      <c r="AU7" s="784"/>
      <c r="AV7" s="784" t="str">
        <f>IF(T7="","",T7)</f>
        <v/>
      </c>
      <c r="AW7" s="784"/>
      <c r="AX7" s="784"/>
      <c r="AY7" s="1439">
        <v>0</v>
      </c>
    </row>
    <row customHeight="1" ht="14.25" hidden="1">
      <c r="A8" s="1647"/>
      <c r="B8" s="1647"/>
      <c r="C8" s="1647"/>
      <c r="D8" s="1647"/>
      <c r="E8" s="2543"/>
      <c r="F8" s="2543"/>
      <c r="G8" s="2543"/>
      <c r="H8" s="2543"/>
      <c r="I8" s="2570"/>
      <c r="J8" s="2570"/>
      <c r="K8" s="2540"/>
      <c r="L8" s="1648"/>
      <c r="P8" s="2541"/>
      <c r="Q8" s="2541"/>
      <c r="R8" s="641"/>
      <c r="S8" s="1774"/>
      <c r="T8" s="584"/>
      <c r="U8" s="584"/>
      <c r="V8" s="609"/>
      <c r="W8" s="609"/>
      <c r="X8" s="609"/>
      <c r="Y8" s="609"/>
      <c r="Z8" s="609"/>
      <c r="AA8" s="609"/>
      <c r="AB8" s="612" t="str">
        <f>AC7&amp;"-"&amp;AE7</f>
        <v>-</v>
      </c>
      <c r="AC8" s="2550"/>
      <c r="AD8" s="2391"/>
      <c r="AE8" s="2550"/>
      <c r="AF8" s="2391"/>
      <c r="AG8" s="609"/>
      <c r="AH8" s="609"/>
      <c r="AI8" s="609"/>
      <c r="AJ8" s="609"/>
      <c r="AK8" s="609"/>
      <c r="AL8" s="609"/>
      <c r="AM8" s="612" t="str">
        <f>AN7&amp;"-"&amp;AP7</f>
        <v>-</v>
      </c>
      <c r="AN8" s="2550"/>
      <c r="AO8" s="2391"/>
      <c r="AP8" s="2572"/>
      <c r="AQ8" s="2391"/>
      <c r="AR8" s="1723"/>
      <c r="AS8" s="2633"/>
      <c r="AU8" s="784"/>
      <c r="AV8" s="784" t="str">
        <f>IF(T8="","",T8)</f>
        <v/>
      </c>
      <c r="AW8" s="784"/>
      <c r="AX8" s="784"/>
      <c r="AY8" s="1439">
        <v>0</v>
      </c>
    </row>
    <row customHeight="1" ht="21" hidden="1">
      <c r="A9" s="1647"/>
      <c r="B9" s="1647"/>
      <c r="C9" s="1647"/>
      <c r="D9" s="1647"/>
      <c r="E9" s="2543"/>
      <c r="F9" s="2543"/>
      <c r="G9" s="2543"/>
      <c r="H9" s="2543"/>
      <c r="I9" s="2570"/>
      <c r="J9" s="2540"/>
      <c r="K9" s="1647"/>
      <c r="L9" s="1648"/>
      <c r="P9" s="2541"/>
      <c r="Q9" s="2541"/>
      <c r="R9" s="640"/>
      <c r="S9" s="1562"/>
      <c r="T9" s="571" t="s">
        <v>558</v>
      </c>
      <c r="U9" s="651"/>
      <c r="V9" s="651"/>
      <c r="W9" s="884"/>
      <c r="X9" s="884"/>
      <c r="Y9" s="884"/>
      <c r="Z9" s="884"/>
      <c r="AA9" s="884"/>
      <c r="AB9" s="651"/>
      <c r="AC9" s="651"/>
      <c r="AD9" s="651"/>
      <c r="AE9" s="651"/>
      <c r="AF9" s="651"/>
      <c r="AG9" s="651"/>
      <c r="AH9" s="884"/>
      <c r="AI9" s="884"/>
      <c r="AJ9" s="884"/>
      <c r="AK9" s="884"/>
      <c r="AL9" s="884"/>
      <c r="AM9" s="651"/>
      <c r="AN9" s="651"/>
      <c r="AO9" s="651"/>
      <c r="AP9" s="651"/>
      <c r="AQ9" s="651"/>
      <c r="AR9" s="651"/>
      <c r="AS9" s="1542" t="s">
        <v>559</v>
      </c>
      <c r="AU9" s="784"/>
      <c r="AV9" s="784" t="str">
        <f>IF(T9="","",T9)</f>
        <v>Добавить значение признака дифференциации</v>
      </c>
      <c r="AW9" s="784"/>
      <c r="AX9" s="784"/>
      <c r="AY9" s="1439">
        <v>0</v>
      </c>
    </row>
    <row customHeight="1" ht="21" hidden="1">
      <c r="A10" s="1647"/>
      <c r="B10" s="1647"/>
      <c r="C10" s="1647"/>
      <c r="D10" s="1647"/>
      <c r="E10" s="2543"/>
      <c r="F10" s="2543"/>
      <c r="G10" s="2543"/>
      <c r="H10" s="2543"/>
      <c r="I10" s="2540"/>
      <c r="J10" s="1647"/>
      <c r="K10" s="1647"/>
      <c r="L10" s="1648"/>
      <c r="P10" s="2541"/>
      <c r="Q10" s="1765"/>
      <c r="R10" s="640"/>
      <c r="S10" s="1562"/>
      <c r="T10" s="649" t="s">
        <v>472</v>
      </c>
      <c r="U10" s="651"/>
      <c r="V10" s="651"/>
      <c r="W10" s="884"/>
      <c r="X10" s="884"/>
      <c r="Y10" s="884"/>
      <c r="Z10" s="884"/>
      <c r="AA10" s="884"/>
      <c r="AB10" s="651"/>
      <c r="AC10" s="651"/>
      <c r="AD10" s="651"/>
      <c r="AE10" s="651"/>
      <c r="AF10" s="650"/>
      <c r="AG10" s="651"/>
      <c r="AH10" s="884"/>
      <c r="AI10" s="884"/>
      <c r="AJ10" s="884"/>
      <c r="AK10" s="884"/>
      <c r="AL10" s="884"/>
      <c r="AM10" s="651"/>
      <c r="AN10" s="651"/>
      <c r="AO10" s="651"/>
      <c r="AP10" s="651"/>
      <c r="AQ10" s="650"/>
      <c r="AR10" s="651"/>
      <c r="AS10" s="1724"/>
      <c r="AU10" s="784"/>
      <c r="AV10" s="784" t="str">
        <f>IF(T10="","",T10)</f>
        <v>Добавить группу потребителей</v>
      </c>
      <c r="AW10" s="784"/>
      <c r="AX10" s="784"/>
      <c r="AY10" s="1439">
        <v>0</v>
      </c>
    </row>
    <row customHeight="1" ht="21" hidden="1">
      <c r="A11" s="1647"/>
      <c r="B11" s="1647"/>
      <c r="C11" s="1647"/>
      <c r="D11" s="1647"/>
      <c r="E11" s="2543"/>
      <c r="F11" s="2543"/>
      <c r="G11" s="2543"/>
      <c r="H11" s="2542"/>
      <c r="I11" s="1647"/>
      <c r="J11" s="1647"/>
      <c r="K11" s="1647"/>
      <c r="L11" s="1648"/>
      <c r="M11" s="1649"/>
      <c r="N11" s="1649"/>
      <c r="O11" s="821"/>
      <c r="P11" s="644"/>
      <c r="Q11" s="659"/>
      <c r="R11" s="639"/>
      <c r="S11" s="1562"/>
      <c r="T11" s="656" t="s">
        <v>560</v>
      </c>
      <c r="U11" s="651"/>
      <c r="V11" s="651"/>
      <c r="W11" s="884"/>
      <c r="X11" s="884"/>
      <c r="Y11" s="884"/>
      <c r="Z11" s="884"/>
      <c r="AA11" s="884"/>
      <c r="AB11" s="651"/>
      <c r="AC11" s="651"/>
      <c r="AD11" s="651"/>
      <c r="AE11" s="651"/>
      <c r="AF11" s="650"/>
      <c r="AG11" s="651"/>
      <c r="AH11" s="884"/>
      <c r="AI11" s="884"/>
      <c r="AJ11" s="884"/>
      <c r="AK11" s="884"/>
      <c r="AL11" s="884"/>
      <c r="AM11" s="651"/>
      <c r="AN11" s="651"/>
      <c r="AO11" s="651"/>
      <c r="AP11" s="651"/>
      <c r="AQ11" s="650"/>
      <c r="AR11" s="651"/>
      <c r="AS11" s="587"/>
      <c r="AU11" s="784"/>
      <c r="AV11" s="784" t="str">
        <f>IF(T11="","",T11)</f>
        <v>Добавить наименование признака дифференциации</v>
      </c>
      <c r="AW11" s="784"/>
      <c r="AX11" s="784"/>
      <c r="AY11" s="1439">
        <v>0</v>
      </c>
    </row>
    <row s="30621" customFormat="1" customHeight="1" ht="14.25" hidden="1">
      <c r="A12" s="1627"/>
      <c r="B12" s="1627"/>
      <c r="C12" s="1598"/>
      <c r="D12" s="1598"/>
      <c r="E12" s="2543"/>
      <c r="F12" s="2542"/>
      <c r="G12" s="1598"/>
      <c r="H12" s="1598"/>
      <c r="I12" s="1598"/>
      <c r="J12" s="1598"/>
      <c r="K12" s="1598"/>
      <c r="L12" s="1778"/>
      <c r="M12" s="1605"/>
      <c r="N12" s="1605"/>
      <c r="P12" s="1600"/>
      <c r="Q12" s="1601"/>
      <c r="R12" s="1600"/>
      <c r="S12" s="1606"/>
      <c r="T12" s="1609" t="s">
        <v>214</v>
      </c>
      <c r="U12" s="1608"/>
      <c r="V12" s="1608"/>
      <c r="W12" s="1608"/>
      <c r="X12" s="1608"/>
      <c r="Y12" s="1608"/>
      <c r="Z12" s="1608"/>
      <c r="AA12" s="1608"/>
      <c r="AB12" s="1608"/>
      <c r="AC12" s="1608"/>
      <c r="AD12" s="1608"/>
      <c r="AE12" s="1608"/>
      <c r="AF12" s="1608"/>
      <c r="AG12" s="1608"/>
      <c r="AH12" s="1608"/>
      <c r="AI12" s="1608"/>
      <c r="AJ12" s="1608"/>
      <c r="AK12" s="1608"/>
      <c r="AL12" s="1608"/>
      <c r="AM12" s="1608"/>
      <c r="AN12" s="1608"/>
      <c r="AO12" s="1608"/>
      <c r="AP12" s="1608"/>
      <c r="AQ12" s="1608"/>
      <c r="AR12" s="1608"/>
      <c r="AS12" s="1608"/>
      <c r="AU12" s="1073"/>
      <c r="AV12" s="1073" t="str">
        <f>IF(T12="","",T12)</f>
        <v>Добавить централизованную систему для дифференциации</v>
      </c>
      <c r="AW12" s="1073"/>
      <c r="AX12" s="1073"/>
      <c r="AY12" s="802">
        <v>0</v>
      </c>
    </row>
    <row s="30621" customFormat="1" customHeight="1" ht="14.25" hidden="1">
      <c r="A13" s="1627"/>
      <c r="B13" s="1627"/>
      <c r="C13" s="1627"/>
      <c r="D13" s="1627"/>
      <c r="E13" s="2542"/>
      <c r="F13" s="1627"/>
      <c r="G13" s="1627"/>
      <c r="H13" s="1627"/>
      <c r="I13" s="1627"/>
      <c r="J13" s="1627"/>
      <c r="K13" s="1627"/>
      <c r="L13" s="1630"/>
      <c r="M13" s="1605"/>
      <c r="N13" s="1605"/>
      <c r="O13" s="802"/>
      <c r="P13" s="664"/>
      <c r="Q13" s="1628"/>
      <c r="R13" s="664"/>
      <c r="S13" s="1606"/>
      <c r="T13" s="1609" t="s">
        <v>230</v>
      </c>
      <c r="U13" s="1608"/>
      <c r="V13" s="1608"/>
      <c r="W13" s="1608"/>
      <c r="X13" s="1608"/>
      <c r="Y13" s="1608"/>
      <c r="Z13" s="1608"/>
      <c r="AA13" s="1608"/>
      <c r="AB13" s="1608"/>
      <c r="AC13" s="1608"/>
      <c r="AD13" s="1608"/>
      <c r="AE13" s="1608"/>
      <c r="AF13" s="1608"/>
      <c r="AG13" s="1608"/>
      <c r="AH13" s="1608"/>
      <c r="AI13" s="1608"/>
      <c r="AJ13" s="1608"/>
      <c r="AK13" s="1608"/>
      <c r="AL13" s="1608"/>
      <c r="AM13" s="1608"/>
      <c r="AN13" s="1608"/>
      <c r="AO13" s="1608"/>
      <c r="AP13" s="1608"/>
      <c r="AQ13" s="1608"/>
      <c r="AR13" s="1608"/>
      <c r="AS13" s="1608"/>
      <c r="AU13" s="784"/>
      <c r="AV13" s="784" t="str">
        <f>IF(T13="","",T13)</f>
        <v>Добавить территорию для дифференциации</v>
      </c>
      <c r="AW13" s="784"/>
      <c r="AX13" s="784"/>
      <c r="AY13" s="795">
        <v>0</v>
      </c>
    </row>
    <row customHeight="1" ht="14.25" hidden="1">
      <c r="AF14" s="611"/>
      <c r="AQ14" s="611"/>
      <c r="AY14" s="1439">
        <v>0</v>
      </c>
    </row>
    <row customHeight="1" ht="14.25" hidden="1">
      <c r="AG15" s="1644"/>
      <c r="AH15" s="1644"/>
      <c r="AI15" s="1644"/>
      <c r="AJ15" s="1644"/>
      <c r="AK15" s="1644"/>
      <c r="AL15" s="1644"/>
      <c r="AM15" s="1645"/>
      <c r="AN15" s="2551"/>
      <c r="AO15" s="2552" t="s">
        <v>64</v>
      </c>
      <c r="AP15" s="2551"/>
      <c r="AQ15" s="2552" t="s">
        <v>64</v>
      </c>
      <c r="AY15" s="1439">
        <v>0</v>
      </c>
    </row>
    <row customHeight="1" ht="14.25" hidden="1">
      <c r="AG16" s="1644"/>
      <c r="AH16" s="1644"/>
      <c r="AI16" s="1644"/>
      <c r="AJ16" s="1644"/>
      <c r="AK16" s="1644"/>
      <c r="AL16" s="1644"/>
      <c r="AM16" s="612" t="str">
        <f>AN15&amp;"-"&amp;AP15</f>
        <v>-</v>
      </c>
      <c r="AN16" s="2552"/>
      <c r="AO16" s="2552"/>
      <c r="AP16" s="2552"/>
      <c r="AQ16" s="2552"/>
      <c r="AY16" s="1439">
        <v>0</v>
      </c>
    </row>
    <row customHeight="1" ht="14.25" hidden="1">
      <c r="AQ17" s="611"/>
      <c r="AY17" s="1439">
        <v>0</v>
      </c>
    </row>
    <row s="30620" customFormat="1" customHeight="1" ht="22.5" hidden="1">
      <c r="L18" s="1762"/>
      <c r="M18" s="1646"/>
      <c r="N18" s="1646"/>
      <c r="O18" s="1651" t="s">
        <v>474</v>
      </c>
      <c r="P18" s="1646"/>
      <c r="Q18" s="1655"/>
      <c r="R18" s="1655"/>
      <c r="S18" s="1013"/>
      <c r="W18" s="1650"/>
      <c r="X18" s="1650"/>
      <c r="Y18" s="1650"/>
      <c r="Z18" s="1650"/>
      <c r="AA18" s="1650"/>
      <c r="AC18" s="1651"/>
      <c r="AE18" s="1651"/>
      <c r="AF18" s="1650"/>
      <c r="AH18" s="1650"/>
      <c r="AI18" s="1650"/>
      <c r="AJ18" s="1650"/>
      <c r="AK18" s="1650"/>
      <c r="AL18" s="1650"/>
      <c r="AN18" s="1651"/>
      <c r="AP18" s="1651"/>
      <c r="AQ18" s="1650"/>
      <c r="AT18" s="795"/>
      <c r="AU18" s="795"/>
      <c r="AV18" s="795"/>
      <c r="AW18" s="795"/>
      <c r="AX18" s="795"/>
      <c r="AY18" s="1444">
        <v>0</v>
      </c>
    </row>
    <row s="30620" customFormat="1" customHeight="1" ht="14.25" hidden="1">
      <c r="L19" s="1762"/>
      <c r="M19" s="1646"/>
      <c r="N19" s="1646"/>
      <c r="O19" s="1646"/>
      <c r="P19" s="1646"/>
      <c r="Q19" s="1655"/>
      <c r="R19" s="1655"/>
      <c r="S19" s="1013"/>
      <c r="W19" s="1650"/>
      <c r="X19" s="1650"/>
      <c r="Y19" s="1650"/>
      <c r="Z19" s="1650"/>
      <c r="AA19" s="1650"/>
      <c r="AF19" s="1650"/>
      <c r="AH19" s="1650"/>
      <c r="AI19" s="1650"/>
      <c r="AJ19" s="1650"/>
      <c r="AK19" s="1650"/>
      <c r="AL19" s="1650"/>
      <c r="AQ19" s="1650"/>
      <c r="AT19" s="795"/>
      <c r="AU19" s="795"/>
      <c r="AV19" s="795"/>
      <c r="AW19" s="795"/>
      <c r="AX19" s="795"/>
      <c r="AY19" s="1444">
        <v>0</v>
      </c>
    </row>
    <row s="30620" customFormat="1" customHeight="1" ht="12" hidden="1">
      <c r="L20" s="1762"/>
      <c r="M20" s="1646"/>
      <c r="N20" s="1646"/>
      <c r="O20" s="1648" t="s">
        <v>475</v>
      </c>
      <c r="P20" s="1646"/>
      <c r="Q20" s="1726"/>
      <c r="R20" s="1726"/>
      <c r="S20" s="1013"/>
      <c r="T20" s="1444" t="s">
        <v>476</v>
      </c>
      <c r="W20" s="1650"/>
      <c r="X20" s="1650"/>
      <c r="Y20" s="1650"/>
      <c r="Z20" s="1650"/>
      <c r="AA20" s="1650"/>
      <c r="AD20" s="470" t="s">
        <v>477</v>
      </c>
      <c r="AF20" s="470" t="s">
        <v>478</v>
      </c>
      <c r="AG20" s="1444" t="s">
        <v>476</v>
      </c>
      <c r="AH20" s="1650"/>
      <c r="AI20" s="1650"/>
      <c r="AJ20" s="1650"/>
      <c r="AK20" s="1650"/>
      <c r="AL20" s="1650"/>
      <c r="AO20" s="470" t="s">
        <v>479</v>
      </c>
      <c r="AQ20" s="470" t="s">
        <v>478</v>
      </c>
      <c r="AY20" s="1444">
        <v>0</v>
      </c>
    </row>
    <row customHeight="1" ht="14.25" hidden="1">
      <c r="O21" s="1648"/>
      <c r="AY21" s="1439">
        <v>0</v>
      </c>
    </row>
    <row customHeight="1" ht="14.25" hidden="1">
      <c r="O22" s="1648"/>
      <c r="AY22" s="1439">
        <v>0</v>
      </c>
    </row>
    <row customHeight="1" ht="14.699999999999998">
      <c r="Q23" s="660"/>
      <c r="R23" s="660"/>
      <c r="S23" s="1559"/>
      <c r="T23" s="647"/>
      <c r="U23" s="647"/>
      <c r="V23" s="793"/>
      <c r="W23" s="1919"/>
      <c r="X23" s="1919"/>
      <c r="Y23" s="1919"/>
      <c r="Z23" s="1919"/>
      <c r="AA23" s="1919"/>
      <c r="AB23" s="793"/>
      <c r="AC23" s="793"/>
      <c r="AD23" s="793"/>
      <c r="AE23" s="793"/>
      <c r="AF23" s="793"/>
      <c r="AG23" s="793"/>
      <c r="AH23" s="1919"/>
      <c r="AI23" s="1919"/>
      <c r="AJ23" s="1919"/>
      <c r="AK23" s="1919"/>
      <c r="AL23" s="1919"/>
      <c r="AM23" s="793"/>
      <c r="AN23" s="793"/>
      <c r="AO23" s="793"/>
      <c r="AP23" s="793"/>
      <c r="AQ23" s="793"/>
      <c r="AY23" s="1439">
        <v>14</v>
      </c>
    </row>
    <row customHeight="1" ht="26.25">
      <c r="Q24" s="660"/>
      <c r="R24" s="660"/>
      <c r="S24" s="253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32"/>
      <c r="U24" s="2532"/>
      <c r="V24" s="2532"/>
      <c r="W24" s="2532"/>
      <c r="X24" s="2532"/>
      <c r="Y24" s="2532"/>
      <c r="Z24" s="2532"/>
      <c r="AA24" s="2532"/>
      <c r="AB24" s="2532"/>
      <c r="AC24" s="2532"/>
      <c r="AD24" s="2532"/>
      <c r="AE24" s="2532"/>
      <c r="AF24" s="2532"/>
      <c r="AG24" s="2532"/>
      <c r="AH24" s="2532"/>
      <c r="AI24" s="2532"/>
      <c r="AJ24" s="2532"/>
      <c r="AK24" s="2532"/>
      <c r="AL24" s="2532"/>
      <c r="AM24" s="2532"/>
      <c r="AN24" s="2532"/>
      <c r="AO24" s="2532"/>
      <c r="AP24" s="2532"/>
      <c r="AQ24" s="1527"/>
      <c r="AY24" s="1439">
        <v>25</v>
      </c>
    </row>
    <row customHeight="1" ht="14.699999999999998">
      <c r="Q25" s="660"/>
      <c r="R25" s="660"/>
      <c r="S25" s="2533" t="str">
        <f>IF(org=0,"Не определено",org)</f>
        <v>АО "ДГК"</v>
      </c>
      <c r="T25" s="2533"/>
      <c r="U25" s="2533"/>
      <c r="V25" s="2533"/>
      <c r="W25" s="2533"/>
      <c r="X25" s="2533"/>
      <c r="Y25" s="2533"/>
      <c r="Z25" s="2533"/>
      <c r="AA25" s="2533"/>
      <c r="AB25" s="2533"/>
      <c r="AC25" s="2533"/>
      <c r="AD25" s="2533"/>
      <c r="AE25" s="2533"/>
      <c r="AF25" s="2533"/>
      <c r="AG25" s="2533"/>
      <c r="AH25" s="2533"/>
      <c r="AI25" s="2533"/>
      <c r="AJ25" s="2533"/>
      <c r="AK25" s="2533"/>
      <c r="AL25" s="2533"/>
      <c r="AM25" s="2533"/>
      <c r="AN25" s="2533"/>
      <c r="AO25" s="2533"/>
      <c r="AP25" s="2533"/>
      <c r="AQ25" s="1527"/>
      <c r="AY25" s="1439">
        <v>14</v>
      </c>
    </row>
    <row customHeight="1" ht="14.25">
      <c r="Q26" s="660"/>
      <c r="R26" s="660"/>
      <c r="S26" s="1559"/>
      <c r="T26" s="647"/>
      <c r="U26" s="647"/>
      <c r="V26" s="606"/>
      <c r="W26" s="606"/>
      <c r="X26" s="606"/>
      <c r="Y26" s="606"/>
      <c r="Z26" s="606"/>
      <c r="AA26" s="606"/>
      <c r="AB26" s="606"/>
      <c r="AC26" s="606"/>
      <c r="AD26" s="606"/>
      <c r="AE26" s="606"/>
      <c r="AF26" s="606"/>
      <c r="AG26" s="606"/>
      <c r="AH26" s="606"/>
      <c r="AI26" s="606"/>
      <c r="AJ26" s="606"/>
      <c r="AK26" s="606"/>
      <c r="AL26" s="606"/>
      <c r="AM26" s="606"/>
      <c r="AN26" s="606"/>
      <c r="AO26" s="606"/>
      <c r="AP26" s="606"/>
      <c r="AQ26" s="606"/>
      <c r="AR26" s="793"/>
      <c r="AY26" s="1439">
        <v>0</v>
      </c>
    </row>
    <row s="30764" customFormat="1" customHeight="1" ht="25.5">
      <c r="A27" s="1652"/>
      <c r="B27" s="1652"/>
      <c r="C27" s="1652"/>
      <c r="D27" s="1652"/>
      <c r="E27" s="1652"/>
      <c r="F27" s="1652"/>
      <c r="G27" s="1652"/>
      <c r="H27" s="1652"/>
      <c r="I27" s="1652"/>
      <c r="J27" s="1652"/>
      <c r="K27" s="1652"/>
      <c r="L27" s="1653"/>
      <c r="M27" s="1652"/>
      <c r="N27" s="1652"/>
      <c r="O27" s="1652"/>
      <c r="S27" s="2534" t="s">
        <v>42</v>
      </c>
      <c r="T27" s="2534"/>
      <c r="U27" s="1656"/>
      <c r="V27" s="2535" t="str">
        <f>IF(TITLE_NAME_OR_PR_CHANGE="",IF(TITLE_NAME_OR_PR="","",TITLE_NAME_OR_PR),TITLE_NAME_OR_PR_CHANGE)</f>
        <v>Комитет по ценам и тарифам Правительства Хабаровского края</v>
      </c>
      <c r="W27" s="2535"/>
      <c r="X27" s="2535"/>
      <c r="Y27" s="2535"/>
      <c r="Z27" s="2535"/>
      <c r="AA27" s="2535"/>
      <c r="AB27" s="2535"/>
      <c r="AC27" s="2535"/>
      <c r="AD27" s="2535"/>
      <c r="AE27" s="2535"/>
      <c r="AF27" s="610"/>
      <c r="AG27" s="2535" t="str">
        <f>IF(TITLE_NAME_OR_PR_CHANGE="",IF(TITLE_NAME_OR_PR="","",TITLE_NAME_OR_PR),TITLE_NAME_OR_PR_CHANGE)</f>
        <v>Комитет по ценам и тарифам Правительства Хабаровского края</v>
      </c>
      <c r="AH27" s="2535"/>
      <c r="AI27" s="2535"/>
      <c r="AJ27" s="2535"/>
      <c r="AK27" s="2535"/>
      <c r="AL27" s="2535"/>
      <c r="AM27" s="2535"/>
      <c r="AN27" s="2535"/>
      <c r="AO27" s="2535"/>
      <c r="AP27" s="2535"/>
      <c r="AQ27" s="610"/>
      <c r="AR27" s="610"/>
      <c r="AS27" s="564"/>
      <c r="AT27" s="652"/>
      <c r="AU27" s="652"/>
      <c r="AV27" s="652"/>
      <c r="AW27" s="652"/>
      <c r="AX27" s="652"/>
      <c r="AY27" s="702">
        <v>0</v>
      </c>
    </row>
    <row s="30764" customFormat="1" customHeight="1" ht="18.75">
      <c r="A28" s="1652"/>
      <c r="B28" s="1652"/>
      <c r="C28" s="1652"/>
      <c r="D28" s="1652"/>
      <c r="E28" s="1652"/>
      <c r="F28" s="1652"/>
      <c r="G28" s="1652"/>
      <c r="H28" s="1652"/>
      <c r="I28" s="1652"/>
      <c r="J28" s="1652"/>
      <c r="K28" s="1652"/>
      <c r="L28" s="1653"/>
      <c r="M28" s="1652"/>
      <c r="N28" s="1652"/>
      <c r="O28" s="1652"/>
      <c r="S28" s="2534" t="s">
        <v>480</v>
      </c>
      <c r="T28" s="2534"/>
      <c r="U28" s="1656"/>
      <c r="V28" s="2548" t="str">
        <f>IF(TITLE_DATE_PR_CHANGE="",IF(TITLE_DATE_PR="","",TITLE_DATE_PR),TITLE_DATE_PR_CHANGE)</f>
        <v>45645</v>
      </c>
      <c r="W28" s="2548"/>
      <c r="X28" s="2548"/>
      <c r="Y28" s="2548"/>
      <c r="Z28" s="2548"/>
      <c r="AA28" s="2548"/>
      <c r="AB28" s="2548"/>
      <c r="AC28" s="2548"/>
      <c r="AD28" s="2548"/>
      <c r="AE28" s="2548"/>
      <c r="AF28" s="610"/>
      <c r="AG28" s="2548" t="str">
        <f>IF(TITLE_DATE_PR_CHANGE="",IF(TITLE_DATE_PR="","",TITLE_DATE_PR),TITLE_DATE_PR_CHANGE)</f>
        <v>45645</v>
      </c>
      <c r="AH28" s="2548"/>
      <c r="AI28" s="2548"/>
      <c r="AJ28" s="2548"/>
      <c r="AK28" s="2548"/>
      <c r="AL28" s="2548"/>
      <c r="AM28" s="2548"/>
      <c r="AN28" s="2548"/>
      <c r="AO28" s="2548"/>
      <c r="AP28" s="2548"/>
      <c r="AQ28" s="610"/>
      <c r="AR28" s="610"/>
      <c r="AS28" s="564"/>
      <c r="AT28" s="652"/>
      <c r="AU28" s="652"/>
      <c r="AV28" s="652"/>
      <c r="AW28" s="652"/>
      <c r="AX28" s="652"/>
      <c r="AY28" s="702">
        <v>0</v>
      </c>
    </row>
    <row s="30764" customFormat="1" customHeight="1" ht="18.75">
      <c r="A29" s="1652"/>
      <c r="B29" s="1652"/>
      <c r="C29" s="1652"/>
      <c r="D29" s="1652"/>
      <c r="E29" s="1652"/>
      <c r="F29" s="1652"/>
      <c r="G29" s="1652"/>
      <c r="H29" s="1652"/>
      <c r="I29" s="1652"/>
      <c r="J29" s="1652"/>
      <c r="K29" s="1652"/>
      <c r="L29" s="1653"/>
      <c r="M29" s="1652"/>
      <c r="N29" s="1652"/>
      <c r="O29" s="1652"/>
      <c r="S29" s="2534" t="s">
        <v>481</v>
      </c>
      <c r="T29" s="2534"/>
      <c r="U29" s="1656"/>
      <c r="V29" s="2535" t="str">
        <f>IF(TITLE_NUMBER_PR_CHANGE="",IF(TITLE_NUMBER_PR="","",TITLE_NUMBER_PR),TITLE_NUMBER_PR_CHANGE)</f>
        <v>№ 40/8</v>
      </c>
      <c r="W29" s="2535"/>
      <c r="X29" s="2535"/>
      <c r="Y29" s="2535"/>
      <c r="Z29" s="2535"/>
      <c r="AA29" s="2535"/>
      <c r="AB29" s="2535"/>
      <c r="AC29" s="2535"/>
      <c r="AD29" s="2535"/>
      <c r="AE29" s="2535"/>
      <c r="AF29" s="610"/>
      <c r="AG29" s="2535" t="str">
        <f>IF(TITLE_NUMBER_PR_CHANGE="",IF(TITLE_NUMBER_PR="","",TITLE_NUMBER_PR),TITLE_NUMBER_PR_CHANGE)</f>
        <v>№ 40/8</v>
      </c>
      <c r="AH29" s="2535"/>
      <c r="AI29" s="2535"/>
      <c r="AJ29" s="2535"/>
      <c r="AK29" s="2535"/>
      <c r="AL29" s="2535"/>
      <c r="AM29" s="2535"/>
      <c r="AN29" s="2535"/>
      <c r="AO29" s="2535"/>
      <c r="AP29" s="2535"/>
      <c r="AQ29" s="610"/>
      <c r="AR29" s="610"/>
      <c r="AS29" s="564"/>
      <c r="AT29" s="652"/>
      <c r="AU29" s="652"/>
      <c r="AV29" s="652"/>
      <c r="AW29" s="652"/>
      <c r="AX29" s="652"/>
      <c r="AY29" s="702">
        <v>0</v>
      </c>
    </row>
    <row s="30764" customFormat="1" customHeight="1" ht="18.75">
      <c r="A30" s="1652"/>
      <c r="B30" s="1652"/>
      <c r="C30" s="1652"/>
      <c r="D30" s="1652"/>
      <c r="E30" s="1652"/>
      <c r="F30" s="1652"/>
      <c r="G30" s="1652"/>
      <c r="H30" s="1652"/>
      <c r="I30" s="1652"/>
      <c r="J30" s="1652"/>
      <c r="K30" s="1652"/>
      <c r="L30" s="1653"/>
      <c r="M30" s="1652"/>
      <c r="N30" s="1652"/>
      <c r="O30" s="1652"/>
      <c r="S30" s="2534" t="s">
        <v>44</v>
      </c>
      <c r="T30" s="2534"/>
      <c r="U30" s="1656"/>
      <c r="V30" s="2535" t="str">
        <f>IF(TITLE_IST_PUB_CHANGE="",IF(TITLE_IST_PUB="","",TITLE_IST_PUB),TITLE_IST_PUB_CHANGE)</f>
        <v>Официальный интернет - портал нормативных правовых актов Хабаровского края https://laws.khv.gov.ru/</v>
      </c>
      <c r="W30" s="2535"/>
      <c r="X30" s="2535"/>
      <c r="Y30" s="2535"/>
      <c r="Z30" s="2535"/>
      <c r="AA30" s="2535"/>
      <c r="AB30" s="2535"/>
      <c r="AC30" s="2535"/>
      <c r="AD30" s="2535"/>
      <c r="AE30" s="2535"/>
      <c r="AF30" s="610"/>
      <c r="AG30" s="2535" t="str">
        <f>IF(TITLE_IST_PUB_CHANGE="",IF(TITLE_IST_PUB="","",TITLE_IST_PUB),TITLE_IST_PUB_CHANGE)</f>
        <v>Официальный интернет - портал нормативных правовых актов Хабаровского края https://laws.khv.gov.ru/</v>
      </c>
      <c r="AH30" s="2535"/>
      <c r="AI30" s="2535"/>
      <c r="AJ30" s="2535"/>
      <c r="AK30" s="2535"/>
      <c r="AL30" s="2535"/>
      <c r="AM30" s="2535"/>
      <c r="AN30" s="2535"/>
      <c r="AO30" s="2535"/>
      <c r="AP30" s="2535"/>
      <c r="AQ30" s="610"/>
      <c r="AR30" s="610"/>
      <c r="AS30" s="564"/>
      <c r="AT30" s="652"/>
      <c r="AU30" s="652"/>
      <c r="AV30" s="652"/>
      <c r="AW30" s="652"/>
      <c r="AX30" s="652"/>
      <c r="AY30" s="702">
        <v>0</v>
      </c>
    </row>
    <row customHeight="1" ht="14.25" hidden="1">
      <c r="Q31" s="660"/>
      <c r="R31" s="660"/>
      <c r="S31" s="1559"/>
      <c r="T31" s="647"/>
      <c r="U31" s="647"/>
      <c r="V31" s="606"/>
      <c r="W31" s="606"/>
      <c r="X31" s="606"/>
      <c r="Y31" s="606"/>
      <c r="Z31" s="606"/>
      <c r="AA31" s="606"/>
      <c r="AB31" s="606"/>
      <c r="AC31" s="606"/>
      <c r="AD31" s="606"/>
      <c r="AE31" s="606"/>
      <c r="AF31" s="606"/>
      <c r="AG31" s="606"/>
      <c r="AH31" s="606"/>
      <c r="AI31" s="606"/>
      <c r="AJ31" s="606"/>
      <c r="AK31" s="606"/>
      <c r="AL31" s="606"/>
      <c r="AM31" s="606"/>
      <c r="AN31" s="606"/>
      <c r="AO31" s="606"/>
      <c r="AP31" s="606"/>
      <c r="AQ31" s="606"/>
      <c r="AR31" s="793"/>
      <c r="AY31" s="1439">
        <v>0</v>
      </c>
    </row>
    <row s="30764" customFormat="1" customHeight="1" ht="18.75" hidden="1">
      <c r="A32" s="1652"/>
      <c r="B32" s="1652"/>
      <c r="C32" s="1652"/>
      <c r="D32" s="1652"/>
      <c r="E32" s="1652"/>
      <c r="F32" s="1652"/>
      <c r="G32" s="1652"/>
      <c r="H32" s="1652"/>
      <c r="I32" s="1652"/>
      <c r="J32" s="1652"/>
      <c r="K32" s="1652"/>
      <c r="L32" s="1653"/>
      <c r="M32" s="1652"/>
      <c r="N32" s="1652"/>
      <c r="O32" s="1652"/>
      <c r="S32" s="2534" t="s">
        <v>482</v>
      </c>
      <c r="T32" s="2534"/>
      <c r="U32" s="1656"/>
      <c r="V32" s="2548" t="str">
        <f>IF(TITLE_DATE_PR_CHANGE="",IF(TITLE_DATE_PR="","",TITLE_DATE_PR),TITLE_DATE_PR_CHANGE)</f>
        <v>45645</v>
      </c>
      <c r="W32" s="2548"/>
      <c r="X32" s="2548"/>
      <c r="Y32" s="2548"/>
      <c r="Z32" s="2548"/>
      <c r="AA32" s="2548"/>
      <c r="AB32" s="2548"/>
      <c r="AC32" s="2548"/>
      <c r="AD32" s="2548"/>
      <c r="AE32" s="2548"/>
      <c r="AF32" s="610"/>
      <c r="AG32" s="2548" t="str">
        <f>IF(TITLE_DATE_PR_CHANGE="",IF(TITLE_DATE_PR="","",TITLE_DATE_PR),TITLE_DATE_PR_CHANGE)</f>
        <v>45645</v>
      </c>
      <c r="AH32" s="2548"/>
      <c r="AI32" s="2548"/>
      <c r="AJ32" s="2548"/>
      <c r="AK32" s="2548"/>
      <c r="AL32" s="2548"/>
      <c r="AM32" s="2548"/>
      <c r="AN32" s="2548"/>
      <c r="AO32" s="2548"/>
      <c r="AP32" s="2548"/>
      <c r="AQ32" s="610"/>
      <c r="AR32" s="610"/>
      <c r="AS32" s="564"/>
      <c r="AT32" s="652"/>
      <c r="AU32" s="652"/>
      <c r="AV32" s="652"/>
      <c r="AW32" s="652"/>
      <c r="AX32" s="652"/>
      <c r="AY32" s="702">
        <v>0</v>
      </c>
    </row>
    <row s="30764" customFormat="1" customHeight="1" ht="18.75" hidden="1">
      <c r="A33" s="1652"/>
      <c r="B33" s="1652"/>
      <c r="C33" s="1652"/>
      <c r="D33" s="1652"/>
      <c r="E33" s="1652"/>
      <c r="F33" s="1652"/>
      <c r="G33" s="1652"/>
      <c r="H33" s="1652"/>
      <c r="I33" s="1652"/>
      <c r="J33" s="1652"/>
      <c r="K33" s="1652"/>
      <c r="L33" s="1653"/>
      <c r="M33" s="1652"/>
      <c r="N33" s="1652"/>
      <c r="O33" s="1652"/>
      <c r="S33" s="2534" t="s">
        <v>483</v>
      </c>
      <c r="T33" s="2534"/>
      <c r="U33" s="1656"/>
      <c r="V33" s="2535" t="str">
        <f>IF(TITLE_NUMBER_PR_CHANGE="",IF(TITLE_NUMBER_PR="","",TITLE_NUMBER_PR),TITLE_NUMBER_PR_CHANGE)</f>
        <v>№ 40/8</v>
      </c>
      <c r="W33" s="2535"/>
      <c r="X33" s="2535"/>
      <c r="Y33" s="2535"/>
      <c r="Z33" s="2535"/>
      <c r="AA33" s="2535"/>
      <c r="AB33" s="2535"/>
      <c r="AC33" s="2535"/>
      <c r="AD33" s="2535"/>
      <c r="AE33" s="2535"/>
      <c r="AF33" s="610"/>
      <c r="AG33" s="2535" t="str">
        <f>IF(TITLE_NUMBER_PR_CHANGE="",IF(TITLE_NUMBER_PR="","",TITLE_NUMBER_PR),TITLE_NUMBER_PR_CHANGE)</f>
        <v>№ 40/8</v>
      </c>
      <c r="AH33" s="2535"/>
      <c r="AI33" s="2535"/>
      <c r="AJ33" s="2535"/>
      <c r="AK33" s="2535"/>
      <c r="AL33" s="2535"/>
      <c r="AM33" s="2535"/>
      <c r="AN33" s="2535"/>
      <c r="AO33" s="2535"/>
      <c r="AP33" s="2535"/>
      <c r="AQ33" s="610"/>
      <c r="AR33" s="610"/>
      <c r="AS33" s="564"/>
      <c r="AT33" s="652"/>
      <c r="AU33" s="652"/>
      <c r="AV33" s="652"/>
      <c r="AW33" s="652"/>
      <c r="AX33" s="652"/>
      <c r="AY33" s="702">
        <v>0</v>
      </c>
    </row>
    <row s="30764" customFormat="1" customHeight="1" ht="1.05">
      <c r="A34" s="1652"/>
      <c r="B34" s="1652"/>
      <c r="C34" s="1652"/>
      <c r="D34" s="1652"/>
      <c r="E34" s="1652"/>
      <c r="F34" s="1652"/>
      <c r="G34" s="1652"/>
      <c r="H34" s="1652"/>
      <c r="I34" s="1652"/>
      <c r="J34" s="1652"/>
      <c r="K34" s="1652"/>
      <c r="L34" s="1653"/>
      <c r="M34" s="1652"/>
      <c r="N34" s="1652"/>
      <c r="O34" s="1652"/>
      <c r="S34" s="607"/>
      <c r="T34" s="607"/>
      <c r="U34" s="1772"/>
      <c r="V34" s="610"/>
      <c r="W34" s="1919"/>
      <c r="X34" s="1919"/>
      <c r="Y34" s="1919"/>
      <c r="Z34" s="1919"/>
      <c r="AA34" s="1919"/>
      <c r="AB34" s="610"/>
      <c r="AC34" s="610"/>
      <c r="AD34" s="610"/>
      <c r="AE34" s="610"/>
      <c r="AF34" s="562" t="s">
        <v>484</v>
      </c>
      <c r="AG34" s="610"/>
      <c r="AH34" s="1919"/>
      <c r="AI34" s="1919"/>
      <c r="AJ34" s="1919"/>
      <c r="AK34" s="1919"/>
      <c r="AL34" s="1919"/>
      <c r="AM34" s="610"/>
      <c r="AN34" s="610"/>
      <c r="AO34" s="610"/>
      <c r="AP34" s="610"/>
      <c r="AQ34" s="562" t="s">
        <v>484</v>
      </c>
      <c r="AT34" s="652"/>
      <c r="AU34" s="652"/>
      <c r="AV34" s="652"/>
      <c r="AW34" s="652"/>
      <c r="AX34" s="652"/>
      <c r="AY34" s="702">
        <v>1</v>
      </c>
    </row>
    <row customHeight="1" ht="14.699999999999998">
      <c r="Q35" s="660"/>
      <c r="R35" s="660"/>
      <c r="S35" s="1559"/>
      <c r="T35" s="647"/>
      <c r="U35" s="1528"/>
      <c r="V35" s="2536"/>
      <c r="W35" s="2536"/>
      <c r="X35" s="2536"/>
      <c r="Y35" s="2536"/>
      <c r="Z35" s="2536"/>
      <c r="AA35" s="2536"/>
      <c r="AB35" s="2536"/>
      <c r="AC35" s="2536"/>
      <c r="AD35" s="2536"/>
      <c r="AE35" s="2536"/>
      <c r="AF35" s="2536"/>
      <c r="AG35" s="2536"/>
      <c r="AH35" s="2536"/>
      <c r="AI35" s="2536"/>
      <c r="AJ35" s="2536"/>
      <c r="AK35" s="2536"/>
      <c r="AL35" s="2536"/>
      <c r="AM35" s="2536"/>
      <c r="AN35" s="2536"/>
      <c r="AO35" s="2536"/>
      <c r="AP35" s="2536"/>
      <c r="AQ35" s="2536"/>
      <c r="AY35" s="1439">
        <v>14</v>
      </c>
    </row>
    <row customHeight="1" ht="14.699999999999998">
      <c r="Q36" s="660"/>
      <c r="R36" s="660"/>
      <c r="S36" s="2411" t="s">
        <v>360</v>
      </c>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c r="AS36" s="2411" t="s">
        <v>361</v>
      </c>
      <c r="AY36" s="1439">
        <v>14</v>
      </c>
    </row>
    <row customHeight="1" ht="14.699999999999998">
      <c r="Q37" s="660"/>
      <c r="R37" s="660"/>
      <c r="S37" s="2557" t="s">
        <v>91</v>
      </c>
      <c r="T37" s="2493" t="s">
        <v>485</v>
      </c>
      <c r="U37" s="585"/>
      <c r="V37" s="2558" t="s">
        <v>486</v>
      </c>
      <c r="W37" s="2559"/>
      <c r="X37" s="2559"/>
      <c r="Y37" s="2559"/>
      <c r="Z37" s="2559"/>
      <c r="AA37" s="2559"/>
      <c r="AB37" s="2559"/>
      <c r="AC37" s="2559"/>
      <c r="AD37" s="2559"/>
      <c r="AE37" s="2560"/>
      <c r="AF37" s="2561" t="s">
        <v>487</v>
      </c>
      <c r="AG37" s="2558" t="s">
        <v>486</v>
      </c>
      <c r="AH37" s="2559"/>
      <c r="AI37" s="2559"/>
      <c r="AJ37" s="2559"/>
      <c r="AK37" s="2559"/>
      <c r="AL37" s="2559"/>
      <c r="AM37" s="2559"/>
      <c r="AN37" s="2559"/>
      <c r="AO37" s="2559"/>
      <c r="AP37" s="2560"/>
      <c r="AQ37" s="2561" t="s">
        <v>488</v>
      </c>
      <c r="AR37" s="2564" t="s">
        <v>489</v>
      </c>
      <c r="AS37" s="2411"/>
      <c r="AY37" s="1439">
        <v>14</v>
      </c>
    </row>
    <row s="30541" customFormat="1" customHeight="1" ht="19.95">
      <c r="A38" s="1650"/>
      <c r="B38" s="1650"/>
      <c r="C38" s="1650"/>
      <c r="D38" s="1650"/>
      <c r="E38" s="1650"/>
      <c r="F38" s="1650"/>
      <c r="G38" s="1650"/>
      <c r="H38" s="1650"/>
      <c r="I38" s="1650"/>
      <c r="J38" s="1650"/>
      <c r="K38" s="1650"/>
      <c r="L38" s="2264"/>
      <c r="M38" s="1646"/>
      <c r="N38" s="1646"/>
      <c r="O38" s="1646"/>
      <c r="P38" s="2265"/>
      <c r="Q38" s="660"/>
      <c r="R38" s="660"/>
      <c r="S38" s="2557"/>
      <c r="T38" s="2493"/>
      <c r="U38" s="1315"/>
      <c r="V38" s="2650" t="s">
        <v>604</v>
      </c>
      <c r="W38" s="2649" t="s">
        <v>605</v>
      </c>
      <c r="X38" s="2649"/>
      <c r="Y38" s="2649"/>
      <c r="Z38" s="2649" t="s">
        <v>606</v>
      </c>
      <c r="AA38" s="2649"/>
      <c r="AB38" s="2649"/>
      <c r="AC38" s="2578" t="s">
        <v>493</v>
      </c>
      <c r="AD38" s="2597"/>
      <c r="AE38" s="2598"/>
      <c r="AF38" s="2562"/>
      <c r="AG38" s="2650" t="s">
        <v>604</v>
      </c>
      <c r="AH38" s="2649" t="s">
        <v>605</v>
      </c>
      <c r="AI38" s="2649"/>
      <c r="AJ38" s="2649"/>
      <c r="AK38" s="2649" t="s">
        <v>606</v>
      </c>
      <c r="AL38" s="2649"/>
      <c r="AM38" s="2649"/>
      <c r="AN38" s="2578" t="s">
        <v>493</v>
      </c>
      <c r="AO38" s="2597"/>
      <c r="AP38" s="2598"/>
      <c r="AQ38" s="2562"/>
      <c r="AR38" s="2565"/>
      <c r="AS38" s="2411"/>
      <c r="AT38" s="1920"/>
      <c r="AU38" s="1920"/>
      <c r="AV38" s="1920"/>
      <c r="AW38" s="1920"/>
      <c r="AX38" s="1920"/>
      <c r="AY38" s="1915">
        <v>19</v>
      </c>
    </row>
    <row customHeight="1" ht="19.95">
      <c r="Q39" s="660"/>
      <c r="R39" s="660"/>
      <c r="S39" s="2557"/>
      <c r="T39" s="2493"/>
      <c r="U39" s="1315"/>
      <c r="V39" s="2650"/>
      <c r="W39" s="2649" t="s">
        <v>607</v>
      </c>
      <c r="X39" s="2649" t="s">
        <v>608</v>
      </c>
      <c r="Y39" s="2649"/>
      <c r="Z39" s="2649" t="s">
        <v>609</v>
      </c>
      <c r="AA39" s="2649" t="s">
        <v>608</v>
      </c>
      <c r="AB39" s="2649"/>
      <c r="AC39" s="2579"/>
      <c r="AD39" s="2599"/>
      <c r="AE39" s="2600"/>
      <c r="AF39" s="2562"/>
      <c r="AG39" s="2650"/>
      <c r="AH39" s="2649" t="s">
        <v>607</v>
      </c>
      <c r="AI39" s="2649" t="s">
        <v>608</v>
      </c>
      <c r="AJ39" s="2649"/>
      <c r="AK39" s="2649" t="s">
        <v>609</v>
      </c>
      <c r="AL39" s="2649" t="s">
        <v>608</v>
      </c>
      <c r="AM39" s="2649"/>
      <c r="AN39" s="2579"/>
      <c r="AO39" s="2599"/>
      <c r="AP39" s="2600"/>
      <c r="AQ39" s="2562"/>
      <c r="AR39" s="2565"/>
      <c r="AS39" s="2411"/>
      <c r="AY39" s="1439">
        <v>19</v>
      </c>
    </row>
    <row customHeight="1" ht="61.949999999999996">
      <c r="A40" s="1654"/>
      <c r="B40" s="1654" t="s">
        <v>165</v>
      </c>
      <c r="C40" s="1654" t="s">
        <v>166</v>
      </c>
      <c r="D40" s="1654" t="s">
        <v>167</v>
      </c>
      <c r="E40" s="1648" t="s">
        <v>494</v>
      </c>
      <c r="F40" s="1648" t="s">
        <v>495</v>
      </c>
      <c r="G40" s="1648" t="s">
        <v>496</v>
      </c>
      <c r="H40" s="1648"/>
      <c r="I40" s="1648" t="s">
        <v>562</v>
      </c>
      <c r="J40" s="1648" t="s">
        <v>499</v>
      </c>
      <c r="K40" s="1648" t="s">
        <v>563</v>
      </c>
      <c r="L40" s="1648" t="s">
        <v>475</v>
      </c>
      <c r="Q40" s="660"/>
      <c r="R40" s="660"/>
      <c r="S40" s="2557"/>
      <c r="T40" s="2493"/>
      <c r="U40" s="586"/>
      <c r="V40" s="2650"/>
      <c r="W40" s="2649"/>
      <c r="X40" s="2267" t="s">
        <v>610</v>
      </c>
      <c r="Y40" s="2267" t="s">
        <v>611</v>
      </c>
      <c r="Z40" s="2649"/>
      <c r="AA40" s="2267" t="s">
        <v>612</v>
      </c>
      <c r="AB40" s="2267" t="s">
        <v>613</v>
      </c>
      <c r="AC40" s="1773" t="s">
        <v>503</v>
      </c>
      <c r="AD40" s="2554" t="s">
        <v>504</v>
      </c>
      <c r="AE40" s="2555"/>
      <c r="AF40" s="2563"/>
      <c r="AG40" s="2650"/>
      <c r="AH40" s="2649"/>
      <c r="AI40" s="2267" t="s">
        <v>610</v>
      </c>
      <c r="AJ40" s="2267" t="s">
        <v>611</v>
      </c>
      <c r="AK40" s="2649"/>
      <c r="AL40" s="2267" t="s">
        <v>612</v>
      </c>
      <c r="AM40" s="2267" t="s">
        <v>613</v>
      </c>
      <c r="AN40" s="1773" t="s">
        <v>503</v>
      </c>
      <c r="AO40" s="2554" t="s">
        <v>504</v>
      </c>
      <c r="AP40" s="2555"/>
      <c r="AQ40" s="2563"/>
      <c r="AR40" s="2566"/>
      <c r="AS40" s="2411"/>
      <c r="AY40" s="1439">
        <v>59</v>
      </c>
    </row>
    <row s="31261" customFormat="1" customHeight="1" ht="11.25" hidden="1">
      <c r="A41" s="1654"/>
      <c r="B41" s="1654"/>
      <c r="C41" s="1654"/>
      <c r="D41" s="1654"/>
      <c r="E41" s="1654"/>
      <c r="F41" s="1654"/>
      <c r="G41" s="1654"/>
      <c r="H41" s="1654"/>
      <c r="I41" s="1654"/>
      <c r="J41" s="1654"/>
      <c r="K41" s="1654"/>
      <c r="L41" s="1648"/>
      <c r="M41" s="1646"/>
      <c r="N41" s="1646"/>
      <c r="O41" s="1646"/>
      <c r="P41" s="1530"/>
      <c r="Q41" s="1531"/>
      <c r="R41" s="1538">
        <v>1</v>
      </c>
      <c r="S41" s="1561" t="s">
        <v>141</v>
      </c>
      <c r="T41" s="1539" t="s">
        <v>105</v>
      </c>
      <c r="U41" s="1529" t="str">
        <f>OFFSET(U41,0,-1)</f>
        <v>2</v>
      </c>
      <c r="V41" s="1766">
        <f>OFFSET(V41,0,-1)+1</f>
        <v>3</v>
      </c>
      <c r="W41" s="2263"/>
      <c r="X41" s="2263"/>
      <c r="Y41" s="2263"/>
      <c r="Z41" s="2263"/>
      <c r="AA41" s="2263"/>
      <c r="AB41" s="1766">
        <f>OFFSET(AB41,0,-1)+1</f>
        <v>1</v>
      </c>
      <c r="AC41" s="1766">
        <f>OFFSET(AC41,0,-1)+1</f>
        <v>2</v>
      </c>
      <c r="AD41" s="2556">
        <f>OFFSET(AD41,0,-1)+1</f>
        <v>3</v>
      </c>
      <c r="AE41" s="2556"/>
      <c r="AF41" s="1766">
        <f>OFFSET(AF41,0,-2)+1</f>
        <v>4</v>
      </c>
      <c r="AG41" s="1766">
        <f>OFFSET(AG41,0,-1)+1</f>
        <v>5</v>
      </c>
      <c r="AH41" s="2263"/>
      <c r="AI41" s="2263"/>
      <c r="AJ41" s="2263"/>
      <c r="AK41" s="2263"/>
      <c r="AL41" s="2263"/>
      <c r="AM41" s="1766">
        <f>OFFSET(AM41,0,-1)+1</f>
        <v>1</v>
      </c>
      <c r="AN41" s="1766">
        <f>OFFSET(AN41,0,-1)+1</f>
        <v>2</v>
      </c>
      <c r="AO41" s="2556">
        <f>OFFSET(AO41,0,-1)+1</f>
        <v>3</v>
      </c>
      <c r="AP41" s="2556"/>
      <c r="AQ41" s="1766">
        <f>OFFSET(AQ41,0,-2)+1</f>
        <v>4</v>
      </c>
      <c r="AR41" s="1529">
        <f>OFFSET(AR41,0,-1)</f>
        <v>4</v>
      </c>
      <c r="AS41" s="1766">
        <f>OFFSET(AS41,0,-1)+1</f>
        <v>5</v>
      </c>
      <c r="AT41" s="795"/>
      <c r="AU41" s="795"/>
      <c r="AV41" s="795"/>
      <c r="AW41" s="795"/>
      <c r="AX41" s="795"/>
      <c r="AY41" s="780">
        <v>0</v>
      </c>
    </row>
    <row customHeight="1" ht="24">
      <c r="A42" s="1647" t="s">
        <v>316</v>
      </c>
      <c r="B42" s="1647"/>
      <c r="C42" s="1647"/>
      <c r="D42" s="1647"/>
      <c r="E42" s="2542">
        <v>1</v>
      </c>
      <c r="F42" s="1647"/>
      <c r="G42" s="1647"/>
      <c r="H42" s="1647"/>
      <c r="I42" s="1647"/>
      <c r="J42" s="1647"/>
      <c r="K42" s="1647"/>
      <c r="L42" s="1648"/>
      <c r="M42" s="1649"/>
      <c r="N42" s="1649"/>
      <c r="O42" s="1649"/>
      <c r="P42" s="645"/>
      <c r="Q42" s="644"/>
      <c r="R42" s="639"/>
      <c r="S42" s="1777">
        <f>INDEX(PT_DIFFERENTIATION_NUM_NTAR,MATCH(A42,PT_DIFFERENTIATION_NTAR_ID,0))</f>
        <v>0</v>
      </c>
      <c r="T42" s="582" t="s">
        <v>153</v>
      </c>
      <c r="U42" s="584"/>
      <c r="V42" s="2526"/>
      <c r="W42" s="2527"/>
      <c r="X42" s="2527"/>
      <c r="Y42" s="2527"/>
      <c r="Z42" s="2527"/>
      <c r="AA42" s="2527"/>
      <c r="AB42" s="2527"/>
      <c r="AC42" s="2527"/>
      <c r="AD42" s="2527"/>
      <c r="AE42" s="2527"/>
      <c r="AF42" s="2528"/>
      <c r="AG42" s="2526" t="str">
        <f>INDEX(PT_DIFFERENTIATION_NTAR,MATCH(A42,PT_DIFFERENTIATION_NTAR_ID,0))</f>
        <v/>
      </c>
      <c r="AH42" s="2527"/>
      <c r="AI42" s="2527"/>
      <c r="AJ42" s="2527"/>
      <c r="AK42" s="2527"/>
      <c r="AL42" s="2527"/>
      <c r="AM42" s="2527"/>
      <c r="AN42" s="2527"/>
      <c r="AO42" s="2527"/>
      <c r="AP42" s="2527"/>
      <c r="AQ42" s="2527"/>
      <c r="AR42" s="2528"/>
      <c r="AS42"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784"/>
      <c r="AV42" s="784" t="str">
        <f>IF(T42="","",T42)</f>
        <v>Наименование тарифа</v>
      </c>
      <c r="AW42" s="784"/>
      <c r="AX42" s="784"/>
      <c r="AY42" s="1439">
        <v>23</v>
      </c>
    </row>
    <row customHeight="1" ht="24">
      <c r="A43" s="1647" t="s">
        <v>316</v>
      </c>
      <c r="B43" s="1647" t="s">
        <v>317</v>
      </c>
      <c r="C43" s="1647"/>
      <c r="D43" s="1647"/>
      <c r="E43" s="2543"/>
      <c r="F43" s="2542">
        <v>1</v>
      </c>
      <c r="G43" s="1647"/>
      <c r="H43" s="1647"/>
      <c r="I43" s="1647"/>
      <c r="J43" s="1647"/>
      <c r="K43" s="1647"/>
      <c r="L43" s="1648"/>
      <c r="M43" s="1649"/>
      <c r="N43" s="1649"/>
      <c r="O43" s="1649"/>
      <c r="P43" s="1771"/>
      <c r="Q43" s="636"/>
      <c r="R43" s="637"/>
      <c r="S43" s="1777" t="str">
        <f>INDEX(PT_DIFFERENTIATION_NUM_TER,MATCH(B43,PT_DIFFERENTIATION_TER_ID,0))</f>
        <v>.</v>
      </c>
      <c r="T43" s="592" t="s">
        <v>457</v>
      </c>
      <c r="U43" s="584"/>
      <c r="V43" s="2526"/>
      <c r="W43" s="2527"/>
      <c r="X43" s="2527"/>
      <c r="Y43" s="2527"/>
      <c r="Z43" s="2527"/>
      <c r="AA43" s="2527"/>
      <c r="AB43" s="2527"/>
      <c r="AC43" s="2527"/>
      <c r="AD43" s="2527"/>
      <c r="AE43" s="2527"/>
      <c r="AF43" s="2528"/>
      <c r="AG43" s="2526" t="str">
        <f>INDEX(PT_DIFFERENTIATION_TER,MATCH(B43,PT_DIFFERENTIATION_TER_ID,0))</f>
        <v/>
      </c>
      <c r="AH43" s="2527"/>
      <c r="AI43" s="2527"/>
      <c r="AJ43" s="2527"/>
      <c r="AK43" s="2527"/>
      <c r="AL43" s="2527"/>
      <c r="AM43" s="2527"/>
      <c r="AN43" s="2527"/>
      <c r="AO43" s="2527"/>
      <c r="AP43" s="2527"/>
      <c r="AQ43" s="2527"/>
      <c r="AR43" s="2528"/>
      <c r="AS43" s="1542" t="s">
        <v>458</v>
      </c>
      <c r="AU43" s="784"/>
      <c r="AV43" s="784" t="str">
        <f>IF(T43="","",T43)</f>
        <v>Территория действия тарифа</v>
      </c>
      <c r="AW43" s="784"/>
      <c r="AX43" s="784"/>
      <c r="AY43" s="1439">
        <v>23</v>
      </c>
    </row>
    <row customHeight="1" ht="24">
      <c r="A44" s="1647" t="s">
        <v>316</v>
      </c>
      <c r="B44" s="1647" t="s">
        <v>317</v>
      </c>
      <c r="C44" s="1647" t="s">
        <v>318</v>
      </c>
      <c r="D44" s="1647"/>
      <c r="E44" s="2543"/>
      <c r="F44" s="2543"/>
      <c r="G44" s="2542">
        <v>1</v>
      </c>
      <c r="H44" s="1647"/>
      <c r="I44" s="1647"/>
      <c r="J44" s="1647"/>
      <c r="K44" s="1647"/>
      <c r="L44" s="1648"/>
      <c r="M44" s="1649"/>
      <c r="N44" s="1649"/>
      <c r="O44" s="1649"/>
      <c r="P44" s="638"/>
      <c r="Q44" s="636"/>
      <c r="R44" s="637"/>
      <c r="S44" s="1777" t="str">
        <f>INDEX(PT_DIFFERENTIATION_NUM_CS,MATCH(C44,PT_DIFFERENTIATION_CS_ID,0))</f>
        <v>..</v>
      </c>
      <c r="T44" s="593" t="s">
        <v>602</v>
      </c>
      <c r="U44" s="584"/>
      <c r="V44" s="2526"/>
      <c r="W44" s="2527"/>
      <c r="X44" s="2527"/>
      <c r="Y44" s="2527"/>
      <c r="Z44" s="2527"/>
      <c r="AA44" s="2527"/>
      <c r="AB44" s="2527"/>
      <c r="AC44" s="2527"/>
      <c r="AD44" s="2527"/>
      <c r="AE44" s="2527"/>
      <c r="AF44" s="2528"/>
      <c r="AG44" s="2526" t="str">
        <f>INDEX(PT_DIFFERENTIATION_CS,MATCH(C44,PT_DIFFERENTIATION_CS_ID,0))</f>
        <v/>
      </c>
      <c r="AH44" s="2527"/>
      <c r="AI44" s="2527"/>
      <c r="AJ44" s="2527"/>
      <c r="AK44" s="2527"/>
      <c r="AL44" s="2527"/>
      <c r="AM44" s="2527"/>
      <c r="AN44" s="2527"/>
      <c r="AO44" s="2527"/>
      <c r="AP44" s="2527"/>
      <c r="AQ44" s="2527"/>
      <c r="AR44" s="2528"/>
      <c r="AS44" s="1542" t="s">
        <v>603</v>
      </c>
      <c r="AU44" s="784"/>
      <c r="AV44" s="784" t="str">
        <f>IF(T44="","",T44)</f>
        <v>Наименование централизованной системы горячего водоснабжения</v>
      </c>
      <c r="AW44" s="784"/>
      <c r="AX44" s="784"/>
      <c r="AY44" s="1439">
        <v>23</v>
      </c>
    </row>
    <row customHeight="1" ht="24">
      <c r="A45" s="1647" t="s">
        <v>316</v>
      </c>
      <c r="B45" s="1647" t="s">
        <v>317</v>
      </c>
      <c r="C45" s="1647" t="s">
        <v>318</v>
      </c>
      <c r="D45" s="1647" t="s">
        <v>615</v>
      </c>
      <c r="E45" s="2543"/>
      <c r="F45" s="2543"/>
      <c r="G45" s="2543"/>
      <c r="H45" s="2543"/>
      <c r="I45" s="2540" t="str">
        <f>S44&amp;".1"</f>
        <v>...1</v>
      </c>
      <c r="J45" s="1647"/>
      <c r="K45" s="1647"/>
      <c r="L45" s="1648"/>
      <c r="P45" s="2541">
        <v>1</v>
      </c>
      <c r="Q45" s="1765"/>
      <c r="R45" s="640"/>
      <c r="S45" s="1777" t="str">
        <f>$I45</f>
        <v>...1</v>
      </c>
      <c r="T45" s="569" t="s">
        <v>555</v>
      </c>
      <c r="U45" s="584"/>
      <c r="V45" s="2634"/>
      <c r="W45" s="2635"/>
      <c r="X45" s="2635"/>
      <c r="Y45" s="2635"/>
      <c r="Z45" s="2635"/>
      <c r="AA45" s="2635"/>
      <c r="AB45" s="2635"/>
      <c r="AC45" s="2635"/>
      <c r="AD45" s="2635"/>
      <c r="AE45" s="2635"/>
      <c r="AF45" s="2636"/>
      <c r="AG45" s="2637"/>
      <c r="AH45" s="2638"/>
      <c r="AI45" s="2638"/>
      <c r="AJ45" s="2638"/>
      <c r="AK45" s="2638"/>
      <c r="AL45" s="2638"/>
      <c r="AM45" s="2638"/>
      <c r="AN45" s="2638"/>
      <c r="AO45" s="2638"/>
      <c r="AP45" s="2638"/>
      <c r="AQ45" s="2638"/>
      <c r="AR45" s="2639"/>
      <c r="AS45" s="1542" t="s">
        <v>556</v>
      </c>
      <c r="AU45" s="784"/>
      <c r="AV45" s="784" t="str">
        <f>IF(T45="","",T45)</f>
        <v>Наименование признака дифференциации</v>
      </c>
      <c r="AW45" s="784"/>
      <c r="AX45" s="784"/>
      <c r="AY45" s="1439">
        <v>23</v>
      </c>
    </row>
    <row customHeight="1" ht="24">
      <c r="A46" s="1647" t="s">
        <v>316</v>
      </c>
      <c r="B46" s="1647" t="s">
        <v>317</v>
      </c>
      <c r="C46" s="1647" t="s">
        <v>318</v>
      </c>
      <c r="D46" s="1647" t="s">
        <v>615</v>
      </c>
      <c r="E46" s="2543"/>
      <c r="F46" s="2543"/>
      <c r="G46" s="2543"/>
      <c r="H46" s="2543"/>
      <c r="I46" s="2570"/>
      <c r="J46" s="2540" t="str">
        <f>I45&amp;".1"</f>
        <v>...1.1</v>
      </c>
      <c r="K46" s="1647"/>
      <c r="L46" s="1648" t="s">
        <v>466</v>
      </c>
      <c r="P46" s="2541"/>
      <c r="Q46" s="2541">
        <v>1</v>
      </c>
      <c r="R46" s="641"/>
      <c r="S46" s="1777" t="str">
        <f>$J46</f>
        <v>...1.1</v>
      </c>
      <c r="T46" s="570" t="s">
        <v>467</v>
      </c>
      <c r="U46" s="584"/>
      <c r="V46" s="2529"/>
      <c r="W46" s="2530"/>
      <c r="X46" s="2530"/>
      <c r="Y46" s="2530"/>
      <c r="Z46" s="2530"/>
      <c r="AA46" s="2530"/>
      <c r="AB46" s="2530"/>
      <c r="AC46" s="2530"/>
      <c r="AD46" s="2530"/>
      <c r="AE46" s="2530"/>
      <c r="AF46" s="2531"/>
      <c r="AG46" s="2529"/>
      <c r="AH46" s="2530"/>
      <c r="AI46" s="2530"/>
      <c r="AJ46" s="2530"/>
      <c r="AK46" s="2530"/>
      <c r="AL46" s="2530"/>
      <c r="AM46" s="2530"/>
      <c r="AN46" s="2530"/>
      <c r="AO46" s="2530"/>
      <c r="AP46" s="2530"/>
      <c r="AQ46" s="2530"/>
      <c r="AR46" s="2531"/>
      <c r="AS46" s="1591" t="s">
        <v>557</v>
      </c>
      <c r="AU46" s="784"/>
      <c r="AV46" s="784" t="str">
        <f>IF(T46="","",T46)</f>
        <v>Группа потребителей</v>
      </c>
      <c r="AW46" s="784"/>
      <c r="AX46" s="784"/>
      <c r="AY46" s="1439">
        <v>23</v>
      </c>
    </row>
    <row customHeight="1" ht="24">
      <c r="A47" s="1647" t="s">
        <v>316</v>
      </c>
      <c r="B47" s="1647" t="s">
        <v>317</v>
      </c>
      <c r="C47" s="1647" t="s">
        <v>318</v>
      </c>
      <c r="D47" s="1647" t="s">
        <v>615</v>
      </c>
      <c r="E47" s="2543"/>
      <c r="F47" s="2543"/>
      <c r="G47" s="2543"/>
      <c r="H47" s="2543"/>
      <c r="I47" s="2570"/>
      <c r="J47" s="2570"/>
      <c r="K47" s="2540" t="str">
        <f>J46&amp;".1"</f>
        <v>...1.1.1</v>
      </c>
      <c r="L47" s="1648"/>
      <c r="P47" s="2541"/>
      <c r="Q47" s="2541"/>
      <c r="R47" s="641">
        <v>1</v>
      </c>
      <c r="S47" s="1777" t="str">
        <f>$K47</f>
        <v>...1.1.1</v>
      </c>
      <c r="T47" s="1721"/>
      <c r="U47" s="584"/>
      <c r="V47" s="1644"/>
      <c r="W47" s="1644"/>
      <c r="X47" s="1644"/>
      <c r="Y47" s="1644"/>
      <c r="Z47" s="1644"/>
      <c r="AA47" s="1644"/>
      <c r="AB47" s="1645"/>
      <c r="AC47" s="2551"/>
      <c r="AD47" s="2552" t="s">
        <v>64</v>
      </c>
      <c r="AE47" s="2551"/>
      <c r="AF47" s="2552" t="s">
        <v>64</v>
      </c>
      <c r="AG47" s="1035"/>
      <c r="AH47" s="1035"/>
      <c r="AI47" s="1035"/>
      <c r="AJ47" s="1035"/>
      <c r="AK47" s="1035"/>
      <c r="AL47" s="1035"/>
      <c r="AM47" s="1541"/>
      <c r="AN47" s="2549"/>
      <c r="AO47" s="2391" t="s">
        <v>64</v>
      </c>
      <c r="AP47" s="2571"/>
      <c r="AQ47" s="2391" t="s">
        <v>19</v>
      </c>
      <c r="AR47" s="1722"/>
      <c r="AS47" s="263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795">
        <f>STRCHECKDATE(V48:AR48)</f>
      </c>
      <c r="AU47" s="784"/>
      <c r="AV47" s="784" t="str">
        <f>IF(T47="","",T47)</f>
        <v/>
      </c>
      <c r="AW47" s="784"/>
      <c r="AX47" s="784"/>
      <c r="AY47" s="1439">
        <v>23</v>
      </c>
    </row>
    <row customHeight="1" ht="0">
      <c r="A48" s="1647" t="s">
        <v>316</v>
      </c>
      <c r="B48" s="1647" t="s">
        <v>317</v>
      </c>
      <c r="C48" s="1647" t="s">
        <v>318</v>
      </c>
      <c r="D48" s="1647" t="s">
        <v>615</v>
      </c>
      <c r="E48" s="2543"/>
      <c r="F48" s="2543"/>
      <c r="G48" s="2543"/>
      <c r="H48" s="2543"/>
      <c r="I48" s="2570"/>
      <c r="J48" s="2570"/>
      <c r="K48" s="2540"/>
      <c r="L48" s="1648"/>
      <c r="P48" s="2541"/>
      <c r="Q48" s="2541"/>
      <c r="R48" s="641"/>
      <c r="S48" s="1774"/>
      <c r="T48" s="584"/>
      <c r="U48" s="584"/>
      <c r="V48" s="1644"/>
      <c r="W48" s="1644"/>
      <c r="X48" s="1644"/>
      <c r="Y48" s="1644"/>
      <c r="Z48" s="1644"/>
      <c r="AA48" s="1644"/>
      <c r="AB48" s="612" t="str">
        <f>AC47&amp;"-"&amp;AE47</f>
        <v>-</v>
      </c>
      <c r="AC48" s="2552"/>
      <c r="AD48" s="2552"/>
      <c r="AE48" s="2552"/>
      <c r="AF48" s="2552"/>
      <c r="AG48" s="609"/>
      <c r="AH48" s="609"/>
      <c r="AI48" s="609"/>
      <c r="AJ48" s="609"/>
      <c r="AK48" s="609"/>
      <c r="AL48" s="609"/>
      <c r="AM48" s="612" t="str">
        <f>AN47&amp;"-"&amp;AP47</f>
        <v>-</v>
      </c>
      <c r="AN48" s="2550"/>
      <c r="AO48" s="2391"/>
      <c r="AP48" s="2572"/>
      <c r="AQ48" s="2391"/>
      <c r="AR48" s="1723"/>
      <c r="AS48" s="2633"/>
      <c r="AU48" s="784"/>
      <c r="AV48" s="784" t="str">
        <f>IF(T48="","",T48)</f>
        <v/>
      </c>
      <c r="AW48" s="784"/>
      <c r="AX48" s="784"/>
      <c r="AY48" s="1439">
        <v>0</v>
      </c>
    </row>
    <row customHeight="1" ht="21">
      <c r="A49" s="1647" t="s">
        <v>316</v>
      </c>
      <c r="B49" s="1647" t="s">
        <v>317</v>
      </c>
      <c r="C49" s="1647" t="s">
        <v>318</v>
      </c>
      <c r="D49" s="1647" t="s">
        <v>615</v>
      </c>
      <c r="E49" s="2543"/>
      <c r="F49" s="2543"/>
      <c r="G49" s="2543"/>
      <c r="H49" s="2543"/>
      <c r="I49" s="2570"/>
      <c r="J49" s="2540"/>
      <c r="K49" s="1647"/>
      <c r="L49" s="1648"/>
      <c r="P49" s="2541"/>
      <c r="Q49" s="2541"/>
      <c r="R49" s="640"/>
      <c r="S49" s="1562"/>
      <c r="T49" s="571" t="s">
        <v>558</v>
      </c>
      <c r="U49" s="651"/>
      <c r="V49" s="651"/>
      <c r="W49" s="884"/>
      <c r="X49" s="884"/>
      <c r="Y49" s="884"/>
      <c r="Z49" s="884"/>
      <c r="AA49" s="884"/>
      <c r="AB49" s="651"/>
      <c r="AC49" s="651"/>
      <c r="AD49" s="651"/>
      <c r="AE49" s="651"/>
      <c r="AF49" s="651"/>
      <c r="AG49" s="651"/>
      <c r="AH49" s="884"/>
      <c r="AI49" s="884"/>
      <c r="AJ49" s="884"/>
      <c r="AK49" s="884"/>
      <c r="AL49" s="884"/>
      <c r="AM49" s="651"/>
      <c r="AN49" s="651"/>
      <c r="AO49" s="651"/>
      <c r="AP49" s="651"/>
      <c r="AQ49" s="651"/>
      <c r="AR49" s="651"/>
      <c r="AS49" s="1542" t="s">
        <v>559</v>
      </c>
      <c r="AU49" s="784"/>
      <c r="AV49" s="784" t="str">
        <f>IF(T49="","",T49)</f>
        <v>Добавить значение признака дифференциации</v>
      </c>
      <c r="AW49" s="784"/>
      <c r="AX49" s="784"/>
      <c r="AY49" s="1439">
        <v>20</v>
      </c>
    </row>
    <row customHeight="1" ht="22.049999999999997">
      <c r="A50" s="1647" t="s">
        <v>316</v>
      </c>
      <c r="B50" s="1647" t="s">
        <v>317</v>
      </c>
      <c r="C50" s="1647" t="s">
        <v>318</v>
      </c>
      <c r="D50" s="1647" t="s">
        <v>615</v>
      </c>
      <c r="E50" s="2543"/>
      <c r="F50" s="2543"/>
      <c r="G50" s="2543"/>
      <c r="H50" s="2543"/>
      <c r="I50" s="2540"/>
      <c r="J50" s="1647"/>
      <c r="K50" s="1647"/>
      <c r="L50" s="1648"/>
      <c r="P50" s="2541"/>
      <c r="Q50" s="1765"/>
      <c r="R50" s="640"/>
      <c r="S50" s="1562"/>
      <c r="T50" s="649" t="s">
        <v>472</v>
      </c>
      <c r="U50" s="651"/>
      <c r="V50" s="651"/>
      <c r="W50" s="884"/>
      <c r="X50" s="884"/>
      <c r="Y50" s="884"/>
      <c r="Z50" s="884"/>
      <c r="AA50" s="884"/>
      <c r="AB50" s="651"/>
      <c r="AC50" s="651"/>
      <c r="AD50" s="651"/>
      <c r="AE50" s="651"/>
      <c r="AF50" s="650"/>
      <c r="AG50" s="651"/>
      <c r="AH50" s="884"/>
      <c r="AI50" s="884"/>
      <c r="AJ50" s="884"/>
      <c r="AK50" s="884"/>
      <c r="AL50" s="884"/>
      <c r="AM50" s="651"/>
      <c r="AN50" s="651"/>
      <c r="AO50" s="651"/>
      <c r="AP50" s="651"/>
      <c r="AQ50" s="650"/>
      <c r="AR50" s="651"/>
      <c r="AS50" s="1724"/>
      <c r="AU50" s="784"/>
      <c r="AV50" s="784" t="str">
        <f>IF(T50="","",T50)</f>
        <v>Добавить группу потребителей</v>
      </c>
      <c r="AW50" s="784"/>
      <c r="AX50" s="784"/>
      <c r="AY50" s="1439">
        <v>21</v>
      </c>
    </row>
    <row customHeight="1" ht="22.049999999999997">
      <c r="A51" s="1647" t="s">
        <v>316</v>
      </c>
      <c r="B51" s="1647" t="s">
        <v>317</v>
      </c>
      <c r="C51" s="1647" t="s">
        <v>318</v>
      </c>
      <c r="D51" s="1647" t="s">
        <v>615</v>
      </c>
      <c r="E51" s="2543"/>
      <c r="F51" s="2543"/>
      <c r="G51" s="2543"/>
      <c r="H51" s="2542"/>
      <c r="I51" s="1647"/>
      <c r="J51" s="1647"/>
      <c r="K51" s="1647"/>
      <c r="L51" s="1648"/>
      <c r="M51" s="1649"/>
      <c r="N51" s="1649"/>
      <c r="O51" s="821"/>
      <c r="P51" s="644"/>
      <c r="Q51" s="659"/>
      <c r="R51" s="639"/>
      <c r="S51" s="1562"/>
      <c r="T51" s="656" t="s">
        <v>560</v>
      </c>
      <c r="U51" s="651"/>
      <c r="V51" s="651"/>
      <c r="W51" s="884"/>
      <c r="X51" s="884"/>
      <c r="Y51" s="884"/>
      <c r="Z51" s="884"/>
      <c r="AA51" s="884"/>
      <c r="AB51" s="651"/>
      <c r="AC51" s="651"/>
      <c r="AD51" s="651"/>
      <c r="AE51" s="651"/>
      <c r="AF51" s="650"/>
      <c r="AG51" s="651"/>
      <c r="AH51" s="884"/>
      <c r="AI51" s="884"/>
      <c r="AJ51" s="884"/>
      <c r="AK51" s="884"/>
      <c r="AL51" s="884"/>
      <c r="AM51" s="651"/>
      <c r="AN51" s="651"/>
      <c r="AO51" s="651"/>
      <c r="AP51" s="651"/>
      <c r="AQ51" s="650"/>
      <c r="AR51" s="651"/>
      <c r="AS51" s="587"/>
      <c r="AU51" s="784"/>
      <c r="AV51" s="784" t="str">
        <f>IF(T51="","",T51)</f>
        <v>Добавить наименование признака дифференциации</v>
      </c>
      <c r="AW51" s="784"/>
      <c r="AX51" s="784"/>
      <c r="AY51" s="1439">
        <v>21</v>
      </c>
    </row>
    <row s="30621" customFormat="1" customHeight="1" ht="0">
      <c r="A52" s="1627" t="s">
        <v>316</v>
      </c>
      <c r="B52" s="1627" t="s">
        <v>317</v>
      </c>
      <c r="C52" s="1598"/>
      <c r="D52" s="1598"/>
      <c r="E52" s="2543"/>
      <c r="F52" s="2542"/>
      <c r="G52" s="1598"/>
      <c r="H52" s="1598"/>
      <c r="I52" s="1598"/>
      <c r="J52" s="1598"/>
      <c r="K52" s="1598"/>
      <c r="L52" s="1778"/>
      <c r="M52" s="1605"/>
      <c r="N52" s="1605"/>
      <c r="P52" s="1600"/>
      <c r="Q52" s="1601"/>
      <c r="R52" s="1600"/>
      <c r="S52" s="1606"/>
      <c r="T52" s="1609" t="s">
        <v>214</v>
      </c>
      <c r="U52" s="1608"/>
      <c r="V52" s="1608"/>
      <c r="W52" s="1608"/>
      <c r="X52" s="1608"/>
      <c r="Y52" s="1608"/>
      <c r="Z52" s="1608"/>
      <c r="AA52" s="1608"/>
      <c r="AB52" s="1608"/>
      <c r="AC52" s="1608"/>
      <c r="AD52" s="1608"/>
      <c r="AE52" s="1608"/>
      <c r="AF52" s="1608"/>
      <c r="AG52" s="1608"/>
      <c r="AH52" s="1608"/>
      <c r="AI52" s="1608"/>
      <c r="AJ52" s="1608"/>
      <c r="AK52" s="1608"/>
      <c r="AL52" s="1608"/>
      <c r="AM52" s="1608"/>
      <c r="AN52" s="1608"/>
      <c r="AO52" s="1608"/>
      <c r="AP52" s="1608"/>
      <c r="AQ52" s="1608"/>
      <c r="AR52" s="1608"/>
      <c r="AS52" s="1608"/>
      <c r="AU52" s="1073"/>
      <c r="AV52" s="1073" t="str">
        <f>IF(T52="","",T52)</f>
        <v>Добавить централизованную систему для дифференциации</v>
      </c>
      <c r="AW52" s="1073"/>
      <c r="AX52" s="1073"/>
      <c r="AY52" s="802">
        <v>0</v>
      </c>
    </row>
    <row s="30621" customFormat="1" customHeight="1" ht="0">
      <c r="A53" s="1627" t="s">
        <v>316</v>
      </c>
      <c r="B53" s="1627"/>
      <c r="C53" s="1627"/>
      <c r="D53" s="1627"/>
      <c r="E53" s="2542"/>
      <c r="F53" s="1627"/>
      <c r="G53" s="1627"/>
      <c r="H53" s="1627"/>
      <c r="I53" s="1627"/>
      <c r="J53" s="1627"/>
      <c r="K53" s="1627"/>
      <c r="L53" s="1630"/>
      <c r="M53" s="1605"/>
      <c r="N53" s="1605"/>
      <c r="O53" s="802"/>
      <c r="P53" s="664"/>
      <c r="Q53" s="1628"/>
      <c r="R53" s="664"/>
      <c r="S53" s="1606"/>
      <c r="T53" s="1609" t="s">
        <v>230</v>
      </c>
      <c r="U53" s="1608"/>
      <c r="V53" s="1608"/>
      <c r="W53" s="1608"/>
      <c r="X53" s="1608"/>
      <c r="Y53" s="1608"/>
      <c r="Z53" s="1608"/>
      <c r="AA53" s="1608"/>
      <c r="AB53" s="1608"/>
      <c r="AC53" s="1608"/>
      <c r="AD53" s="1608"/>
      <c r="AE53" s="1608"/>
      <c r="AF53" s="1608"/>
      <c r="AG53" s="1608"/>
      <c r="AH53" s="1608"/>
      <c r="AI53" s="1608"/>
      <c r="AJ53" s="1608"/>
      <c r="AK53" s="1608"/>
      <c r="AL53" s="1608"/>
      <c r="AM53" s="1608"/>
      <c r="AN53" s="1608"/>
      <c r="AO53" s="1608"/>
      <c r="AP53" s="1608"/>
      <c r="AQ53" s="1608"/>
      <c r="AR53" s="1608"/>
      <c r="AS53" s="1608"/>
      <c r="AU53" s="784"/>
      <c r="AV53" s="784" t="str">
        <f>IF(T53="","",T53)</f>
        <v>Добавить территорию для дифференциации</v>
      </c>
      <c r="AW53" s="784"/>
      <c r="AX53" s="784"/>
      <c r="AY53" s="795">
        <v>0</v>
      </c>
    </row>
    <row s="30621" customFormat="1" customHeight="1" ht="0">
      <c r="A54" s="1598"/>
      <c r="B54" s="1598"/>
      <c r="C54" s="1598"/>
      <c r="D54" s="1598"/>
      <c r="E54" s="1627"/>
      <c r="F54" s="1598"/>
      <c r="G54" s="1598"/>
      <c r="H54" s="1598"/>
      <c r="I54" s="1598"/>
      <c r="J54" s="1598"/>
      <c r="K54" s="1598"/>
      <c r="L54" s="1778"/>
      <c r="M54" s="1605"/>
      <c r="N54" s="1605"/>
      <c r="P54" s="1600"/>
      <c r="Q54" s="1601"/>
      <c r="R54" s="1600"/>
      <c r="S54" s="1606"/>
      <c r="T54" s="1609" t="s">
        <v>239</v>
      </c>
      <c r="U54" s="1608"/>
      <c r="V54" s="1608"/>
      <c r="W54" s="1608"/>
      <c r="X54" s="1608"/>
      <c r="Y54" s="1608"/>
      <c r="Z54" s="1608"/>
      <c r="AA54" s="1608"/>
      <c r="AB54" s="1608"/>
      <c r="AC54" s="1608"/>
      <c r="AD54" s="1608"/>
      <c r="AE54" s="1608"/>
      <c r="AF54" s="1608"/>
      <c r="AG54" s="1608"/>
      <c r="AH54" s="1608"/>
      <c r="AI54" s="1608"/>
      <c r="AJ54" s="1608"/>
      <c r="AK54" s="1608"/>
      <c r="AL54" s="1608"/>
      <c r="AM54" s="1608"/>
      <c r="AN54" s="1608"/>
      <c r="AO54" s="1608"/>
      <c r="AP54" s="1608"/>
      <c r="AQ54" s="1608"/>
      <c r="AR54" s="1608"/>
      <c r="AS54" s="1608"/>
      <c r="AU54" s="1073"/>
      <c r="AV54" s="1073" t="str">
        <f>IF(T54="","",T54)</f>
        <v>Добавить наименование тарифа</v>
      </c>
      <c r="AW54" s="1073"/>
      <c r="AX54" s="1073"/>
      <c r="AY54" s="802">
        <v>0</v>
      </c>
    </row>
    <row customHeight="1" ht="11.549999999999999">
      <c r="M55" s="1444"/>
      <c r="N55" s="1444"/>
      <c r="O55" s="821"/>
      <c r="P55" s="1439"/>
      <c r="Q55" s="1439"/>
      <c r="R55" s="1439"/>
      <c r="S55" s="1439"/>
      <c r="AT55" s="1439"/>
      <c r="AU55" s="1439"/>
      <c r="AV55" s="1439"/>
      <c r="AW55" s="1439"/>
      <c r="AX55" s="1439"/>
      <c r="AY55" s="1439">
        <v>11</v>
      </c>
    </row>
    <row customHeight="1" ht="14.699999999999998">
      <c r="O56" s="821"/>
      <c r="S56" s="1537"/>
      <c r="T56" s="2569"/>
      <c r="U56" s="2569"/>
      <c r="V56" s="2569"/>
      <c r="W56" s="2569"/>
      <c r="X56" s="2569"/>
      <c r="Y56" s="2569"/>
      <c r="Z56" s="2569"/>
      <c r="AA56" s="2569"/>
      <c r="AB56" s="2569"/>
      <c r="AC56" s="2569"/>
      <c r="AD56" s="2569"/>
      <c r="AE56" s="2569"/>
      <c r="AF56" s="2569"/>
      <c r="AG56" s="2569"/>
      <c r="AH56" s="2569"/>
      <c r="AI56" s="2569"/>
      <c r="AJ56" s="2569"/>
      <c r="AK56" s="2569"/>
      <c r="AL56" s="2569"/>
      <c r="AM56" s="2569"/>
      <c r="AN56" s="2569"/>
      <c r="AO56" s="2569"/>
      <c r="AP56" s="2569"/>
      <c r="AQ56" s="2569"/>
      <c r="AR56" s="2569"/>
      <c r="AS56" s="2569"/>
      <c r="AY56" s="1439">
        <v>14</v>
      </c>
    </row>
    <row customHeight="1" ht="14.699999999999998">
      <c r="O57" s="821"/>
      <c r="AY57" s="1439">
        <v>14</v>
      </c>
    </row>
    <row customHeight="1" ht="14.699999999999998">
      <c r="O58" s="821"/>
      <c r="S58" s="1537"/>
      <c r="T58" s="2569"/>
      <c r="U58" s="2569"/>
      <c r="V58" s="2569"/>
      <c r="W58" s="2569"/>
      <c r="X58" s="2569"/>
      <c r="Y58" s="2569"/>
      <c r="Z58" s="2569"/>
      <c r="AA58" s="2569"/>
      <c r="AB58" s="2569"/>
      <c r="AC58" s="2569"/>
      <c r="AD58" s="2569"/>
      <c r="AE58" s="2569"/>
      <c r="AF58" s="2569"/>
      <c r="AG58" s="2569"/>
      <c r="AH58" s="2569"/>
      <c r="AI58" s="2569"/>
      <c r="AJ58" s="2569"/>
      <c r="AK58" s="2569"/>
      <c r="AL58" s="2569"/>
      <c r="AM58" s="2569"/>
      <c r="AN58" s="2569"/>
      <c r="AO58" s="2569"/>
      <c r="AP58" s="2569"/>
      <c r="AQ58" s="2569"/>
      <c r="AR58" s="2569"/>
      <c r="AS58" s="2569"/>
      <c r="AY58" s="1439">
        <v>14</v>
      </c>
    </row>
    <row customHeight="1" ht="22.5" hidden="1">
      <c r="A59" s="1444" t="s">
        <v>85</v>
      </c>
      <c r="B59" s="1444">
        <v>0</v>
      </c>
      <c r="C59" s="1444">
        <v>0</v>
      </c>
      <c r="D59" s="1444">
        <v>0</v>
      </c>
      <c r="E59" s="1444">
        <v>0</v>
      </c>
      <c r="F59" s="1444">
        <v>0</v>
      </c>
      <c r="G59" s="1444">
        <v>0</v>
      </c>
      <c r="H59" s="1444">
        <v>0</v>
      </c>
      <c r="I59" s="1444">
        <v>0</v>
      </c>
      <c r="J59" s="1444">
        <v>0</v>
      </c>
      <c r="K59" s="1444">
        <v>0</v>
      </c>
      <c r="L59" s="1762">
        <v>0</v>
      </c>
      <c r="M59" s="1646">
        <v>0</v>
      </c>
      <c r="N59" s="1646">
        <v>0</v>
      </c>
      <c r="O59" s="1646">
        <v>0</v>
      </c>
      <c r="P59" s="1757">
        <v>3</v>
      </c>
      <c r="Q59" s="628">
        <v>3</v>
      </c>
      <c r="R59" s="628">
        <v>3</v>
      </c>
      <c r="S59" s="865">
        <v>12</v>
      </c>
      <c r="T59" s="1439">
        <v>35</v>
      </c>
      <c r="U59" s="1439">
        <v>0</v>
      </c>
      <c r="V59" s="1439">
        <v>0</v>
      </c>
      <c r="W59" s="1915">
        <v>0</v>
      </c>
      <c r="X59" s="1915">
        <v>0</v>
      </c>
      <c r="Y59" s="1915">
        <v>0</v>
      </c>
      <c r="Z59" s="1915">
        <v>0</v>
      </c>
      <c r="AA59" s="1915">
        <v>0</v>
      </c>
      <c r="AB59" s="1439">
        <v>0</v>
      </c>
      <c r="AC59" s="1439">
        <v>0</v>
      </c>
      <c r="AD59" s="1439">
        <v>0</v>
      </c>
      <c r="AE59" s="1439">
        <v>0</v>
      </c>
      <c r="AF59" s="1439">
        <v>0</v>
      </c>
      <c r="AG59" s="1439">
        <v>19</v>
      </c>
      <c r="AH59" s="1915">
        <v>19</v>
      </c>
      <c r="AI59" s="1915">
        <v>19</v>
      </c>
      <c r="AJ59" s="1915">
        <v>19</v>
      </c>
      <c r="AK59" s="1915">
        <v>19</v>
      </c>
      <c r="AL59" s="1915">
        <v>19</v>
      </c>
      <c r="AM59" s="1439">
        <v>19</v>
      </c>
      <c r="AN59" s="1439">
        <v>11</v>
      </c>
      <c r="AO59" s="1439">
        <v>3</v>
      </c>
      <c r="AP59" s="1439">
        <v>11</v>
      </c>
      <c r="AQ59" s="1439">
        <v>0</v>
      </c>
      <c r="AR59" s="1439">
        <v>4</v>
      </c>
      <c r="AS59" s="1439">
        <v>115</v>
      </c>
      <c r="AT59" s="795">
        <v>10</v>
      </c>
      <c r="AU59" s="795">
        <v>10</v>
      </c>
      <c r="AV59" s="795">
        <v>10</v>
      </c>
      <c r="AW59" s="795">
        <v>10</v>
      </c>
      <c r="AX59" s="795">
        <v>10</v>
      </c>
      <c r="AY59" s="1439">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85934A-FF85-3819-52F3-D366F21BD5CF}"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30620" width="11.57421875" hidden="1" customWidth="1"/>
    <col min="2" max="2" style="30620" width="11.00390625" hidden="1" customWidth="1"/>
    <col min="3" max="3" style="30620" width="10.57421875" hidden="1"/>
    <col min="4" max="4" style="30620" width="12.8515625" hidden="1" customWidth="1"/>
    <col min="5" max="5" style="30620" width="10.00390625" hidden="1" customWidth="1"/>
    <col min="6" max="6" style="30620" width="8.7109375" hidden="1" customWidth="1"/>
    <col min="7" max="7" style="30620" width="7.57421875" hidden="1" customWidth="1"/>
    <col min="8" max="8" style="30620" width="11.421875" hidden="1" customWidth="1"/>
    <col min="9" max="9" style="30620" width="12.00390625" hidden="1" customWidth="1"/>
    <col min="10" max="10" style="30620" width="9.8515625" hidden="1" customWidth="1"/>
    <col min="11" max="11" style="30620" width="11.421875" hidden="1" customWidth="1"/>
    <col min="12" max="12" style="31502" width="19.140625" hidden="1" customWidth="1"/>
    <col min="13" max="14" style="31503" width="12.28125" hidden="1" customWidth="1"/>
    <col min="15" max="15" style="31503" width="23.421875" hidden="1" customWidth="1"/>
    <col min="16" max="16" style="31503" width="3.7109375" hidden="1" customWidth="1"/>
    <col min="17" max="17" style="37299" width="3.7109375" hidden="1" customWidth="1"/>
    <col min="18" max="18" style="31505" width="3.00390625" customWidth="1"/>
    <col min="19" max="19" style="31506" width="12.00390625" customWidth="1"/>
    <col min="20" max="20" style="30541" width="31.00390625" customWidth="1"/>
    <col min="21" max="21" style="30541" width="0.140625" customWidth="1"/>
    <col min="22" max="25" style="30541" width="21.7109375" hidden="1" customWidth="1"/>
    <col min="26" max="26" style="30541" width="11.7109375" hidden="1" customWidth="1"/>
    <col min="27" max="27" style="30541" width="3.7109375" hidden="1" customWidth="1"/>
    <col min="28" max="28" style="30541" width="11.7109375" hidden="1" customWidth="1"/>
    <col min="29" max="29" style="30541" width="8.57421875" hidden="1" customWidth="1"/>
    <col min="30" max="30" style="30541" width="3.7109375" customWidth="1"/>
    <col min="31" max="32" style="30541" width="3.00390625" customWidth="1"/>
    <col min="33" max="33" style="30541" width="24.00390625" customWidth="1"/>
    <col min="34" max="34" style="30541" width="3.7109375" customWidth="1"/>
    <col min="35" max="36" style="30541" width="3.00390625" customWidth="1"/>
    <col min="37" max="37" style="30541" width="24.00390625" customWidth="1"/>
    <col min="38" max="38" style="30541" width="3.7109375" customWidth="1"/>
    <col min="39" max="40" style="30541" width="3.00390625" customWidth="1"/>
    <col min="41" max="41" style="30541" width="18.00390625" customWidth="1"/>
    <col min="42" max="42" style="30541" width="3.7109375" customWidth="1"/>
    <col min="43" max="44" style="30541" width="3.00390625" customWidth="1"/>
    <col min="45" max="45" style="30541" width="18.00390625" customWidth="1"/>
    <col min="46" max="49" style="30541" width="21.00390625" customWidth="1"/>
    <col min="50" max="50" style="30541" width="11.00390625" customWidth="1"/>
    <col min="51" max="51" style="30541" width="3.7109375" customWidth="1"/>
    <col min="52" max="52" style="30541" width="11.00390625" customWidth="1"/>
    <col min="53" max="53" style="30541" width="8.57421875" hidden="1" customWidth="1"/>
    <col min="54" max="54" style="30541" width="4.00390625" customWidth="1"/>
    <col min="55" max="55" style="30541" width="115.00390625" customWidth="1"/>
    <col min="56" max="60" style="30621" width="10.00390625" customWidth="1"/>
    <col min="61" max="61" style="30541" width="10.57421875" hidden="1"/>
  </cols>
  <sheetData>
    <row customHeight="1" ht="22.5" hidden="1">
      <c r="W1" s="611"/>
      <c r="Y1" s="611"/>
      <c r="Z1" s="611"/>
      <c r="AW1" s="611"/>
      <c r="AX1" s="611"/>
      <c r="BI1" s="1439" t="s">
        <v>14</v>
      </c>
    </row>
    <row customHeight="1" ht="21" hidden="1">
      <c r="A2" s="1647"/>
      <c r="B2" s="1647"/>
      <c r="C2" s="1647"/>
      <c r="D2" s="1647"/>
      <c r="E2" s="2542">
        <v>1</v>
      </c>
      <c r="F2" s="1647"/>
      <c r="G2" s="1647"/>
      <c r="H2" s="1647"/>
      <c r="I2" s="1647"/>
      <c r="J2" s="1647"/>
      <c r="K2" s="1647"/>
      <c r="L2" s="1648"/>
      <c r="M2" s="1649"/>
      <c r="N2" s="1649"/>
      <c r="O2" s="1649"/>
      <c r="P2" s="1693"/>
      <c r="Q2" s="1157"/>
      <c r="R2" s="639"/>
      <c r="S2" s="1777">
        <f>INDEX(PT_DIFFERENTIATION_NUM_NTAR,MATCH(A2,PT_DIFFERENTIATION_NTAR_ID,0))</f>
      </c>
      <c r="T2" s="582" t="s">
        <v>153</v>
      </c>
      <c r="U2" s="584"/>
      <c r="V2" s="2527"/>
      <c r="W2" s="2527"/>
      <c r="X2" s="2527"/>
      <c r="Y2" s="2527"/>
      <c r="Z2" s="2527"/>
      <c r="AA2" s="2527"/>
      <c r="AB2" s="2527"/>
      <c r="AC2" s="2528"/>
      <c r="AD2" s="2526">
        <f>INDEX(PT_DIFFERENTIATION_NTAR,MATCH(A2,PT_DIFFERENTIATION_NTAR_ID,0))</f>
      </c>
      <c r="AE2" s="2527"/>
      <c r="AF2" s="2527"/>
      <c r="AG2" s="2527"/>
      <c r="AH2" s="2527"/>
      <c r="AI2" s="2527"/>
      <c r="AJ2" s="2527"/>
      <c r="AK2" s="2527"/>
      <c r="AL2" s="2527"/>
      <c r="AM2" s="2527"/>
      <c r="AN2" s="2527"/>
      <c r="AO2" s="2527"/>
      <c r="AP2" s="2527"/>
      <c r="AQ2" s="2527"/>
      <c r="AR2" s="2527"/>
      <c r="AS2" s="2527"/>
      <c r="AT2" s="2527"/>
      <c r="AU2" s="2527"/>
      <c r="AV2" s="2527"/>
      <c r="AW2" s="2527"/>
      <c r="AX2" s="2527"/>
      <c r="AY2" s="2527"/>
      <c r="AZ2" s="2527"/>
      <c r="BA2" s="2527"/>
      <c r="BB2" s="2528"/>
      <c r="BC2"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784"/>
      <c r="BF2" s="784" t="str">
        <f>IF(T2="","",T2)</f>
        <v>Наименование тарифа</v>
      </c>
      <c r="BG2" s="784"/>
      <c r="BH2" s="784"/>
      <c r="BI2" s="1439">
        <v>0</v>
      </c>
    </row>
    <row customHeight="1" ht="21" hidden="1">
      <c r="A3" s="1647"/>
      <c r="B3" s="1647"/>
      <c r="C3" s="1647"/>
      <c r="D3" s="1647"/>
      <c r="E3" s="2543"/>
      <c r="F3" s="2542">
        <v>1</v>
      </c>
      <c r="G3" s="1647"/>
      <c r="H3" s="1647"/>
      <c r="I3" s="1647"/>
      <c r="J3" s="1647"/>
      <c r="K3" s="1647"/>
      <c r="L3" s="1648"/>
      <c r="M3" s="1649"/>
      <c r="N3" s="1649"/>
      <c r="O3" s="1649"/>
      <c r="P3" s="1694"/>
      <c r="Q3" s="1695"/>
      <c r="R3" s="637"/>
      <c r="S3" s="1777">
        <f>INDEX(PT_DIFFERENTIATION_NUM_TER,MATCH(B3,PT_DIFFERENTIATION_TER_ID,0))</f>
      </c>
      <c r="T3" s="592" t="s">
        <v>457</v>
      </c>
      <c r="U3" s="584"/>
      <c r="V3" s="2527"/>
      <c r="W3" s="2527"/>
      <c r="X3" s="2527"/>
      <c r="Y3" s="2527"/>
      <c r="Z3" s="2527"/>
      <c r="AA3" s="2527"/>
      <c r="AB3" s="2527"/>
      <c r="AC3" s="2528"/>
      <c r="AD3" s="2526">
        <f>INDEX(PT_DIFFERENTIATION_TER,MATCH(B3,PT_DIFFERENTIATION_TER_ID,0))</f>
      </c>
      <c r="AE3" s="2527"/>
      <c r="AF3" s="2527"/>
      <c r="AG3" s="2527"/>
      <c r="AH3" s="2527"/>
      <c r="AI3" s="2527"/>
      <c r="AJ3" s="2527"/>
      <c r="AK3" s="2527"/>
      <c r="AL3" s="2527"/>
      <c r="AM3" s="2527"/>
      <c r="AN3" s="2527"/>
      <c r="AO3" s="2527"/>
      <c r="AP3" s="2527"/>
      <c r="AQ3" s="2527"/>
      <c r="AR3" s="2527"/>
      <c r="AS3" s="2527"/>
      <c r="AT3" s="2527"/>
      <c r="AU3" s="2527"/>
      <c r="AV3" s="2527"/>
      <c r="AW3" s="2527"/>
      <c r="AX3" s="2527"/>
      <c r="AY3" s="2527"/>
      <c r="AZ3" s="2527"/>
      <c r="BA3" s="2527"/>
      <c r="BB3" s="2528"/>
      <c r="BC3" s="1542" t="s">
        <v>458</v>
      </c>
      <c r="BE3" s="784"/>
      <c r="BF3" s="784" t="str">
        <f>IF(T3="","",T3)</f>
        <v>Территория действия тарифа</v>
      </c>
      <c r="BG3" s="784"/>
      <c r="BH3" s="784"/>
      <c r="BI3" s="1439">
        <v>0</v>
      </c>
    </row>
    <row customHeight="1" ht="33.75" hidden="1">
      <c r="A4" s="1647"/>
      <c r="B4" s="1647"/>
      <c r="C4" s="1647"/>
      <c r="D4" s="1647"/>
      <c r="E4" s="2543"/>
      <c r="F4" s="2543"/>
      <c r="G4" s="2542">
        <v>1</v>
      </c>
      <c r="H4" s="1647"/>
      <c r="I4" s="1647"/>
      <c r="J4" s="1647"/>
      <c r="K4" s="1647"/>
      <c r="L4" s="1648"/>
      <c r="M4" s="1649"/>
      <c r="N4" s="1649"/>
      <c r="O4" s="1649"/>
      <c r="P4" s="1696"/>
      <c r="Q4" s="1695"/>
      <c r="R4" s="637"/>
      <c r="S4" s="1777">
        <f>INDEX(PT_DIFFERENTIATION_NUM_CS,MATCH(C4,PT_DIFFERENTIATION_CS_ID,0))</f>
      </c>
      <c r="T4" s="593" t="s">
        <v>602</v>
      </c>
      <c r="U4" s="584"/>
      <c r="V4" s="2527"/>
      <c r="W4" s="2527"/>
      <c r="X4" s="2527"/>
      <c r="Y4" s="2527"/>
      <c r="Z4" s="2527"/>
      <c r="AA4" s="2527"/>
      <c r="AB4" s="2527"/>
      <c r="AC4" s="2528"/>
      <c r="AD4" s="2526">
        <f>INDEX(PT_DIFFERENTIATION_CS,MATCH(C4,PT_DIFFERENTIATION_CS_ID,0))</f>
      </c>
      <c r="AE4" s="2527"/>
      <c r="AF4" s="2527"/>
      <c r="AG4" s="2527"/>
      <c r="AH4" s="2527"/>
      <c r="AI4" s="2527"/>
      <c r="AJ4" s="2527"/>
      <c r="AK4" s="2527"/>
      <c r="AL4" s="2527"/>
      <c r="AM4" s="2527"/>
      <c r="AN4" s="2527"/>
      <c r="AO4" s="2527"/>
      <c r="AP4" s="2527"/>
      <c r="AQ4" s="2527"/>
      <c r="AR4" s="2527"/>
      <c r="AS4" s="2527"/>
      <c r="AT4" s="2527"/>
      <c r="AU4" s="2527"/>
      <c r="AV4" s="2527"/>
      <c r="AW4" s="2527"/>
      <c r="AX4" s="2527"/>
      <c r="AY4" s="2527"/>
      <c r="AZ4" s="2527"/>
      <c r="BA4" s="2527"/>
      <c r="BB4" s="2528"/>
      <c r="BC4" s="1542" t="s">
        <v>603</v>
      </c>
      <c r="BE4" s="784"/>
      <c r="BF4" s="784" t="str">
        <f>IF(T4="","",T4)</f>
        <v>Наименование централизованной системы горячего водоснабжения</v>
      </c>
      <c r="BG4" s="784"/>
      <c r="BH4" s="784"/>
      <c r="BI4" s="1439">
        <v>0</v>
      </c>
    </row>
    <row s="30621" customFormat="1" customHeight="1" ht="14.25" hidden="1">
      <c r="A5" s="1627"/>
      <c r="B5" s="1627"/>
      <c r="C5" s="1627"/>
      <c r="D5" s="1627"/>
      <c r="E5" s="2543"/>
      <c r="F5" s="2543"/>
      <c r="G5" s="2543"/>
      <c r="H5" s="2542">
        <v>1</v>
      </c>
      <c r="I5" s="1627"/>
      <c r="J5" s="1627"/>
      <c r="K5" s="1627"/>
      <c r="L5" s="1630"/>
      <c r="M5" s="1599"/>
      <c r="N5" s="1599"/>
      <c r="O5" s="1599"/>
      <c r="P5" s="1781"/>
      <c r="Q5" s="1782"/>
      <c r="R5" s="641"/>
      <c r="S5" s="1326"/>
      <c r="T5" s="1783"/>
      <c r="U5" s="1668"/>
      <c r="V5" s="2581"/>
      <c r="W5" s="2581"/>
      <c r="X5" s="2581"/>
      <c r="Y5" s="2581"/>
      <c r="Z5" s="2581"/>
      <c r="AA5" s="2581"/>
      <c r="AB5" s="2581"/>
      <c r="AC5" s="2582"/>
      <c r="AD5" s="2580"/>
      <c r="AE5" s="2581"/>
      <c r="AF5" s="2581"/>
      <c r="AG5" s="2581"/>
      <c r="AH5" s="2581"/>
      <c r="AI5" s="2581"/>
      <c r="AJ5" s="2581"/>
      <c r="AK5" s="2581"/>
      <c r="AL5" s="2581"/>
      <c r="AM5" s="2581"/>
      <c r="AN5" s="2581"/>
      <c r="AO5" s="2581"/>
      <c r="AP5" s="2581"/>
      <c r="AQ5" s="2581"/>
      <c r="AR5" s="2581"/>
      <c r="AS5" s="2581"/>
      <c r="AT5" s="2581"/>
      <c r="AU5" s="2581"/>
      <c r="AV5" s="2581"/>
      <c r="AW5" s="2581"/>
      <c r="AX5" s="2581"/>
      <c r="AY5" s="2581"/>
      <c r="AZ5" s="2581"/>
      <c r="BA5" s="2581"/>
      <c r="BB5" s="2582"/>
      <c r="BC5" s="1669" t="s">
        <v>462</v>
      </c>
      <c r="BE5" s="784"/>
      <c r="BF5" s="784" t="str">
        <f>IF(T5="","",T5)</f>
        <v/>
      </c>
      <c r="BG5" s="784"/>
      <c r="BH5" s="784"/>
      <c r="BI5" s="795">
        <v>0</v>
      </c>
    </row>
    <row s="30621" customFormat="1" customHeight="1" ht="14.25" hidden="1">
      <c r="A6" s="1627"/>
      <c r="B6" s="1627"/>
      <c r="C6" s="1627"/>
      <c r="D6" s="1627"/>
      <c r="E6" s="2543"/>
      <c r="F6" s="2543"/>
      <c r="G6" s="2543"/>
      <c r="H6" s="2543"/>
      <c r="I6" s="2540" t="str">
        <f>S5&amp;".1"</f>
        <v>.1</v>
      </c>
      <c r="J6" s="1627"/>
      <c r="K6" s="1627"/>
      <c r="L6" s="1630" t="s">
        <v>463</v>
      </c>
      <c r="M6" s="794"/>
      <c r="N6" s="794"/>
      <c r="O6" s="794"/>
      <c r="P6" s="2541">
        <v>1</v>
      </c>
      <c r="Q6" s="1765"/>
      <c r="R6" s="640"/>
      <c r="S6" s="1326"/>
      <c r="T6" s="1667"/>
      <c r="U6" s="1668"/>
      <c r="V6" s="2581"/>
      <c r="W6" s="2581"/>
      <c r="X6" s="2581"/>
      <c r="Y6" s="2581"/>
      <c r="Z6" s="2581"/>
      <c r="AA6" s="2581"/>
      <c r="AB6" s="2581"/>
      <c r="AC6" s="2582"/>
      <c r="AD6" s="2580"/>
      <c r="AE6" s="2581"/>
      <c r="AF6" s="2581"/>
      <c r="AG6" s="2581"/>
      <c r="AH6" s="2581"/>
      <c r="AI6" s="2581"/>
      <c r="AJ6" s="2581"/>
      <c r="AK6" s="2581"/>
      <c r="AL6" s="2581"/>
      <c r="AM6" s="2581"/>
      <c r="AN6" s="2581"/>
      <c r="AO6" s="2581"/>
      <c r="AP6" s="2581"/>
      <c r="AQ6" s="2581"/>
      <c r="AR6" s="2581"/>
      <c r="AS6" s="2581"/>
      <c r="AT6" s="2581"/>
      <c r="AU6" s="2581"/>
      <c r="AV6" s="2581"/>
      <c r="AW6" s="2581"/>
      <c r="AX6" s="2581"/>
      <c r="AY6" s="2581"/>
      <c r="AZ6" s="2581"/>
      <c r="BA6" s="2581"/>
      <c r="BB6" s="2582"/>
      <c r="BC6" s="1669"/>
      <c r="BE6" s="784"/>
      <c r="BF6" s="784" t="str">
        <f>IF(T6="","",T6)</f>
        <v/>
      </c>
      <c r="BG6" s="784"/>
      <c r="BH6" s="784"/>
      <c r="BI6" s="795">
        <v>0</v>
      </c>
    </row>
    <row s="30621" customFormat="1" customHeight="1" ht="14.25" hidden="1">
      <c r="A7" s="1627"/>
      <c r="B7" s="1627"/>
      <c r="C7" s="1627"/>
      <c r="D7" s="1627"/>
      <c r="E7" s="2543"/>
      <c r="F7" s="2543"/>
      <c r="G7" s="2543"/>
      <c r="H7" s="2543"/>
      <c r="I7" s="2570"/>
      <c r="J7" s="2540" t="str">
        <f>S5&amp;".1"</f>
        <v>.1</v>
      </c>
      <c r="K7" s="1627"/>
      <c r="L7" s="1630"/>
      <c r="M7" s="794"/>
      <c r="N7" s="794"/>
      <c r="O7" s="794"/>
      <c r="P7" s="2541"/>
      <c r="Q7" s="2541">
        <v>1</v>
      </c>
      <c r="R7" s="641"/>
      <c r="S7" s="1326"/>
      <c r="T7" s="1683"/>
      <c r="U7" s="1668"/>
      <c r="V7" s="2581"/>
      <c r="W7" s="2581"/>
      <c r="X7" s="2581"/>
      <c r="Y7" s="2581"/>
      <c r="Z7" s="2581"/>
      <c r="AA7" s="2581"/>
      <c r="AB7" s="2581"/>
      <c r="AC7" s="2582"/>
      <c r="AD7" s="2580"/>
      <c r="AE7" s="2581"/>
      <c r="AF7" s="2581"/>
      <c r="AG7" s="2581"/>
      <c r="AH7" s="2581"/>
      <c r="AI7" s="2581"/>
      <c r="AJ7" s="2581"/>
      <c r="AK7" s="2581"/>
      <c r="AL7" s="2581"/>
      <c r="AM7" s="2581"/>
      <c r="AN7" s="2581"/>
      <c r="AO7" s="2581"/>
      <c r="AP7" s="2581"/>
      <c r="AQ7" s="2581"/>
      <c r="AR7" s="2581"/>
      <c r="AS7" s="2581"/>
      <c r="AT7" s="2581"/>
      <c r="AU7" s="2581"/>
      <c r="AV7" s="2581"/>
      <c r="AW7" s="2581"/>
      <c r="AX7" s="2581"/>
      <c r="AY7" s="2581"/>
      <c r="AZ7" s="2581"/>
      <c r="BA7" s="2581"/>
      <c r="BB7" s="2582"/>
      <c r="BC7" s="1669"/>
      <c r="BE7" s="784"/>
      <c r="BF7" s="784" t="str">
        <f>IF(T7="","",T7)</f>
        <v/>
      </c>
      <c r="BG7" s="784"/>
      <c r="BH7" s="784"/>
      <c r="BI7" s="795">
        <v>0</v>
      </c>
    </row>
    <row customHeight="1" ht="11.25" hidden="1">
      <c r="A8" s="1647"/>
      <c r="B8" s="1647"/>
      <c r="C8" s="1647"/>
      <c r="D8" s="1647"/>
      <c r="E8" s="2543"/>
      <c r="F8" s="2543"/>
      <c r="G8" s="2543"/>
      <c r="H8" s="2543"/>
      <c r="I8" s="2570"/>
      <c r="J8" s="2570"/>
      <c r="K8" s="2540">
        <f>S4&amp;".1"</f>
      </c>
      <c r="L8" s="1648"/>
      <c r="P8" s="2541"/>
      <c r="Q8" s="2541"/>
      <c r="R8" s="2631">
        <v>1</v>
      </c>
      <c r="S8" s="2625">
        <f>$K8</f>
      </c>
      <c r="T8" s="2644"/>
      <c r="U8" s="584"/>
      <c r="V8" s="1035"/>
      <c r="W8" s="1541"/>
      <c r="X8" s="1035"/>
      <c r="Y8" s="1541"/>
      <c r="Z8" s="2018"/>
      <c r="AA8" s="1753" t="s">
        <v>64</v>
      </c>
      <c r="AB8" s="2018"/>
      <c r="AC8" s="1753" t="s">
        <v>64</v>
      </c>
      <c r="AD8" s="2469" t="s">
        <v>64</v>
      </c>
      <c r="AE8" s="2610"/>
      <c r="AF8" s="2489">
        <v>1</v>
      </c>
      <c r="AG8" s="2647"/>
      <c r="AH8" s="2391" t="s">
        <v>64</v>
      </c>
      <c r="AI8" s="2610"/>
      <c r="AJ8" s="2489">
        <v>1</v>
      </c>
      <c r="AK8" s="2611" t="s">
        <v>28</v>
      </c>
      <c r="AL8" s="2391" t="s">
        <v>64</v>
      </c>
      <c r="AM8" s="2476"/>
      <c r="AN8" s="2489">
        <v>1</v>
      </c>
      <c r="AO8" s="2641"/>
      <c r="AP8" s="2642" t="s">
        <v>64</v>
      </c>
      <c r="AQ8" s="595"/>
      <c r="AR8" s="1770">
        <v>1</v>
      </c>
      <c r="AS8" s="1776" t="s">
        <v>28</v>
      </c>
      <c r="AT8" s="1035"/>
      <c r="AU8" s="1541"/>
      <c r="AV8" s="1035"/>
      <c r="AW8" s="1541"/>
      <c r="AX8" s="2018"/>
      <c r="AY8" s="1753" t="s">
        <v>64</v>
      </c>
      <c r="AZ8" s="2018"/>
      <c r="BA8" s="1753" t="s">
        <v>64</v>
      </c>
      <c r="BB8" s="1632"/>
      <c r="BC8" s="2537" t="s">
        <v>573</v>
      </c>
      <c r="BE8" s="784"/>
      <c r="BF8" s="784" t="str">
        <f>IF(T8="","",T8)</f>
        <v/>
      </c>
      <c r="BG8" s="784"/>
      <c r="BH8" s="784"/>
      <c r="BI8" s="1439">
        <v>0</v>
      </c>
    </row>
    <row customHeight="1" ht="11.25" hidden="1">
      <c r="A9" s="1647"/>
      <c r="B9" s="1647"/>
      <c r="C9" s="1647"/>
      <c r="D9" s="1647"/>
      <c r="E9" s="2543"/>
      <c r="F9" s="2543"/>
      <c r="G9" s="2543"/>
      <c r="H9" s="2543"/>
      <c r="I9" s="2570"/>
      <c r="J9" s="2570"/>
      <c r="K9" s="2540"/>
      <c r="L9" s="1648"/>
      <c r="P9" s="2541"/>
      <c r="Q9" s="2541"/>
      <c r="R9" s="2631"/>
      <c r="S9" s="2626"/>
      <c r="T9" s="2645"/>
      <c r="U9" s="584"/>
      <c r="V9" s="1677"/>
      <c r="W9" s="1780"/>
      <c r="X9" s="1677"/>
      <c r="Y9" s="1780"/>
      <c r="Z9" s="1677"/>
      <c r="AA9" s="1677"/>
      <c r="AB9" s="1677"/>
      <c r="AC9" s="1677"/>
      <c r="AD9" s="2470"/>
      <c r="AE9" s="2610"/>
      <c r="AF9" s="2489"/>
      <c r="AG9" s="2647"/>
      <c r="AH9" s="2391"/>
      <c r="AI9" s="2610"/>
      <c r="AJ9" s="2489"/>
      <c r="AK9" s="2611"/>
      <c r="AL9" s="2391"/>
      <c r="AM9" s="2484"/>
      <c r="AN9" s="2489"/>
      <c r="AO9" s="2641"/>
      <c r="AP9" s="2643"/>
      <c r="AQ9" s="600"/>
      <c r="AR9" s="700"/>
      <c r="AS9" s="700" t="s">
        <v>574</v>
      </c>
      <c r="AT9" s="1677"/>
      <c r="AU9" s="1780"/>
      <c r="AV9" s="1677"/>
      <c r="AW9" s="1780"/>
      <c r="AX9" s="1677"/>
      <c r="AY9" s="1677"/>
      <c r="AZ9" s="1677"/>
      <c r="BA9" s="1677"/>
      <c r="BB9" s="1681"/>
      <c r="BC9" s="2538"/>
      <c r="BE9" s="784"/>
      <c r="BF9" s="784"/>
      <c r="BG9" s="784"/>
      <c r="BH9" s="784"/>
      <c r="BI9" s="1439">
        <v>0</v>
      </c>
    </row>
    <row customHeight="1" ht="11.25" hidden="1">
      <c r="A10" s="1647"/>
      <c r="B10" s="1647"/>
      <c r="C10" s="1647"/>
      <c r="D10" s="1647"/>
      <c r="E10" s="2543"/>
      <c r="F10" s="2543"/>
      <c r="G10" s="2543"/>
      <c r="H10" s="2543"/>
      <c r="I10" s="2570"/>
      <c r="J10" s="2570"/>
      <c r="K10" s="2540"/>
      <c r="L10" s="1648"/>
      <c r="P10" s="2541"/>
      <c r="Q10" s="2541"/>
      <c r="R10" s="2631"/>
      <c r="S10" s="2626"/>
      <c r="T10" s="2645"/>
      <c r="U10" s="584"/>
      <c r="V10" s="1677"/>
      <c r="W10" s="1780"/>
      <c r="X10" s="1677"/>
      <c r="Y10" s="1780"/>
      <c r="Z10" s="1677"/>
      <c r="AA10" s="1677"/>
      <c r="AB10" s="1677"/>
      <c r="AC10" s="1677"/>
      <c r="AD10" s="2470"/>
      <c r="AE10" s="2610"/>
      <c r="AF10" s="2489"/>
      <c r="AG10" s="2647"/>
      <c r="AH10" s="2391"/>
      <c r="AI10" s="2610"/>
      <c r="AJ10" s="2489"/>
      <c r="AK10" s="2611"/>
      <c r="AL10" s="2391"/>
      <c r="AM10" s="600"/>
      <c r="AN10" s="1784"/>
      <c r="AO10" s="1784" t="s">
        <v>575</v>
      </c>
      <c r="AP10" s="700"/>
      <c r="AQ10" s="700"/>
      <c r="AR10" s="700"/>
      <c r="AS10" s="1677"/>
      <c r="AT10" s="1677"/>
      <c r="AU10" s="1780"/>
      <c r="AV10" s="1677"/>
      <c r="AW10" s="1780"/>
      <c r="AX10" s="1677"/>
      <c r="AY10" s="1677"/>
      <c r="AZ10" s="1677"/>
      <c r="BA10" s="1677"/>
      <c r="BB10" s="1681"/>
      <c r="BC10" s="2538"/>
      <c r="BE10" s="784"/>
      <c r="BF10" s="784"/>
      <c r="BG10" s="784"/>
      <c r="BH10" s="784"/>
      <c r="BI10" s="1439">
        <v>0</v>
      </c>
    </row>
    <row customHeight="1" ht="11.25" hidden="1">
      <c r="A11" s="1647"/>
      <c r="B11" s="1647"/>
      <c r="C11" s="1647"/>
      <c r="D11" s="1647"/>
      <c r="E11" s="2543"/>
      <c r="F11" s="2543"/>
      <c r="G11" s="2543"/>
      <c r="H11" s="2543"/>
      <c r="I11" s="2570"/>
      <c r="J11" s="2570"/>
      <c r="K11" s="2540"/>
      <c r="L11" s="1648"/>
      <c r="P11" s="2541"/>
      <c r="Q11" s="2541"/>
      <c r="R11" s="2631"/>
      <c r="S11" s="2626"/>
      <c r="T11" s="2645"/>
      <c r="U11" s="584"/>
      <c r="V11" s="1677"/>
      <c r="W11" s="1780"/>
      <c r="X11" s="1677"/>
      <c r="Y11" s="1780"/>
      <c r="Z11" s="1677"/>
      <c r="AA11" s="1677"/>
      <c r="AB11" s="1677"/>
      <c r="AC11" s="1677"/>
      <c r="AD11" s="2470"/>
      <c r="AE11" s="2610"/>
      <c r="AF11" s="2489"/>
      <c r="AG11" s="2647"/>
      <c r="AH11" s="2391"/>
      <c r="AI11" s="578"/>
      <c r="AJ11" s="699"/>
      <c r="AK11" s="597" t="s">
        <v>576</v>
      </c>
      <c r="AL11" s="1677"/>
      <c r="AM11" s="1677"/>
      <c r="AN11" s="1677"/>
      <c r="AO11" s="1677"/>
      <c r="AP11" s="1677"/>
      <c r="AQ11" s="1677"/>
      <c r="AR11" s="1677"/>
      <c r="AS11" s="1677"/>
      <c r="AT11" s="1677"/>
      <c r="AU11" s="1780"/>
      <c r="AV11" s="1677"/>
      <c r="AW11" s="1780"/>
      <c r="AX11" s="1677"/>
      <c r="AY11" s="1677"/>
      <c r="AZ11" s="1677"/>
      <c r="BA11" s="1677"/>
      <c r="BB11" s="1681"/>
      <c r="BC11" s="2538"/>
      <c r="BE11" s="784"/>
      <c r="BF11" s="784"/>
      <c r="BG11" s="784"/>
      <c r="BH11" s="784"/>
      <c r="BI11" s="1439">
        <v>0</v>
      </c>
    </row>
    <row customHeight="1" ht="11.25" hidden="1">
      <c r="A12" s="1647"/>
      <c r="B12" s="1647"/>
      <c r="C12" s="1647"/>
      <c r="D12" s="1647"/>
      <c r="E12" s="2543"/>
      <c r="F12" s="2543"/>
      <c r="G12" s="2543"/>
      <c r="H12" s="2543"/>
      <c r="I12" s="2570"/>
      <c r="J12" s="2570"/>
      <c r="K12" s="2540"/>
      <c r="L12" s="1648"/>
      <c r="P12" s="2541"/>
      <c r="Q12" s="2541"/>
      <c r="R12" s="2631"/>
      <c r="S12" s="2627"/>
      <c r="T12" s="2646"/>
      <c r="U12" s="584"/>
      <c r="V12" s="1677"/>
      <c r="W12" s="1678" t="str">
        <f>Z8&amp;"-"&amp;AB8</f>
        <v>-</v>
      </c>
      <c r="X12" s="1677"/>
      <c r="Y12" s="1678" t="str">
        <f>AB8&amp;"-"&amp;AD8</f>
        <v>-да</v>
      </c>
      <c r="Z12" s="1677"/>
      <c r="AA12" s="1677"/>
      <c r="AB12" s="1677"/>
      <c r="AC12" s="1677"/>
      <c r="AD12" s="2396"/>
      <c r="AE12" s="596"/>
      <c r="AF12" s="598"/>
      <c r="AG12" s="700" t="s">
        <v>577</v>
      </c>
      <c r="AH12" s="1677"/>
      <c r="AI12" s="1677"/>
      <c r="AJ12" s="1677"/>
      <c r="AK12" s="1677"/>
      <c r="AL12" s="1677"/>
      <c r="AM12" s="1677"/>
      <c r="AN12" s="1677"/>
      <c r="AO12" s="1677"/>
      <c r="AP12" s="1677"/>
      <c r="AQ12" s="1677"/>
      <c r="AR12" s="1677"/>
      <c r="AS12" s="1677"/>
      <c r="AT12" s="1677"/>
      <c r="AU12" s="1678" t="str">
        <f>AX8&amp;"-"&amp;AZ8</f>
        <v>-</v>
      </c>
      <c r="AV12" s="1677"/>
      <c r="AW12" s="1678" t="str">
        <f>AZ8&amp;"-"&amp;BB8</f>
        <v>-</v>
      </c>
      <c r="AX12" s="1677"/>
      <c r="AY12" s="1677"/>
      <c r="AZ12" s="1677"/>
      <c r="BA12" s="1677"/>
      <c r="BB12" s="1680" t="str">
        <f>BE8&amp;"-"&amp;BG8</f>
        <v>-</v>
      </c>
      <c r="BC12" s="2538"/>
      <c r="BE12" s="784"/>
      <c r="BF12" s="784" t="str">
        <f>IF(T12="","",T12)</f>
        <v/>
      </c>
      <c r="BG12" s="784"/>
      <c r="BH12" s="784"/>
      <c r="BI12" s="1439">
        <v>0</v>
      </c>
    </row>
    <row customHeight="1" ht="11.25" hidden="1">
      <c r="A13" s="1647"/>
      <c r="B13" s="1647"/>
      <c r="C13" s="1647"/>
      <c r="D13" s="1647"/>
      <c r="E13" s="2543"/>
      <c r="F13" s="2543"/>
      <c r="G13" s="2543"/>
      <c r="H13" s="2543"/>
      <c r="I13" s="2570"/>
      <c r="J13" s="2540"/>
      <c r="K13" s="1647"/>
      <c r="L13" s="1648"/>
      <c r="P13" s="2541"/>
      <c r="Q13" s="2541"/>
      <c r="R13" s="640"/>
      <c r="S13" s="1562"/>
      <c r="T13" s="571" t="s">
        <v>540</v>
      </c>
      <c r="U13" s="651"/>
      <c r="V13" s="651"/>
      <c r="W13" s="651"/>
      <c r="X13" s="651"/>
      <c r="Y13" s="651"/>
      <c r="Z13" s="651"/>
      <c r="AA13" s="651"/>
      <c r="AB13" s="651"/>
      <c r="AC13" s="651"/>
      <c r="AD13" s="1789"/>
      <c r="AE13" s="651"/>
      <c r="AF13" s="651"/>
      <c r="AG13" s="651"/>
      <c r="AH13" s="651"/>
      <c r="AI13" s="651"/>
      <c r="AJ13" s="651"/>
      <c r="AK13" s="651"/>
      <c r="AL13" s="651"/>
      <c r="AM13" s="651"/>
      <c r="AN13" s="651"/>
      <c r="AO13" s="651"/>
      <c r="AP13" s="651"/>
      <c r="AQ13" s="651"/>
      <c r="AR13" s="651"/>
      <c r="AS13" s="651"/>
      <c r="AT13" s="651"/>
      <c r="AU13" s="651"/>
      <c r="AV13" s="651"/>
      <c r="AW13" s="651"/>
      <c r="AX13" s="651"/>
      <c r="AY13" s="651"/>
      <c r="AZ13" s="651"/>
      <c r="BA13" s="651"/>
      <c r="BB13" s="608"/>
      <c r="BC13" s="2539"/>
      <c r="BE13" s="784"/>
      <c r="BF13" s="784" t="str">
        <f>IF(T13="","",T13)</f>
        <v>Добавить строку</v>
      </c>
      <c r="BG13" s="784"/>
      <c r="BH13" s="784"/>
      <c r="BI13" s="1439">
        <v>0</v>
      </c>
    </row>
    <row s="30621" customFormat="1" customHeight="1" ht="14.25" hidden="1">
      <c r="A14" s="1627"/>
      <c r="B14" s="1627"/>
      <c r="C14" s="1627"/>
      <c r="D14" s="1627"/>
      <c r="E14" s="2543"/>
      <c r="F14" s="2543"/>
      <c r="G14" s="2543"/>
      <c r="H14" s="2543"/>
      <c r="I14" s="2540"/>
      <c r="J14" s="1627"/>
      <c r="K14" s="1627"/>
      <c r="L14" s="1630"/>
      <c r="M14" s="794"/>
      <c r="N14" s="794"/>
      <c r="O14" s="794"/>
      <c r="P14" s="2541"/>
      <c r="Q14" s="1765"/>
      <c r="R14" s="640"/>
      <c r="S14" s="1670"/>
      <c r="T14" s="1671"/>
      <c r="U14" s="1672"/>
      <c r="V14" s="1672"/>
      <c r="W14" s="1672"/>
      <c r="X14" s="1672"/>
      <c r="Y14" s="1672"/>
      <c r="Z14" s="1672"/>
      <c r="AA14" s="1672"/>
      <c r="AB14" s="1672"/>
      <c r="AC14" s="1672"/>
      <c r="AD14" s="1672"/>
      <c r="AE14" s="1672"/>
      <c r="AF14" s="1672"/>
      <c r="AG14" s="1672"/>
      <c r="AH14" s="1672"/>
      <c r="AI14" s="1672"/>
      <c r="AJ14" s="1672"/>
      <c r="AK14" s="1672"/>
      <c r="AL14" s="1672"/>
      <c r="AM14" s="1672"/>
      <c r="AN14" s="1672"/>
      <c r="AO14" s="1672"/>
      <c r="AP14" s="1672"/>
      <c r="AQ14" s="1672"/>
      <c r="AR14" s="1672"/>
      <c r="AS14" s="1672"/>
      <c r="AT14" s="1672"/>
      <c r="AU14" s="1672"/>
      <c r="AV14" s="1672"/>
      <c r="AW14" s="1672"/>
      <c r="AX14" s="1672"/>
      <c r="AY14" s="1672"/>
      <c r="AZ14" s="1672"/>
      <c r="BA14" s="1672"/>
      <c r="BB14" s="1672"/>
      <c r="BC14" s="1673"/>
      <c r="BE14" s="784"/>
      <c r="BF14" s="784" t="str">
        <f>IF(T14="","",T14)</f>
        <v/>
      </c>
      <c r="BG14" s="784"/>
      <c r="BH14" s="784"/>
      <c r="BI14" s="795">
        <v>0</v>
      </c>
    </row>
    <row s="30621" customFormat="1" customHeight="1" ht="14.25" hidden="1">
      <c r="A15" s="1627"/>
      <c r="B15" s="1627"/>
      <c r="C15" s="1627"/>
      <c r="D15" s="1627"/>
      <c r="E15" s="2543"/>
      <c r="F15" s="2543"/>
      <c r="G15" s="2543"/>
      <c r="H15" s="2542"/>
      <c r="I15" s="1627"/>
      <c r="J15" s="1627"/>
      <c r="K15" s="1627"/>
      <c r="L15" s="1630"/>
      <c r="M15" s="1599"/>
      <c r="N15" s="1599"/>
      <c r="O15" s="802"/>
      <c r="P15" s="664"/>
      <c r="Q15" s="1628"/>
      <c r="R15" s="1685"/>
      <c r="S15" s="1670"/>
      <c r="T15" s="1671"/>
      <c r="U15" s="1672"/>
      <c r="V15" s="1672"/>
      <c r="W15" s="1672"/>
      <c r="X15" s="1672"/>
      <c r="Y15" s="1672"/>
      <c r="Z15" s="1672"/>
      <c r="AA15" s="1672"/>
      <c r="AB15" s="1672"/>
      <c r="AC15" s="1672"/>
      <c r="AD15" s="1672"/>
      <c r="AE15" s="1672"/>
      <c r="AF15" s="1672"/>
      <c r="AG15" s="1672"/>
      <c r="AH15" s="1672"/>
      <c r="AI15" s="1672"/>
      <c r="AJ15" s="1672"/>
      <c r="AK15" s="1672"/>
      <c r="AL15" s="1672"/>
      <c r="AM15" s="1672"/>
      <c r="AN15" s="1672"/>
      <c r="AO15" s="1672"/>
      <c r="AP15" s="1672"/>
      <c r="AQ15" s="1672"/>
      <c r="AR15" s="1672"/>
      <c r="AS15" s="1672"/>
      <c r="AT15" s="1672"/>
      <c r="AU15" s="1672"/>
      <c r="AV15" s="1672"/>
      <c r="AW15" s="1672"/>
      <c r="AX15" s="1672"/>
      <c r="AY15" s="1672"/>
      <c r="AZ15" s="1672"/>
      <c r="BA15" s="1672"/>
      <c r="BB15" s="1672"/>
      <c r="BC15" s="1673"/>
      <c r="BE15" s="784"/>
      <c r="BF15" s="784" t="str">
        <f>IF(T15="","",T15)</f>
        <v/>
      </c>
      <c r="BG15" s="784"/>
      <c r="BH15" s="784"/>
      <c r="BI15" s="795">
        <v>0</v>
      </c>
    </row>
    <row s="30621" customFormat="1" customHeight="1" ht="14.25" hidden="1">
      <c r="A16" s="1627"/>
      <c r="B16" s="1627"/>
      <c r="C16" s="1627"/>
      <c r="D16" s="1598"/>
      <c r="E16" s="2543"/>
      <c r="F16" s="2543"/>
      <c r="G16" s="2542"/>
      <c r="H16" s="1598"/>
      <c r="I16" s="1598"/>
      <c r="J16" s="1598"/>
      <c r="K16" s="1598"/>
      <c r="L16" s="1778"/>
      <c r="M16" s="1599"/>
      <c r="N16" s="1599"/>
      <c r="P16" s="1600"/>
      <c r="Q16" s="1601"/>
      <c r="R16" s="1600"/>
      <c r="S16" s="1606"/>
      <c r="T16" s="1609"/>
      <c r="U16" s="1608"/>
      <c r="V16" s="1608"/>
      <c r="W16" s="1608"/>
      <c r="X16" s="1608"/>
      <c r="Y16" s="1608"/>
      <c r="Z16" s="1608"/>
      <c r="AA16" s="1608"/>
      <c r="AB16" s="1608"/>
      <c r="AC16" s="1608"/>
      <c r="AD16" s="1608"/>
      <c r="AE16" s="1608"/>
      <c r="AF16" s="1608"/>
      <c r="AG16" s="1608"/>
      <c r="AH16" s="1608"/>
      <c r="AI16" s="1608"/>
      <c r="AJ16" s="1608"/>
      <c r="AK16" s="1608"/>
      <c r="AL16" s="1608"/>
      <c r="AM16" s="1608"/>
      <c r="AN16" s="1608"/>
      <c r="AO16" s="1608"/>
      <c r="AP16" s="1608"/>
      <c r="AQ16" s="1608"/>
      <c r="AR16" s="1608"/>
      <c r="AS16" s="1608"/>
      <c r="AT16" s="1608"/>
      <c r="AU16" s="1608"/>
      <c r="AV16" s="1608"/>
      <c r="AW16" s="1608"/>
      <c r="AX16" s="1608"/>
      <c r="AY16" s="1608"/>
      <c r="AZ16" s="1608"/>
      <c r="BA16" s="1608"/>
      <c r="BB16" s="1608"/>
      <c r="BC16" s="1608"/>
      <c r="BE16" s="1073"/>
      <c r="BF16" s="1073" t="str">
        <f>IF(T16="","",T16)</f>
        <v/>
      </c>
      <c r="BG16" s="1073"/>
      <c r="BH16" s="1073"/>
      <c r="BI16" s="802">
        <v>0</v>
      </c>
    </row>
    <row s="30621" customFormat="1" customHeight="1" ht="14.25" hidden="1">
      <c r="A17" s="1627"/>
      <c r="B17" s="1627"/>
      <c r="C17" s="1598"/>
      <c r="D17" s="1598"/>
      <c r="E17" s="2543"/>
      <c r="F17" s="2542"/>
      <c r="G17" s="1598"/>
      <c r="H17" s="1598"/>
      <c r="I17" s="1598"/>
      <c r="J17" s="1598"/>
      <c r="K17" s="1598"/>
      <c r="L17" s="1778"/>
      <c r="M17" s="1605"/>
      <c r="N17" s="1605"/>
      <c r="P17" s="1600"/>
      <c r="Q17" s="1601"/>
      <c r="R17" s="1600"/>
      <c r="S17" s="1606"/>
      <c r="T17" s="1609" t="s">
        <v>214</v>
      </c>
      <c r="U17" s="1608"/>
      <c r="V17" s="1608"/>
      <c r="W17" s="1608"/>
      <c r="X17" s="1608"/>
      <c r="Y17" s="1608"/>
      <c r="Z17" s="1608"/>
      <c r="AA17" s="1608"/>
      <c r="AB17" s="1608"/>
      <c r="AC17" s="1608"/>
      <c r="AD17" s="1608"/>
      <c r="AE17" s="1608"/>
      <c r="AF17" s="1608"/>
      <c r="AG17" s="1608"/>
      <c r="AH17" s="1608"/>
      <c r="AI17" s="1608"/>
      <c r="AJ17" s="1608"/>
      <c r="AK17" s="1608"/>
      <c r="AL17" s="1608"/>
      <c r="AM17" s="1608"/>
      <c r="AN17" s="1608"/>
      <c r="AO17" s="1608"/>
      <c r="AP17" s="1608"/>
      <c r="AQ17" s="1608"/>
      <c r="AR17" s="1608"/>
      <c r="AS17" s="1608"/>
      <c r="AT17" s="1608"/>
      <c r="AU17" s="1608"/>
      <c r="AV17" s="1608"/>
      <c r="AW17" s="1608"/>
      <c r="AX17" s="1608"/>
      <c r="AY17" s="1608"/>
      <c r="AZ17" s="1608"/>
      <c r="BA17" s="1608"/>
      <c r="BB17" s="1608"/>
      <c r="BC17" s="1608"/>
      <c r="BE17" s="1073"/>
      <c r="BF17" s="1073" t="str">
        <f>IF(T17="","",T17)</f>
        <v>Добавить централизованную систему для дифференциации</v>
      </c>
      <c r="BG17" s="1073"/>
      <c r="BH17" s="1073"/>
      <c r="BI17" s="802">
        <v>0</v>
      </c>
    </row>
    <row s="30621" customFormat="1" customHeight="1" ht="14.25" hidden="1">
      <c r="A18" s="1627"/>
      <c r="B18" s="1627"/>
      <c r="C18" s="1627"/>
      <c r="D18" s="1627"/>
      <c r="E18" s="2542"/>
      <c r="F18" s="1627"/>
      <c r="G18" s="1627"/>
      <c r="H18" s="1627"/>
      <c r="I18" s="1627"/>
      <c r="J18" s="1627"/>
      <c r="K18" s="1627"/>
      <c r="L18" s="1630"/>
      <c r="M18" s="1605"/>
      <c r="N18" s="1605"/>
      <c r="O18" s="802"/>
      <c r="P18" s="664"/>
      <c r="Q18" s="1628"/>
      <c r="R18" s="664"/>
      <c r="S18" s="1606"/>
      <c r="T18" s="1609" t="s">
        <v>230</v>
      </c>
      <c r="U18" s="1608"/>
      <c r="V18" s="1608"/>
      <c r="W18" s="1608"/>
      <c r="X18" s="1608"/>
      <c r="Y18" s="1608"/>
      <c r="Z18" s="1608"/>
      <c r="AA18" s="1608"/>
      <c r="AB18" s="1608"/>
      <c r="AC18" s="1608"/>
      <c r="AD18" s="1608"/>
      <c r="AE18" s="1608"/>
      <c r="AF18" s="1608"/>
      <c r="AG18" s="1608"/>
      <c r="AH18" s="1608"/>
      <c r="AI18" s="1608"/>
      <c r="AJ18" s="1608"/>
      <c r="AK18" s="1608"/>
      <c r="AL18" s="1608"/>
      <c r="AM18" s="1608"/>
      <c r="AN18" s="1608"/>
      <c r="AO18" s="1608"/>
      <c r="AP18" s="1608"/>
      <c r="AQ18" s="1608"/>
      <c r="AR18" s="1608"/>
      <c r="AS18" s="1608"/>
      <c r="AT18" s="1608"/>
      <c r="AU18" s="1608"/>
      <c r="AV18" s="1608"/>
      <c r="AW18" s="1608"/>
      <c r="AX18" s="1608"/>
      <c r="AY18" s="1608"/>
      <c r="AZ18" s="1608"/>
      <c r="BA18" s="1608"/>
      <c r="BB18" s="1608"/>
      <c r="BC18" s="1608"/>
      <c r="BE18" s="784"/>
      <c r="BF18" s="784" t="str">
        <f>IF(T18="","",T18)</f>
        <v>Добавить территорию для дифференциации</v>
      </c>
      <c r="BG18" s="784"/>
      <c r="BH18" s="784"/>
      <c r="BI18" s="795">
        <v>0</v>
      </c>
    </row>
    <row customHeight="1" ht="14.25" hidden="1">
      <c r="AC19" s="611"/>
      <c r="BA19" s="611"/>
      <c r="BI19" s="1439">
        <v>0</v>
      </c>
    </row>
    <row customHeight="1" ht="14.25" hidden="1">
      <c r="AD20" s="1608" t="s">
        <v>19</v>
      </c>
      <c r="AE20" s="1785"/>
      <c r="AF20" s="832">
        <v>1</v>
      </c>
      <c r="AG20" s="1786"/>
      <c r="AH20" s="1608" t="s">
        <v>19</v>
      </c>
      <c r="AI20" s="1785"/>
      <c r="AJ20" s="832">
        <v>1</v>
      </c>
      <c r="AK20" s="1786"/>
      <c r="AL20" s="1608" t="s">
        <v>19</v>
      </c>
      <c r="AM20" s="1787"/>
      <c r="AN20" s="832">
        <v>1</v>
      </c>
      <c r="AO20" s="1788"/>
      <c r="AP20" s="1608" t="s">
        <v>19</v>
      </c>
      <c r="AQ20" s="1787"/>
      <c r="AR20" s="832">
        <v>1</v>
      </c>
      <c r="AS20" s="1788"/>
      <c r="AT20" s="609"/>
      <c r="AU20" s="668"/>
      <c r="AV20" s="609"/>
      <c r="AW20" s="668"/>
      <c r="AX20" s="2020"/>
      <c r="AY20" s="1769" t="s">
        <v>64</v>
      </c>
      <c r="AZ20" s="2020"/>
      <c r="BA20" s="1769" t="s">
        <v>64</v>
      </c>
      <c r="BI20" s="1439">
        <v>0</v>
      </c>
    </row>
    <row customHeight="1" ht="14.25" hidden="1">
      <c r="BD21" s="780"/>
      <c r="BE21" s="780"/>
      <c r="BF21" s="780"/>
      <c r="BG21" s="780"/>
      <c r="BH21" s="780"/>
      <c r="BI21" s="1439">
        <v>0</v>
      </c>
    </row>
    <row customHeight="1" ht="14.25" hidden="1">
      <c r="O22" s="1651" t="s">
        <v>474</v>
      </c>
      <c r="Z22" s="1629"/>
      <c r="AB22" s="1629"/>
      <c r="AC22" s="611"/>
      <c r="AX22" s="1629"/>
      <c r="AZ22" s="1629"/>
      <c r="BA22" s="611"/>
      <c r="BD22" s="780"/>
      <c r="BE22" s="780"/>
      <c r="BF22" s="780"/>
      <c r="BG22" s="780"/>
      <c r="BH22" s="780"/>
      <c r="BI22" s="1439">
        <v>0</v>
      </c>
    </row>
    <row customHeight="1" ht="14.25" hidden="1">
      <c r="AC23" s="611"/>
      <c r="BA23" s="611"/>
      <c r="BD23" s="780"/>
      <c r="BE23" s="780"/>
      <c r="BF23" s="780"/>
      <c r="BG23" s="780"/>
      <c r="BH23" s="780"/>
      <c r="BI23" s="1439">
        <v>0</v>
      </c>
    </row>
    <row s="37270" customFormat="1" customHeight="1" ht="14.25" hidden="1">
      <c r="M24" s="1792"/>
      <c r="N24" s="1792"/>
      <c r="O24" s="1793" t="s">
        <v>475</v>
      </c>
      <c r="P24" s="1792"/>
      <c r="Q24" s="1794"/>
      <c r="R24" s="1794"/>
      <c r="AA24" s="1791" t="s">
        <v>477</v>
      </c>
      <c r="AC24" s="1791" t="s">
        <v>478</v>
      </c>
      <c r="AD24" s="1791" t="s">
        <v>541</v>
      </c>
      <c r="AH24" s="1791" t="s">
        <v>541</v>
      </c>
      <c r="AK24" s="1791" t="s">
        <v>578</v>
      </c>
      <c r="AL24" s="1791" t="s">
        <v>541</v>
      </c>
      <c r="AP24" s="1791" t="s">
        <v>541</v>
      </c>
      <c r="AY24" s="1791" t="s">
        <v>477</v>
      </c>
      <c r="BA24" s="1791" t="s">
        <v>478</v>
      </c>
      <c r="BD24" s="1795"/>
      <c r="BE24" s="1795"/>
      <c r="BF24" s="1795"/>
      <c r="BG24" s="1795"/>
      <c r="BH24" s="1795"/>
      <c r="BI24" s="1791">
        <v>0</v>
      </c>
    </row>
    <row customHeight="1" ht="14.25" hidden="1">
      <c r="O25" s="1648"/>
      <c r="BD25" s="780"/>
      <c r="BE25" s="780"/>
      <c r="BF25" s="780"/>
      <c r="BG25" s="780"/>
      <c r="BH25" s="780"/>
      <c r="BI25" s="1439">
        <v>0</v>
      </c>
    </row>
    <row customHeight="1" ht="14.25" hidden="1">
      <c r="O26" s="1648"/>
      <c r="BD26" s="780"/>
      <c r="BE26" s="780"/>
      <c r="BF26" s="780"/>
      <c r="BG26" s="780"/>
      <c r="BH26" s="780"/>
      <c r="BI26" s="1439">
        <v>0</v>
      </c>
    </row>
    <row customHeight="1" ht="14.699999999999998">
      <c r="Q27" s="575"/>
      <c r="R27" s="660"/>
      <c r="S27" s="1559"/>
      <c r="T27" s="647"/>
      <c r="U27" s="647"/>
      <c r="V27" s="793"/>
      <c r="W27" s="793"/>
      <c r="X27" s="793"/>
      <c r="Y27" s="793"/>
      <c r="Z27" s="793"/>
      <c r="AA27" s="793"/>
      <c r="AB27" s="793"/>
      <c r="AC27" s="793"/>
      <c r="AD27" s="793"/>
      <c r="AE27" s="793"/>
      <c r="AF27" s="793"/>
      <c r="AG27" s="793"/>
      <c r="AH27" s="793"/>
      <c r="AI27" s="793"/>
      <c r="AJ27" s="793"/>
      <c r="AK27" s="793"/>
      <c r="AL27" s="793"/>
      <c r="AM27" s="793"/>
      <c r="AN27" s="793"/>
      <c r="AO27" s="793"/>
      <c r="AP27" s="793"/>
      <c r="AQ27" s="793"/>
      <c r="AR27" s="793"/>
      <c r="AS27" s="793"/>
      <c r="AT27" s="793"/>
      <c r="AU27" s="793"/>
      <c r="AV27" s="793"/>
      <c r="AW27" s="793"/>
      <c r="AX27" s="793"/>
      <c r="AY27" s="793"/>
      <c r="AZ27" s="793"/>
      <c r="BA27" s="793"/>
      <c r="BI27" s="1439">
        <v>14</v>
      </c>
    </row>
    <row customHeight="1" ht="14.699999999999998">
      <c r="Q28" s="575"/>
      <c r="R28" s="660"/>
      <c r="S28" s="2532"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532"/>
      <c r="U28" s="2532"/>
      <c r="V28" s="2532"/>
      <c r="W28" s="2532"/>
      <c r="X28" s="2532"/>
      <c r="Y28" s="2532"/>
      <c r="Z28" s="2532"/>
      <c r="AA28" s="2532"/>
      <c r="AB28" s="2532"/>
      <c r="AC28" s="2532"/>
      <c r="AD28" s="2532"/>
      <c r="AE28" s="2532"/>
      <c r="AF28" s="2532"/>
      <c r="AG28" s="2532"/>
      <c r="AH28" s="2532"/>
      <c r="AI28" s="2532"/>
      <c r="AJ28" s="2532"/>
      <c r="AK28" s="2532"/>
      <c r="AL28" s="2532"/>
      <c r="AM28" s="2532"/>
      <c r="AN28" s="2532"/>
      <c r="AO28" s="2532"/>
      <c r="AP28" s="2532"/>
      <c r="AQ28" s="2532"/>
      <c r="AR28" s="2532"/>
      <c r="AS28" s="2532"/>
      <c r="AT28" s="2532"/>
      <c r="AU28" s="2532"/>
      <c r="AV28" s="2532"/>
      <c r="AW28" s="2532"/>
      <c r="AX28" s="2532"/>
      <c r="AY28" s="2532"/>
      <c r="AZ28" s="2532"/>
      <c r="BA28" s="1527"/>
      <c r="BI28" s="1439">
        <v>14</v>
      </c>
    </row>
    <row customHeight="1" ht="14.699999999999998">
      <c r="Q29" s="575"/>
      <c r="R29" s="660"/>
      <c r="S29" s="2533" t="str">
        <f>IF(org=0,"Не определено",org)</f>
        <v>АО "ДГК"</v>
      </c>
      <c r="T29" s="2533"/>
      <c r="U29" s="2533"/>
      <c r="V29" s="2533"/>
      <c r="W29" s="2533"/>
      <c r="X29" s="2533"/>
      <c r="Y29" s="2533"/>
      <c r="Z29" s="2533"/>
      <c r="AA29" s="2533"/>
      <c r="AB29" s="2533"/>
      <c r="AC29" s="2533"/>
      <c r="AD29" s="2533"/>
      <c r="AE29" s="2533"/>
      <c r="AF29" s="2533"/>
      <c r="AG29" s="2533"/>
      <c r="AH29" s="2533"/>
      <c r="AI29" s="2533"/>
      <c r="AJ29" s="2533"/>
      <c r="AK29" s="2533"/>
      <c r="AL29" s="2533"/>
      <c r="AM29" s="2533"/>
      <c r="AN29" s="2533"/>
      <c r="AO29" s="2533"/>
      <c r="AP29" s="2533"/>
      <c r="AQ29" s="2533"/>
      <c r="AR29" s="2533"/>
      <c r="AS29" s="2533"/>
      <c r="AT29" s="2533"/>
      <c r="AU29" s="2533"/>
      <c r="AV29" s="2533"/>
      <c r="AW29" s="2533"/>
      <c r="AX29" s="2533"/>
      <c r="AY29" s="2533"/>
      <c r="AZ29" s="2533"/>
      <c r="BA29" s="1527"/>
      <c r="BI29" s="1439">
        <v>14</v>
      </c>
    </row>
    <row customHeight="1" ht="14.25">
      <c r="Q30" s="575"/>
      <c r="R30" s="660"/>
      <c r="S30" s="1559"/>
      <c r="T30" s="647"/>
      <c r="U30" s="647"/>
      <c r="V30" s="606"/>
      <c r="W30" s="606"/>
      <c r="X30" s="606"/>
      <c r="Y30" s="606"/>
      <c r="Z30" s="606"/>
      <c r="AA30" s="606"/>
      <c r="AB30" s="606"/>
      <c r="AC30" s="606"/>
      <c r="AD30" s="606"/>
      <c r="AE30" s="606"/>
      <c r="AF30" s="606"/>
      <c r="AG30" s="606"/>
      <c r="AH30" s="606"/>
      <c r="AI30" s="606"/>
      <c r="AJ30" s="606"/>
      <c r="AK30" s="606"/>
      <c r="AL30" s="606"/>
      <c r="AM30" s="606"/>
      <c r="AN30" s="606"/>
      <c r="AO30" s="606"/>
      <c r="AP30" s="606"/>
      <c r="AQ30" s="606"/>
      <c r="AR30" s="606"/>
      <c r="AS30" s="606"/>
      <c r="AT30" s="606"/>
      <c r="AU30" s="606"/>
      <c r="AV30" s="606"/>
      <c r="AW30" s="606"/>
      <c r="AX30" s="606"/>
      <c r="AY30" s="606"/>
      <c r="AZ30" s="606"/>
      <c r="BA30" s="606"/>
      <c r="BB30" s="793"/>
      <c r="BI30" s="1439">
        <v>0</v>
      </c>
    </row>
    <row s="30764" customFormat="1" customHeight="1" ht="25.5">
      <c r="A31" s="1652"/>
      <c r="B31" s="1652"/>
      <c r="C31" s="1652"/>
      <c r="D31" s="1652"/>
      <c r="E31" s="1652"/>
      <c r="F31" s="1652"/>
      <c r="G31" s="1652"/>
      <c r="H31" s="1652"/>
      <c r="I31" s="1652"/>
      <c r="J31" s="1652"/>
      <c r="K31" s="1652"/>
      <c r="L31" s="1653"/>
      <c r="M31" s="1652"/>
      <c r="N31" s="1652"/>
      <c r="O31" s="1652"/>
      <c r="P31" s="1652"/>
      <c r="Q31" s="1652"/>
      <c r="S31" s="2534" t="s">
        <v>42</v>
      </c>
      <c r="T31" s="2534"/>
      <c r="U31" s="1656"/>
      <c r="V31" s="2535" t="str">
        <f>IF(TITLE_NAME_OR_PR_CHANGE="",IF(TITLE_NAME_OR_PR="","",TITLE_NAME_OR_PR),TITLE_NAME_OR_PR_CHANGE)</f>
        <v>Комитет по ценам и тарифам Правительства Хабаровского края</v>
      </c>
      <c r="W31" s="2535"/>
      <c r="X31" s="2535"/>
      <c r="Y31" s="2535"/>
      <c r="Z31" s="2535"/>
      <c r="AA31" s="2535"/>
      <c r="AB31" s="2535"/>
      <c r="AC31" s="610"/>
      <c r="AD31" s="2535" t="str">
        <f>IF(TITLE_NAME_OR_PR_CHANGE="",IF(TITLE_NAME_OR_PR="","",TITLE_NAME_OR_PR),TITLE_NAME_OR_PR_CHANGE)</f>
        <v>Комитет по ценам и тарифам Правительства Хабаровского края</v>
      </c>
      <c r="AE31" s="2535"/>
      <c r="AF31" s="2535"/>
      <c r="AG31" s="2535"/>
      <c r="AH31" s="2535"/>
      <c r="AI31" s="2535"/>
      <c r="AJ31" s="2535"/>
      <c r="AK31" s="2535"/>
      <c r="AL31" s="2535"/>
      <c r="AM31" s="2535"/>
      <c r="AN31" s="2535"/>
      <c r="AO31" s="2535"/>
      <c r="AP31" s="2535"/>
      <c r="AQ31" s="2535"/>
      <c r="AR31" s="2535"/>
      <c r="AS31" s="2535"/>
      <c r="AT31" s="2535"/>
      <c r="AU31" s="2535"/>
      <c r="AV31" s="2535"/>
      <c r="AW31" s="2535"/>
      <c r="AX31" s="2535"/>
      <c r="AY31" s="2535"/>
      <c r="AZ31" s="2535"/>
      <c r="BA31" s="610"/>
      <c r="BB31" s="610"/>
      <c r="BC31" s="564"/>
      <c r="BD31" s="652"/>
      <c r="BE31" s="652"/>
      <c r="BF31" s="652"/>
      <c r="BG31" s="652"/>
      <c r="BH31" s="652"/>
      <c r="BI31" s="702">
        <v>0</v>
      </c>
    </row>
    <row s="30764" customFormat="1" customHeight="1" ht="18.75">
      <c r="A32" s="1652"/>
      <c r="B32" s="1652"/>
      <c r="C32" s="1652"/>
      <c r="D32" s="1652"/>
      <c r="E32" s="1652"/>
      <c r="F32" s="1652"/>
      <c r="G32" s="1652"/>
      <c r="H32" s="1652"/>
      <c r="I32" s="1652"/>
      <c r="J32" s="1652"/>
      <c r="K32" s="1652"/>
      <c r="L32" s="1653"/>
      <c r="M32" s="1652"/>
      <c r="N32" s="1652"/>
      <c r="O32" s="1652"/>
      <c r="P32" s="1652"/>
      <c r="Q32" s="1652"/>
      <c r="S32" s="2534" t="s">
        <v>480</v>
      </c>
      <c r="T32" s="2534"/>
      <c r="U32" s="1656"/>
      <c r="V32" s="2548" t="str">
        <f>IF(TITLE_DATE_PR_CHANGE="",IF(TITLE_DATE_PR="","",TITLE_DATE_PR),TITLE_DATE_PR_CHANGE)</f>
        <v>45645</v>
      </c>
      <c r="W32" s="2548"/>
      <c r="X32" s="2548"/>
      <c r="Y32" s="2548"/>
      <c r="Z32" s="2548"/>
      <c r="AA32" s="2548"/>
      <c r="AB32" s="2548"/>
      <c r="AC32" s="610"/>
      <c r="AD32" s="2548" t="str">
        <f>IF(TITLE_DATE_PR_CHANGE="",IF(TITLE_DATE_PR="","",TITLE_DATE_PR),TITLE_DATE_PR_CHANGE)</f>
        <v>45645</v>
      </c>
      <c r="AE32" s="2548"/>
      <c r="AF32" s="2548"/>
      <c r="AG32" s="2548"/>
      <c r="AH32" s="2548"/>
      <c r="AI32" s="2548"/>
      <c r="AJ32" s="2548"/>
      <c r="AK32" s="2548"/>
      <c r="AL32" s="2548"/>
      <c r="AM32" s="2548"/>
      <c r="AN32" s="2548"/>
      <c r="AO32" s="2548"/>
      <c r="AP32" s="2548"/>
      <c r="AQ32" s="2548"/>
      <c r="AR32" s="2548"/>
      <c r="AS32" s="2548"/>
      <c r="AT32" s="2548"/>
      <c r="AU32" s="2548"/>
      <c r="AV32" s="2548"/>
      <c r="AW32" s="2548"/>
      <c r="AX32" s="2548"/>
      <c r="AY32" s="2548"/>
      <c r="AZ32" s="2548"/>
      <c r="BA32" s="610"/>
      <c r="BB32" s="610"/>
      <c r="BC32" s="564"/>
      <c r="BD32" s="652"/>
      <c r="BE32" s="652"/>
      <c r="BF32" s="652"/>
      <c r="BG32" s="652"/>
      <c r="BH32" s="652"/>
      <c r="BI32" s="702">
        <v>0</v>
      </c>
    </row>
    <row s="30764" customFormat="1" customHeight="1" ht="18.75">
      <c r="A33" s="1652"/>
      <c r="B33" s="1652"/>
      <c r="C33" s="1652"/>
      <c r="D33" s="1652"/>
      <c r="E33" s="1652"/>
      <c r="F33" s="1652"/>
      <c r="G33" s="1652"/>
      <c r="H33" s="1652"/>
      <c r="I33" s="1652"/>
      <c r="J33" s="1652"/>
      <c r="K33" s="1652"/>
      <c r="L33" s="1653"/>
      <c r="M33" s="1652"/>
      <c r="N33" s="1652"/>
      <c r="O33" s="1652"/>
      <c r="P33" s="1652"/>
      <c r="Q33" s="1652"/>
      <c r="S33" s="2534" t="s">
        <v>481</v>
      </c>
      <c r="T33" s="2534"/>
      <c r="U33" s="1656"/>
      <c r="V33" s="2535" t="str">
        <f>IF(TITLE_NUMBER_PR_CHANGE="",IF(TITLE_NUMBER_PR="","",TITLE_NUMBER_PR),TITLE_NUMBER_PR_CHANGE)</f>
        <v>№ 40/8</v>
      </c>
      <c r="W33" s="2535"/>
      <c r="X33" s="2535"/>
      <c r="Y33" s="2535"/>
      <c r="Z33" s="2535"/>
      <c r="AA33" s="2535"/>
      <c r="AB33" s="2535"/>
      <c r="AC33" s="610"/>
      <c r="AD33" s="2535" t="str">
        <f>IF(TITLE_NUMBER_PR_CHANGE="",IF(TITLE_NUMBER_PR="","",TITLE_NUMBER_PR),TITLE_NUMBER_PR_CHANGE)</f>
        <v>№ 40/8</v>
      </c>
      <c r="AE33" s="2535"/>
      <c r="AF33" s="2535"/>
      <c r="AG33" s="2535"/>
      <c r="AH33" s="2535"/>
      <c r="AI33" s="2535"/>
      <c r="AJ33" s="2535"/>
      <c r="AK33" s="2535"/>
      <c r="AL33" s="2535"/>
      <c r="AM33" s="2535"/>
      <c r="AN33" s="2535"/>
      <c r="AO33" s="2535"/>
      <c r="AP33" s="2535"/>
      <c r="AQ33" s="2535"/>
      <c r="AR33" s="2535"/>
      <c r="AS33" s="2535"/>
      <c r="AT33" s="2535"/>
      <c r="AU33" s="2535"/>
      <c r="AV33" s="2535"/>
      <c r="AW33" s="2535"/>
      <c r="AX33" s="2535"/>
      <c r="AY33" s="2535"/>
      <c r="AZ33" s="2535"/>
      <c r="BA33" s="610"/>
      <c r="BB33" s="610"/>
      <c r="BC33" s="564"/>
      <c r="BD33" s="652"/>
      <c r="BE33" s="652"/>
      <c r="BF33" s="652"/>
      <c r="BG33" s="652"/>
      <c r="BH33" s="652"/>
      <c r="BI33" s="702">
        <v>0</v>
      </c>
    </row>
    <row s="30764" customFormat="1" customHeight="1" ht="18.75">
      <c r="A34" s="1652"/>
      <c r="B34" s="1652"/>
      <c r="C34" s="1652"/>
      <c r="D34" s="1652"/>
      <c r="E34" s="1652"/>
      <c r="F34" s="1652"/>
      <c r="G34" s="1652"/>
      <c r="H34" s="1652"/>
      <c r="I34" s="1652"/>
      <c r="J34" s="1652"/>
      <c r="K34" s="1652"/>
      <c r="L34" s="1653"/>
      <c r="M34" s="1652"/>
      <c r="N34" s="1652"/>
      <c r="O34" s="1652"/>
      <c r="P34" s="1652"/>
      <c r="Q34" s="1652"/>
      <c r="S34" s="2534" t="s">
        <v>44</v>
      </c>
      <c r="T34" s="2534"/>
      <c r="U34" s="1656"/>
      <c r="V34" s="2535" t="str">
        <f>IF(TITLE_IST_PUB_CHANGE="",IF(TITLE_IST_PUB="","",TITLE_IST_PUB),TITLE_IST_PUB_CHANGE)</f>
        <v>Официальный интернет - портал нормативных правовых актов Хабаровского края https://laws.khv.gov.ru/</v>
      </c>
      <c r="W34" s="2535"/>
      <c r="X34" s="2535"/>
      <c r="Y34" s="2535"/>
      <c r="Z34" s="2535"/>
      <c r="AA34" s="2535"/>
      <c r="AB34" s="2535"/>
      <c r="AC34" s="610"/>
      <c r="AD34" s="2535" t="str">
        <f>IF(TITLE_IST_PUB_CHANGE="",IF(TITLE_IST_PUB="","",TITLE_IST_PUB),TITLE_IST_PUB_CHANGE)</f>
        <v>Официальный интернет - портал нормативных правовых актов Хабаровского края https://laws.khv.gov.ru/</v>
      </c>
      <c r="AE34" s="2535"/>
      <c r="AF34" s="2535"/>
      <c r="AG34" s="2535"/>
      <c r="AH34" s="2535"/>
      <c r="AI34" s="2535"/>
      <c r="AJ34" s="2535"/>
      <c r="AK34" s="2535"/>
      <c r="AL34" s="2535"/>
      <c r="AM34" s="2535"/>
      <c r="AN34" s="2535"/>
      <c r="AO34" s="2535"/>
      <c r="AP34" s="2535"/>
      <c r="AQ34" s="2535"/>
      <c r="AR34" s="2535"/>
      <c r="AS34" s="2535"/>
      <c r="AT34" s="2535"/>
      <c r="AU34" s="2535"/>
      <c r="AV34" s="2535"/>
      <c r="AW34" s="2535"/>
      <c r="AX34" s="2535"/>
      <c r="AY34" s="2535"/>
      <c r="AZ34" s="2535"/>
      <c r="BA34" s="610"/>
      <c r="BB34" s="610"/>
      <c r="BC34" s="564"/>
      <c r="BD34" s="652"/>
      <c r="BE34" s="652"/>
      <c r="BF34" s="652"/>
      <c r="BG34" s="652"/>
      <c r="BH34" s="652"/>
      <c r="BI34" s="702">
        <v>0</v>
      </c>
    </row>
    <row customHeight="1" ht="14.25" hidden="1">
      <c r="Q35" s="575"/>
      <c r="R35" s="660"/>
      <c r="S35" s="1559"/>
      <c r="T35" s="647"/>
      <c r="U35" s="647"/>
      <c r="V35" s="606"/>
      <c r="W35" s="606"/>
      <c r="X35" s="606"/>
      <c r="Y35" s="606"/>
      <c r="Z35" s="606"/>
      <c r="AA35" s="606"/>
      <c r="AB35" s="606"/>
      <c r="AC35" s="606"/>
      <c r="AD35" s="606"/>
      <c r="AE35" s="606"/>
      <c r="AF35" s="606"/>
      <c r="AG35" s="606"/>
      <c r="AH35" s="606"/>
      <c r="AI35" s="606"/>
      <c r="AJ35" s="606"/>
      <c r="AK35" s="606"/>
      <c r="AL35" s="606"/>
      <c r="AM35" s="606"/>
      <c r="AN35" s="606"/>
      <c r="AO35" s="606"/>
      <c r="AP35" s="606"/>
      <c r="AQ35" s="606"/>
      <c r="AR35" s="606"/>
      <c r="AS35" s="606"/>
      <c r="AT35" s="606"/>
      <c r="AU35" s="606"/>
      <c r="AV35" s="606"/>
      <c r="AW35" s="606"/>
      <c r="AX35" s="606"/>
      <c r="AY35" s="606"/>
      <c r="AZ35" s="606"/>
      <c r="BA35" s="606"/>
      <c r="BB35" s="793"/>
      <c r="BI35" s="1439">
        <v>0</v>
      </c>
    </row>
    <row s="30764" customFormat="1" customHeight="1" ht="18.75" hidden="1">
      <c r="A36" s="1652"/>
      <c r="B36" s="1652"/>
      <c r="C36" s="1652"/>
      <c r="D36" s="1652"/>
      <c r="E36" s="1652"/>
      <c r="F36" s="1652"/>
      <c r="G36" s="1652"/>
      <c r="H36" s="1652"/>
      <c r="I36" s="1652"/>
      <c r="J36" s="1652"/>
      <c r="K36" s="1652"/>
      <c r="L36" s="1653"/>
      <c r="M36" s="1652"/>
      <c r="N36" s="1652"/>
      <c r="O36" s="1652"/>
      <c r="P36" s="1652"/>
      <c r="Q36" s="1652"/>
      <c r="S36" s="2534" t="s">
        <v>480</v>
      </c>
      <c r="T36" s="2534"/>
      <c r="U36" s="1656"/>
      <c r="V36" s="2548" t="str">
        <f>IF(TITLE_DATE_PR_CHANGE="",IF(TITLE_DATE_PR="","",TITLE_DATE_PR),TITLE_DATE_PR_CHANGE)</f>
        <v>45645</v>
      </c>
      <c r="W36" s="2548"/>
      <c r="X36" s="2548"/>
      <c r="Y36" s="2548"/>
      <c r="Z36" s="2548"/>
      <c r="AA36" s="2548"/>
      <c r="AB36" s="2548"/>
      <c r="AC36" s="610"/>
      <c r="AD36" s="2548" t="str">
        <f>IF(TITLE_DATE_PR_CHANGE="",IF(TITLE_DATE_PR="","",TITLE_DATE_PR),TITLE_DATE_PR_CHANGE)</f>
        <v>45645</v>
      </c>
      <c r="AE36" s="2548"/>
      <c r="AF36" s="2548"/>
      <c r="AG36" s="2548"/>
      <c r="AH36" s="2548"/>
      <c r="AI36" s="2548"/>
      <c r="AJ36" s="2548"/>
      <c r="AK36" s="2548"/>
      <c r="AL36" s="2548"/>
      <c r="AM36" s="2548"/>
      <c r="AN36" s="2548"/>
      <c r="AO36" s="2548"/>
      <c r="AP36" s="2548"/>
      <c r="AQ36" s="2548"/>
      <c r="AR36" s="2548"/>
      <c r="AS36" s="2548"/>
      <c r="AT36" s="2548"/>
      <c r="AU36" s="2548"/>
      <c r="AV36" s="2548"/>
      <c r="AW36" s="2548"/>
      <c r="AX36" s="2548"/>
      <c r="AY36" s="2548"/>
      <c r="AZ36" s="2548"/>
      <c r="BA36" s="610"/>
      <c r="BB36" s="610"/>
      <c r="BC36" s="564"/>
      <c r="BD36" s="652"/>
      <c r="BE36" s="652"/>
      <c r="BF36" s="652"/>
      <c r="BG36" s="652"/>
      <c r="BH36" s="652"/>
      <c r="BI36" s="702">
        <v>0</v>
      </c>
    </row>
    <row s="30764" customFormat="1" customHeight="1" ht="18.75" hidden="1">
      <c r="A37" s="1652"/>
      <c r="B37" s="1652"/>
      <c r="C37" s="1652"/>
      <c r="D37" s="1652"/>
      <c r="E37" s="1652"/>
      <c r="F37" s="1652"/>
      <c r="G37" s="1652"/>
      <c r="H37" s="1652"/>
      <c r="I37" s="1652"/>
      <c r="J37" s="1652"/>
      <c r="K37" s="1652"/>
      <c r="L37" s="1653"/>
      <c r="M37" s="1652"/>
      <c r="N37" s="1652"/>
      <c r="O37" s="1652"/>
      <c r="P37" s="1652"/>
      <c r="Q37" s="1652"/>
      <c r="S37" s="2534" t="s">
        <v>481</v>
      </c>
      <c r="T37" s="2534"/>
      <c r="U37" s="1656"/>
      <c r="V37" s="2535" t="str">
        <f>IF(TITLE_NUMBER_PR_CHANGE="",IF(TITLE_NUMBER_PR="","",TITLE_NUMBER_PR),TITLE_NUMBER_PR_CHANGE)</f>
        <v>№ 40/8</v>
      </c>
      <c r="W37" s="2535"/>
      <c r="X37" s="2535"/>
      <c r="Y37" s="2535"/>
      <c r="Z37" s="2535"/>
      <c r="AA37" s="2535"/>
      <c r="AB37" s="2535"/>
      <c r="AC37" s="610"/>
      <c r="AD37" s="2535" t="str">
        <f>IF(TITLE_NUMBER_PR_CHANGE="",IF(TITLE_NUMBER_PR="","",TITLE_NUMBER_PR),TITLE_NUMBER_PR_CHANGE)</f>
        <v>№ 40/8</v>
      </c>
      <c r="AE37" s="2535"/>
      <c r="AF37" s="2535"/>
      <c r="AG37" s="2535"/>
      <c r="AH37" s="2535"/>
      <c r="AI37" s="2535"/>
      <c r="AJ37" s="2535"/>
      <c r="AK37" s="2535"/>
      <c r="AL37" s="2535"/>
      <c r="AM37" s="2535"/>
      <c r="AN37" s="2535"/>
      <c r="AO37" s="2535"/>
      <c r="AP37" s="2535"/>
      <c r="AQ37" s="2535"/>
      <c r="AR37" s="2535"/>
      <c r="AS37" s="2535"/>
      <c r="AT37" s="2535"/>
      <c r="AU37" s="2535"/>
      <c r="AV37" s="2535"/>
      <c r="AW37" s="2535"/>
      <c r="AX37" s="2535"/>
      <c r="AY37" s="2535"/>
      <c r="AZ37" s="2535"/>
      <c r="BA37" s="610"/>
      <c r="BB37" s="610"/>
      <c r="BC37" s="564"/>
      <c r="BD37" s="652"/>
      <c r="BE37" s="652"/>
      <c r="BF37" s="652"/>
      <c r="BG37" s="652"/>
      <c r="BH37" s="652"/>
      <c r="BI37" s="702">
        <v>0</v>
      </c>
    </row>
    <row s="30764" customFormat="1" customHeight="1" ht="0">
      <c r="A38" s="1652"/>
      <c r="B38" s="1652"/>
      <c r="C38" s="1652"/>
      <c r="D38" s="1652"/>
      <c r="E38" s="1652"/>
      <c r="F38" s="1652"/>
      <c r="G38" s="1652"/>
      <c r="H38" s="1652"/>
      <c r="I38" s="1652"/>
      <c r="J38" s="1652"/>
      <c r="K38" s="1652"/>
      <c r="L38" s="1653"/>
      <c r="M38" s="1652"/>
      <c r="N38" s="1652"/>
      <c r="O38" s="1652"/>
      <c r="P38" s="1652"/>
      <c r="Q38" s="1652"/>
      <c r="S38" s="607"/>
      <c r="T38" s="607"/>
      <c r="U38" s="1772"/>
      <c r="V38" s="610"/>
      <c r="W38" s="610"/>
      <c r="X38" s="610"/>
      <c r="Y38" s="610"/>
      <c r="Z38" s="610"/>
      <c r="AA38" s="610"/>
      <c r="AB38" s="610"/>
      <c r="AC38" s="562" t="s">
        <v>484</v>
      </c>
      <c r="AD38" s="610"/>
      <c r="AE38" s="610"/>
      <c r="AF38" s="610"/>
      <c r="AG38" s="610"/>
      <c r="AH38" s="610"/>
      <c r="AI38" s="610"/>
      <c r="AJ38" s="610"/>
      <c r="AK38" s="610"/>
      <c r="AL38" s="610"/>
      <c r="AM38" s="610"/>
      <c r="AN38" s="610"/>
      <c r="AO38" s="610"/>
      <c r="AP38" s="610"/>
      <c r="AQ38" s="610"/>
      <c r="AR38" s="610"/>
      <c r="AS38" s="610"/>
      <c r="AT38" s="610"/>
      <c r="AU38" s="610"/>
      <c r="AV38" s="610"/>
      <c r="AW38" s="610"/>
      <c r="AX38" s="610"/>
      <c r="AY38" s="610"/>
      <c r="AZ38" s="610"/>
      <c r="BA38" s="562" t="s">
        <v>484</v>
      </c>
      <c r="BD38" s="652"/>
      <c r="BE38" s="652"/>
      <c r="BF38" s="652"/>
      <c r="BG38" s="652"/>
      <c r="BH38" s="652"/>
      <c r="BI38" s="702">
        <v>0</v>
      </c>
    </row>
    <row customHeight="1" ht="14.699999999999998">
      <c r="Q39" s="575"/>
      <c r="R39" s="660"/>
      <c r="S39" s="1559"/>
      <c r="T39" s="647"/>
      <c r="U39" s="1528"/>
      <c r="V39" s="2536"/>
      <c r="W39" s="2536"/>
      <c r="X39" s="2536"/>
      <c r="Y39" s="2536"/>
      <c r="Z39" s="2536"/>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I39" s="1439">
        <v>14</v>
      </c>
    </row>
    <row customHeight="1" ht="14.699999999999998">
      <c r="Q40" s="575"/>
      <c r="R40" s="660"/>
      <c r="S40" s="2411" t="s">
        <v>360</v>
      </c>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c r="AS40" s="2411"/>
      <c r="AT40" s="2411"/>
      <c r="AU40" s="2411"/>
      <c r="AV40" s="2411"/>
      <c r="AW40" s="2411"/>
      <c r="AX40" s="2411"/>
      <c r="AY40" s="2411"/>
      <c r="AZ40" s="2411"/>
      <c r="BA40" s="2411"/>
      <c r="BB40" s="2411"/>
      <c r="BC40" s="2411" t="s">
        <v>361</v>
      </c>
      <c r="BI40" s="1439">
        <v>14</v>
      </c>
    </row>
    <row customHeight="1" ht="14.699999999999998">
      <c r="Q41" s="575"/>
      <c r="R41" s="660"/>
      <c r="S41" s="2557" t="s">
        <v>91</v>
      </c>
      <c r="T41" s="2493" t="s">
        <v>579</v>
      </c>
      <c r="U41" s="585"/>
      <c r="V41" s="2558" t="s">
        <v>486</v>
      </c>
      <c r="W41" s="2559"/>
      <c r="X41" s="2559"/>
      <c r="Y41" s="2559"/>
      <c r="Z41" s="2559"/>
      <c r="AA41" s="2559"/>
      <c r="AB41" s="2560"/>
      <c r="AC41" s="2561" t="s">
        <v>487</v>
      </c>
      <c r="AD41" s="2612" t="s">
        <v>580</v>
      </c>
      <c r="AE41" s="2575"/>
      <c r="AF41" s="2575"/>
      <c r="AG41" s="2613"/>
      <c r="AH41" s="2612" t="s">
        <v>581</v>
      </c>
      <c r="AI41" s="2575"/>
      <c r="AJ41" s="2575"/>
      <c r="AK41" s="2613"/>
      <c r="AL41" s="2612" t="s">
        <v>582</v>
      </c>
      <c r="AM41" s="2575"/>
      <c r="AN41" s="2575"/>
      <c r="AO41" s="2613"/>
      <c r="AP41" s="2612" t="s">
        <v>583</v>
      </c>
      <c r="AQ41" s="2575"/>
      <c r="AR41" s="2575"/>
      <c r="AS41" s="2613"/>
      <c r="AT41" s="2558" t="s">
        <v>486</v>
      </c>
      <c r="AU41" s="2559"/>
      <c r="AV41" s="2559"/>
      <c r="AW41" s="2559"/>
      <c r="AX41" s="2559"/>
      <c r="AY41" s="2559"/>
      <c r="AZ41" s="2560"/>
      <c r="BA41" s="2561" t="s">
        <v>487</v>
      </c>
      <c r="BB41" s="2564" t="s">
        <v>489</v>
      </c>
      <c r="BC41" s="2411"/>
      <c r="BI41" s="1439">
        <v>14</v>
      </c>
    </row>
    <row customHeight="1" ht="35.699999999999996">
      <c r="Q42" s="575"/>
      <c r="R42" s="660"/>
      <c r="S42" s="2557"/>
      <c r="T42" s="2493"/>
      <c r="U42" s="1315"/>
      <c r="V42" s="2476" t="s">
        <v>584</v>
      </c>
      <c r="W42" s="2477"/>
      <c r="X42" s="2476" t="s">
        <v>585</v>
      </c>
      <c r="Y42" s="2477"/>
      <c r="Z42" s="2578" t="s">
        <v>586</v>
      </c>
      <c r="AA42" s="2597"/>
      <c r="AB42" s="2598"/>
      <c r="AC42" s="2562"/>
      <c r="AD42" s="2614"/>
      <c r="AE42" s="2615"/>
      <c r="AF42" s="2615"/>
      <c r="AG42" s="2616"/>
      <c r="AH42" s="2614"/>
      <c r="AI42" s="2615"/>
      <c r="AJ42" s="2615"/>
      <c r="AK42" s="2616"/>
      <c r="AL42" s="2614"/>
      <c r="AM42" s="2615"/>
      <c r="AN42" s="2615"/>
      <c r="AO42" s="2616"/>
      <c r="AP42" s="2614"/>
      <c r="AQ42" s="2615"/>
      <c r="AR42" s="2615"/>
      <c r="AS42" s="2616"/>
      <c r="AT42" s="2476" t="s">
        <v>584</v>
      </c>
      <c r="AU42" s="2477"/>
      <c r="AV42" s="2476" t="s">
        <v>585</v>
      </c>
      <c r="AW42" s="2477"/>
      <c r="AX42" s="2578" t="s">
        <v>586</v>
      </c>
      <c r="AY42" s="2597"/>
      <c r="AZ42" s="2598"/>
      <c r="BA42" s="2562"/>
      <c r="BB42" s="2565"/>
      <c r="BC42" s="2411"/>
      <c r="BI42" s="1439">
        <v>34</v>
      </c>
    </row>
    <row customHeight="1" ht="14.699999999999998">
      <c r="Q43" s="575"/>
      <c r="R43" s="660"/>
      <c r="S43" s="2557"/>
      <c r="T43" s="2493"/>
      <c r="U43" s="1315"/>
      <c r="V43" s="2484"/>
      <c r="W43" s="2485"/>
      <c r="X43" s="2484"/>
      <c r="Y43" s="2485"/>
      <c r="Z43" s="2579"/>
      <c r="AA43" s="2599"/>
      <c r="AB43" s="2600"/>
      <c r="AC43" s="2562"/>
      <c r="AD43" s="2614"/>
      <c r="AE43" s="2615"/>
      <c r="AF43" s="2615"/>
      <c r="AG43" s="2616"/>
      <c r="AH43" s="2614"/>
      <c r="AI43" s="2615"/>
      <c r="AJ43" s="2615"/>
      <c r="AK43" s="2616"/>
      <c r="AL43" s="2614"/>
      <c r="AM43" s="2615"/>
      <c r="AN43" s="2615"/>
      <c r="AO43" s="2616"/>
      <c r="AP43" s="2614"/>
      <c r="AQ43" s="2615"/>
      <c r="AR43" s="2615"/>
      <c r="AS43" s="2616"/>
      <c r="AT43" s="2484"/>
      <c r="AU43" s="2485"/>
      <c r="AV43" s="2484"/>
      <c r="AW43" s="2485"/>
      <c r="AX43" s="2579"/>
      <c r="AY43" s="2599"/>
      <c r="AZ43" s="2600"/>
      <c r="BA43" s="2562"/>
      <c r="BB43" s="2565"/>
      <c r="BC43" s="2411"/>
      <c r="BI43" s="1439">
        <v>14</v>
      </c>
    </row>
    <row customHeight="1" ht="14.699999999999998">
      <c r="A44" s="1654"/>
      <c r="B44" s="1654" t="s">
        <v>165</v>
      </c>
      <c r="C44" s="1654" t="s">
        <v>166</v>
      </c>
      <c r="D44" s="1654" t="s">
        <v>167</v>
      </c>
      <c r="E44" s="1648" t="s">
        <v>494</v>
      </c>
      <c r="F44" s="1648" t="s">
        <v>495</v>
      </c>
      <c r="G44" s="1648" t="s">
        <v>496</v>
      </c>
      <c r="H44" s="1648" t="s">
        <v>497</v>
      </c>
      <c r="I44" s="1648" t="s">
        <v>498</v>
      </c>
      <c r="J44" s="1648" t="s">
        <v>499</v>
      </c>
      <c r="K44" s="1648" t="s">
        <v>500</v>
      </c>
      <c r="L44" s="1648" t="s">
        <v>475</v>
      </c>
      <c r="Q44" s="575"/>
      <c r="R44" s="660"/>
      <c r="S44" s="2557"/>
      <c r="T44" s="2493"/>
      <c r="U44" s="586"/>
      <c r="V44" s="1763" t="s">
        <v>550</v>
      </c>
      <c r="W44" s="1763" t="s">
        <v>551</v>
      </c>
      <c r="X44" s="1763" t="s">
        <v>550</v>
      </c>
      <c r="Y44" s="1763" t="s">
        <v>551</v>
      </c>
      <c r="Z44" s="1773" t="s">
        <v>503</v>
      </c>
      <c r="AA44" s="2554" t="s">
        <v>504</v>
      </c>
      <c r="AB44" s="2555"/>
      <c r="AC44" s="2563"/>
      <c r="AD44" s="2617"/>
      <c r="AE44" s="2618"/>
      <c r="AF44" s="2618"/>
      <c r="AG44" s="2619"/>
      <c r="AH44" s="2617"/>
      <c r="AI44" s="2618"/>
      <c r="AJ44" s="2618"/>
      <c r="AK44" s="2619"/>
      <c r="AL44" s="2617"/>
      <c r="AM44" s="2618"/>
      <c r="AN44" s="2618"/>
      <c r="AO44" s="2619"/>
      <c r="AP44" s="2617"/>
      <c r="AQ44" s="2618"/>
      <c r="AR44" s="2618"/>
      <c r="AS44" s="2619"/>
      <c r="AT44" s="1763" t="s">
        <v>550</v>
      </c>
      <c r="AU44" s="1763" t="s">
        <v>551</v>
      </c>
      <c r="AV44" s="1763" t="s">
        <v>550</v>
      </c>
      <c r="AW44" s="1763" t="s">
        <v>551</v>
      </c>
      <c r="AX44" s="1773" t="s">
        <v>503</v>
      </c>
      <c r="AY44" s="2554" t="s">
        <v>504</v>
      </c>
      <c r="AZ44" s="2555"/>
      <c r="BA44" s="2563"/>
      <c r="BB44" s="2566"/>
      <c r="BC44" s="2411"/>
      <c r="BI44" s="1439">
        <v>14</v>
      </c>
    </row>
    <row s="31261" customFormat="1" customHeight="1" ht="0">
      <c r="A45" s="1654"/>
      <c r="B45" s="1654"/>
      <c r="C45" s="1654"/>
      <c r="D45" s="1654"/>
      <c r="E45" s="1654"/>
      <c r="F45" s="1654"/>
      <c r="G45" s="1654"/>
      <c r="H45" s="1654"/>
      <c r="I45" s="1654"/>
      <c r="J45" s="1654"/>
      <c r="K45" s="1654"/>
      <c r="L45" s="1648"/>
      <c r="M45" s="1646"/>
      <c r="N45" s="1646"/>
      <c r="O45" s="1646"/>
      <c r="P45" s="794"/>
      <c r="Q45" s="1538"/>
      <c r="R45" s="1538">
        <v>1</v>
      </c>
      <c r="S45" s="1561" t="s">
        <v>141</v>
      </c>
      <c r="T45" s="1539" t="s">
        <v>105</v>
      </c>
      <c r="U45" s="1529" t="str">
        <f>OFFSET(U45,0,-1)</f>
        <v>2</v>
      </c>
      <c r="V45" s="1766">
        <f>OFFSET(V45,0,-1)+1</f>
        <v>3</v>
      </c>
      <c r="W45" s="1766">
        <f>OFFSET(W45,0,-1)+1</f>
        <v>4</v>
      </c>
      <c r="X45" s="1766">
        <f>OFFSET(X45,0,-1)+1</f>
        <v>5</v>
      </c>
      <c r="Y45" s="1766">
        <f>OFFSET(Y45,0,-1)+1</f>
        <v>6</v>
      </c>
      <c r="Z45" s="1766">
        <f>OFFSET(Z45,0,-1)+1</f>
        <v>7</v>
      </c>
      <c r="AA45" s="2556">
        <f>OFFSET(AA45,0,-1)+1</f>
        <v>8</v>
      </c>
      <c r="AB45" s="2556"/>
      <c r="AC45" s="1766">
        <f>OFFSET(AC45,0,-2)+1</f>
        <v>9</v>
      </c>
      <c r="AD45" s="1766">
        <f>OFFSET(AD45,0,-1)+1</f>
        <v>10</v>
      </c>
      <c r="AE45" s="1766"/>
      <c r="AF45" s="1766"/>
      <c r="AG45" s="1766"/>
      <c r="AH45" s="1766"/>
      <c r="AI45" s="1766"/>
      <c r="AJ45" s="1766"/>
      <c r="AK45" s="1766"/>
      <c r="AL45" s="1766"/>
      <c r="AM45" s="1766"/>
      <c r="AN45" s="1766"/>
      <c r="AO45" s="1766"/>
      <c r="AP45" s="1766"/>
      <c r="AQ45" s="1766"/>
      <c r="AR45" s="1766"/>
      <c r="AS45" s="1766"/>
      <c r="AT45" s="1766"/>
      <c r="AU45" s="1766"/>
      <c r="AV45" s="1766"/>
      <c r="AW45" s="1766">
        <f>OFFSET(AW45,0,-1)+1</f>
        <v>1</v>
      </c>
      <c r="AX45" s="1766">
        <f>OFFSET(AX45,0,-1)+1</f>
        <v>2</v>
      </c>
      <c r="AY45" s="2556">
        <f>OFFSET(AY45,0,-1)+1</f>
        <v>3</v>
      </c>
      <c r="AZ45" s="2556"/>
      <c r="BA45" s="1766">
        <f>OFFSET(BA45,0,-2)+1</f>
        <v>4</v>
      </c>
      <c r="BB45" s="1529">
        <f>OFFSET(BB45,0,-1)</f>
        <v>4</v>
      </c>
      <c r="BC45" s="1766">
        <f>OFFSET(BC45,0,-1)+1</f>
        <v>5</v>
      </c>
      <c r="BD45" s="795"/>
      <c r="BE45" s="795"/>
      <c r="BF45" s="795"/>
      <c r="BG45" s="795"/>
      <c r="BH45" s="795"/>
      <c r="BI45" s="780">
        <v>0</v>
      </c>
    </row>
    <row customHeight="1" ht="22.049999999999997">
      <c r="A46" s="1647" t="s">
        <v>321</v>
      </c>
      <c r="B46" s="1647"/>
      <c r="C46" s="1647"/>
      <c r="D46" s="1647"/>
      <c r="E46" s="2542">
        <v>1</v>
      </c>
      <c r="F46" s="1647"/>
      <c r="G46" s="1647"/>
      <c r="H46" s="1647"/>
      <c r="I46" s="1647"/>
      <c r="J46" s="1647"/>
      <c r="K46" s="1647"/>
      <c r="L46" s="1648"/>
      <c r="M46" s="1649"/>
      <c r="N46" s="1649"/>
      <c r="O46" s="1649"/>
      <c r="P46" s="1693"/>
      <c r="Q46" s="1157"/>
      <c r="R46" s="639"/>
      <c r="S46" s="1777">
        <f>INDEX(PT_DIFFERENTIATION_NUM_NTAR,MATCH(A46,PT_DIFFERENTIATION_NTAR_ID,0))</f>
        <v>0</v>
      </c>
      <c r="T46" s="582" t="s">
        <v>153</v>
      </c>
      <c r="U46" s="584"/>
      <c r="V46" s="2527"/>
      <c r="W46" s="2527"/>
      <c r="X46" s="2527"/>
      <c r="Y46" s="2527"/>
      <c r="Z46" s="2527"/>
      <c r="AA46" s="2527"/>
      <c r="AB46" s="2527"/>
      <c r="AC46" s="2528"/>
      <c r="AD46" s="2526" t="str">
        <f>INDEX(PT_DIFFERENTIATION_NTAR,MATCH(A46,PT_DIFFERENTIATION_NTAR_ID,0))</f>
        <v/>
      </c>
      <c r="AE46" s="2527"/>
      <c r="AF46" s="2527"/>
      <c r="AG46" s="2527"/>
      <c r="AH46" s="2527"/>
      <c r="AI46" s="2527"/>
      <c r="AJ46" s="2527"/>
      <c r="AK46" s="2527"/>
      <c r="AL46" s="2527"/>
      <c r="AM46" s="2527"/>
      <c r="AN46" s="2527"/>
      <c r="AO46" s="2527"/>
      <c r="AP46" s="2527"/>
      <c r="AQ46" s="2527"/>
      <c r="AR46" s="2527"/>
      <c r="AS46" s="2527"/>
      <c r="AT46" s="2527"/>
      <c r="AU46" s="2527"/>
      <c r="AV46" s="2527"/>
      <c r="AW46" s="2527"/>
      <c r="AX46" s="2527"/>
      <c r="AY46" s="2527"/>
      <c r="AZ46" s="2527"/>
      <c r="BA46" s="2527"/>
      <c r="BB46" s="2528"/>
      <c r="BC46" s="154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784"/>
      <c r="BF46" s="784" t="str">
        <f>IF(T46="","",T46)</f>
        <v>Наименование тарифа</v>
      </c>
      <c r="BG46" s="784"/>
      <c r="BH46" s="784"/>
      <c r="BI46" s="1439">
        <v>21</v>
      </c>
    </row>
    <row customHeight="1" ht="22.049999999999997">
      <c r="A47" s="1647" t="s">
        <v>321</v>
      </c>
      <c r="B47" s="1647" t="s">
        <v>322</v>
      </c>
      <c r="C47" s="1647"/>
      <c r="D47" s="1647"/>
      <c r="E47" s="2543"/>
      <c r="F47" s="2542">
        <v>1</v>
      </c>
      <c r="G47" s="1647"/>
      <c r="H47" s="1647"/>
      <c r="I47" s="1647"/>
      <c r="J47" s="1647"/>
      <c r="K47" s="1647"/>
      <c r="L47" s="1648"/>
      <c r="M47" s="1649"/>
      <c r="N47" s="1649"/>
      <c r="O47" s="1649"/>
      <c r="P47" s="1694"/>
      <c r="Q47" s="1695"/>
      <c r="R47" s="637"/>
      <c r="S47" s="1777" t="str">
        <f>INDEX(PT_DIFFERENTIATION_NUM_TER,MATCH(B47,PT_DIFFERENTIATION_TER_ID,0))</f>
        <v>.</v>
      </c>
      <c r="T47" s="592" t="s">
        <v>457</v>
      </c>
      <c r="U47" s="584"/>
      <c r="V47" s="2527"/>
      <c r="W47" s="2527"/>
      <c r="X47" s="2527"/>
      <c r="Y47" s="2527"/>
      <c r="Z47" s="2527"/>
      <c r="AA47" s="2527"/>
      <c r="AB47" s="2527"/>
      <c r="AC47" s="2528"/>
      <c r="AD47" s="2526" t="str">
        <f>INDEX(PT_DIFFERENTIATION_TER,MATCH(B47,PT_DIFFERENTIATION_TER_ID,0))</f>
        <v/>
      </c>
      <c r="AE47" s="2527"/>
      <c r="AF47" s="2527"/>
      <c r="AG47" s="2527"/>
      <c r="AH47" s="2527"/>
      <c r="AI47" s="2527"/>
      <c r="AJ47" s="2527"/>
      <c r="AK47" s="2527"/>
      <c r="AL47" s="2527"/>
      <c r="AM47" s="2527"/>
      <c r="AN47" s="2527"/>
      <c r="AO47" s="2527"/>
      <c r="AP47" s="2527"/>
      <c r="AQ47" s="2527"/>
      <c r="AR47" s="2527"/>
      <c r="AS47" s="2527"/>
      <c r="AT47" s="2527"/>
      <c r="AU47" s="2527"/>
      <c r="AV47" s="2527"/>
      <c r="AW47" s="2527"/>
      <c r="AX47" s="2527"/>
      <c r="AY47" s="2527"/>
      <c r="AZ47" s="2527"/>
      <c r="BA47" s="2527"/>
      <c r="BB47" s="2528"/>
      <c r="BC47" s="1542" t="s">
        <v>458</v>
      </c>
      <c r="BE47" s="784"/>
      <c r="BF47" s="784" t="str">
        <f>IF(T47="","",T47)</f>
        <v>Территория действия тарифа</v>
      </c>
      <c r="BG47" s="784"/>
      <c r="BH47" s="784"/>
      <c r="BI47" s="1439">
        <v>21</v>
      </c>
    </row>
    <row customHeight="1" ht="35.699999999999996">
      <c r="A48" s="1647" t="s">
        <v>321</v>
      </c>
      <c r="B48" s="1647" t="s">
        <v>322</v>
      </c>
      <c r="C48" s="1647" t="s">
        <v>323</v>
      </c>
      <c r="D48" s="1647"/>
      <c r="E48" s="2543"/>
      <c r="F48" s="2543"/>
      <c r="G48" s="2542">
        <v>1</v>
      </c>
      <c r="H48" s="1647"/>
      <c r="I48" s="1647"/>
      <c r="J48" s="1647"/>
      <c r="K48" s="1647"/>
      <c r="L48" s="1648"/>
      <c r="M48" s="1649"/>
      <c r="N48" s="1649"/>
      <c r="O48" s="1649"/>
      <c r="P48" s="1696"/>
      <c r="Q48" s="1695"/>
      <c r="R48" s="637"/>
      <c r="S48" s="1777" t="str">
        <f>INDEX(PT_DIFFERENTIATION_NUM_CS,MATCH(C48,PT_DIFFERENTIATION_CS_ID,0))</f>
        <v>..</v>
      </c>
      <c r="T48" s="593" t="s">
        <v>602</v>
      </c>
      <c r="U48" s="584"/>
      <c r="V48" s="2527"/>
      <c r="W48" s="2527"/>
      <c r="X48" s="2527"/>
      <c r="Y48" s="2527"/>
      <c r="Z48" s="2527"/>
      <c r="AA48" s="2527"/>
      <c r="AB48" s="2527"/>
      <c r="AC48" s="2528"/>
      <c r="AD48" s="2526" t="str">
        <f>INDEX(PT_DIFFERENTIATION_CS,MATCH(C48,PT_DIFFERENTIATION_CS_ID,0))</f>
        <v/>
      </c>
      <c r="AE48" s="2527"/>
      <c r="AF48" s="2527"/>
      <c r="AG48" s="2527"/>
      <c r="AH48" s="2527"/>
      <c r="AI48" s="2527"/>
      <c r="AJ48" s="2527"/>
      <c r="AK48" s="2527"/>
      <c r="AL48" s="2527"/>
      <c r="AM48" s="2527"/>
      <c r="AN48" s="2527"/>
      <c r="AO48" s="2527"/>
      <c r="AP48" s="2527"/>
      <c r="AQ48" s="2527"/>
      <c r="AR48" s="2527"/>
      <c r="AS48" s="2527"/>
      <c r="AT48" s="2527"/>
      <c r="AU48" s="2527"/>
      <c r="AV48" s="2527"/>
      <c r="AW48" s="2527"/>
      <c r="AX48" s="2527"/>
      <c r="AY48" s="2527"/>
      <c r="AZ48" s="2527"/>
      <c r="BA48" s="2527"/>
      <c r="BB48" s="2528"/>
      <c r="BC48" s="1542" t="s">
        <v>603</v>
      </c>
      <c r="BE48" s="784"/>
      <c r="BF48" s="784" t="str">
        <f>IF(T48="","",T48)</f>
        <v>Наименование централизованной системы горячего водоснабжения</v>
      </c>
      <c r="BG48" s="784"/>
      <c r="BH48" s="784"/>
      <c r="BI48" s="1439">
        <v>34</v>
      </c>
    </row>
    <row s="30621" customFormat="1" customHeight="1" ht="0">
      <c r="A49" s="1627" t="s">
        <v>321</v>
      </c>
      <c r="B49" s="1627" t="s">
        <v>322</v>
      </c>
      <c r="C49" s="1627" t="s">
        <v>323</v>
      </c>
      <c r="D49" s="1627" t="s">
        <v>616</v>
      </c>
      <c r="E49" s="2543"/>
      <c r="F49" s="2543"/>
      <c r="G49" s="2543"/>
      <c r="H49" s="2542">
        <v>1</v>
      </c>
      <c r="I49" s="1627"/>
      <c r="J49" s="1627"/>
      <c r="K49" s="1627"/>
      <c r="L49" s="1630"/>
      <c r="M49" s="1599"/>
      <c r="N49" s="1599"/>
      <c r="O49" s="1599"/>
      <c r="P49" s="1781"/>
      <c r="Q49" s="1782"/>
      <c r="R49" s="641"/>
      <c r="S49" s="1326"/>
      <c r="T49" s="1783"/>
      <c r="U49" s="1668"/>
      <c r="V49" s="2581"/>
      <c r="W49" s="2581"/>
      <c r="X49" s="2581"/>
      <c r="Y49" s="2581"/>
      <c r="Z49" s="2581"/>
      <c r="AA49" s="2581"/>
      <c r="AB49" s="2581"/>
      <c r="AC49" s="2582"/>
      <c r="AD49" s="2580"/>
      <c r="AE49" s="2581"/>
      <c r="AF49" s="2581"/>
      <c r="AG49" s="2581"/>
      <c r="AH49" s="2581"/>
      <c r="AI49" s="2581"/>
      <c r="AJ49" s="2581"/>
      <c r="AK49" s="2581"/>
      <c r="AL49" s="2581"/>
      <c r="AM49" s="2581"/>
      <c r="AN49" s="2581"/>
      <c r="AO49" s="2581"/>
      <c r="AP49" s="2581"/>
      <c r="AQ49" s="2581"/>
      <c r="AR49" s="2581"/>
      <c r="AS49" s="2581"/>
      <c r="AT49" s="2581"/>
      <c r="AU49" s="2581"/>
      <c r="AV49" s="2581"/>
      <c r="AW49" s="2581"/>
      <c r="AX49" s="2581"/>
      <c r="AY49" s="2581"/>
      <c r="AZ49" s="2581"/>
      <c r="BA49" s="2581"/>
      <c r="BB49" s="2582"/>
      <c r="BC49" s="1669" t="s">
        <v>462</v>
      </c>
      <c r="BE49" s="784"/>
      <c r="BF49" s="784" t="str">
        <f>IF(T49="","",T49)</f>
        <v/>
      </c>
      <c r="BG49" s="784"/>
      <c r="BH49" s="784"/>
      <c r="BI49" s="795">
        <v>0</v>
      </c>
    </row>
    <row s="30621" customFormat="1" customHeight="1" ht="0">
      <c r="A50" s="1627" t="s">
        <v>321</v>
      </c>
      <c r="B50" s="1627" t="s">
        <v>322</v>
      </c>
      <c r="C50" s="1627" t="s">
        <v>323</v>
      </c>
      <c r="D50" s="1627" t="s">
        <v>616</v>
      </c>
      <c r="E50" s="2543"/>
      <c r="F50" s="2543"/>
      <c r="G50" s="2543"/>
      <c r="H50" s="2543"/>
      <c r="I50" s="2540" t="str">
        <f>S49&amp;".1"</f>
        <v>.1</v>
      </c>
      <c r="J50" s="1627"/>
      <c r="K50" s="1627"/>
      <c r="L50" s="1630" t="s">
        <v>463</v>
      </c>
      <c r="M50" s="794"/>
      <c r="N50" s="794"/>
      <c r="O50" s="794"/>
      <c r="P50" s="2541">
        <v>1</v>
      </c>
      <c r="Q50" s="1765"/>
      <c r="R50" s="640"/>
      <c r="S50" s="1326"/>
      <c r="T50" s="1667"/>
      <c r="U50" s="1668"/>
      <c r="V50" s="2581"/>
      <c r="W50" s="2581"/>
      <c r="X50" s="2581"/>
      <c r="Y50" s="2581"/>
      <c r="Z50" s="2581"/>
      <c r="AA50" s="2581"/>
      <c r="AB50" s="2581"/>
      <c r="AC50" s="2582"/>
      <c r="AD50" s="2580"/>
      <c r="AE50" s="2581"/>
      <c r="AF50" s="2581"/>
      <c r="AG50" s="2581"/>
      <c r="AH50" s="2581"/>
      <c r="AI50" s="2581"/>
      <c r="AJ50" s="2581"/>
      <c r="AK50" s="2581"/>
      <c r="AL50" s="2581"/>
      <c r="AM50" s="2581"/>
      <c r="AN50" s="2581"/>
      <c r="AO50" s="2581"/>
      <c r="AP50" s="2581"/>
      <c r="AQ50" s="2581"/>
      <c r="AR50" s="2581"/>
      <c r="AS50" s="2581"/>
      <c r="AT50" s="2581"/>
      <c r="AU50" s="2581"/>
      <c r="AV50" s="2581"/>
      <c r="AW50" s="2581"/>
      <c r="AX50" s="2581"/>
      <c r="AY50" s="2581"/>
      <c r="AZ50" s="2581"/>
      <c r="BA50" s="2581"/>
      <c r="BB50" s="2582"/>
      <c r="BC50" s="1669"/>
      <c r="BE50" s="784"/>
      <c r="BF50" s="784" t="str">
        <f>IF(T50="","",T50)</f>
        <v/>
      </c>
      <c r="BG50" s="784"/>
      <c r="BH50" s="784"/>
      <c r="BI50" s="795">
        <v>0</v>
      </c>
    </row>
    <row s="30621" customFormat="1" customHeight="1" ht="0">
      <c r="A51" s="1627" t="s">
        <v>321</v>
      </c>
      <c r="B51" s="1627" t="s">
        <v>322</v>
      </c>
      <c r="C51" s="1627" t="s">
        <v>323</v>
      </c>
      <c r="D51" s="1627" t="s">
        <v>616</v>
      </c>
      <c r="E51" s="2543"/>
      <c r="F51" s="2543"/>
      <c r="G51" s="2543"/>
      <c r="H51" s="2543"/>
      <c r="I51" s="2570"/>
      <c r="J51" s="2540" t="str">
        <f>S49&amp;".1"</f>
        <v>.1</v>
      </c>
      <c r="K51" s="1627"/>
      <c r="L51" s="1630"/>
      <c r="M51" s="794"/>
      <c r="N51" s="794"/>
      <c r="O51" s="794"/>
      <c r="P51" s="2541"/>
      <c r="Q51" s="2541">
        <v>1</v>
      </c>
      <c r="R51" s="641"/>
      <c r="S51" s="1326"/>
      <c r="T51" s="1683"/>
      <c r="U51" s="1668"/>
      <c r="V51" s="2581"/>
      <c r="W51" s="2581"/>
      <c r="X51" s="2581"/>
      <c r="Y51" s="2581"/>
      <c r="Z51" s="2581"/>
      <c r="AA51" s="2581"/>
      <c r="AB51" s="2581"/>
      <c r="AC51" s="2582"/>
      <c r="AD51" s="2580"/>
      <c r="AE51" s="2581"/>
      <c r="AF51" s="2581"/>
      <c r="AG51" s="2581"/>
      <c r="AH51" s="2581"/>
      <c r="AI51" s="2581"/>
      <c r="AJ51" s="2581"/>
      <c r="AK51" s="2581"/>
      <c r="AL51" s="2581"/>
      <c r="AM51" s="2581"/>
      <c r="AN51" s="2648"/>
      <c r="AO51" s="2648"/>
      <c r="AP51" s="2581"/>
      <c r="AQ51" s="2581"/>
      <c r="AR51" s="2581"/>
      <c r="AS51" s="2581"/>
      <c r="AT51" s="2581"/>
      <c r="AU51" s="2581"/>
      <c r="AV51" s="2581"/>
      <c r="AW51" s="2581"/>
      <c r="AX51" s="2581"/>
      <c r="AY51" s="2581"/>
      <c r="AZ51" s="2581"/>
      <c r="BA51" s="2581"/>
      <c r="BB51" s="2582"/>
      <c r="BC51" s="1669"/>
      <c r="BE51" s="784"/>
      <c r="BF51" s="784" t="str">
        <f>IF(T51="","",T51)</f>
        <v/>
      </c>
      <c r="BG51" s="784"/>
      <c r="BH51" s="784"/>
      <c r="BI51" s="795">
        <v>0</v>
      </c>
    </row>
    <row customHeight="1" ht="11.549999999999999">
      <c r="A52" s="1647" t="s">
        <v>321</v>
      </c>
      <c r="B52" s="1647" t="s">
        <v>322</v>
      </c>
      <c r="C52" s="1647" t="s">
        <v>323</v>
      </c>
      <c r="D52" s="1647" t="s">
        <v>616</v>
      </c>
      <c r="E52" s="2543"/>
      <c r="F52" s="2543"/>
      <c r="G52" s="2543"/>
      <c r="H52" s="2543"/>
      <c r="I52" s="2570"/>
      <c r="J52" s="2570"/>
      <c r="K52" s="2540" t="str">
        <f>S48&amp;".1"</f>
        <v>...1</v>
      </c>
      <c r="L52" s="1648"/>
      <c r="P52" s="2541"/>
      <c r="Q52" s="2541"/>
      <c r="R52" s="641">
        <v>1</v>
      </c>
      <c r="S52" s="2625" t="str">
        <f>$K52</f>
        <v>...1</v>
      </c>
      <c r="T52" s="2644"/>
      <c r="U52" s="584"/>
      <c r="V52" s="1035"/>
      <c r="W52" s="1541"/>
      <c r="X52" s="1035"/>
      <c r="Y52" s="1541"/>
      <c r="Z52" s="2018"/>
      <c r="AA52" s="1753" t="s">
        <v>64</v>
      </c>
      <c r="AB52" s="2018"/>
      <c r="AC52" s="1753" t="s">
        <v>64</v>
      </c>
      <c r="AD52" s="2469" t="s">
        <v>64</v>
      </c>
      <c r="AE52" s="2610"/>
      <c r="AF52" s="2489">
        <v>1</v>
      </c>
      <c r="AG52" s="2647"/>
      <c r="AH52" s="2391" t="s">
        <v>64</v>
      </c>
      <c r="AI52" s="2610"/>
      <c r="AJ52" s="2489">
        <v>1</v>
      </c>
      <c r="AK52" s="2611" t="s">
        <v>28</v>
      </c>
      <c r="AL52" s="2391" t="s">
        <v>64</v>
      </c>
      <c r="AM52" s="2476"/>
      <c r="AN52" s="2489">
        <v>1</v>
      </c>
      <c r="AO52" s="2641"/>
      <c r="AP52" s="2642" t="s">
        <v>64</v>
      </c>
      <c r="AQ52" s="595"/>
      <c r="AR52" s="1770">
        <v>1</v>
      </c>
      <c r="AS52" s="1776" t="s">
        <v>28</v>
      </c>
      <c r="AT52" s="1035"/>
      <c r="AU52" s="1541"/>
      <c r="AV52" s="1035"/>
      <c r="AW52" s="1541"/>
      <c r="AX52" s="2018"/>
      <c r="AY52" s="1753" t="s">
        <v>64</v>
      </c>
      <c r="AZ52" s="2018"/>
      <c r="BA52" s="1753" t="s">
        <v>64</v>
      </c>
      <c r="BB52" s="1632"/>
      <c r="BC52" s="2537" t="s">
        <v>573</v>
      </c>
      <c r="BE52" s="784"/>
      <c r="BF52" s="784" t="str">
        <f>IF(T52="","",T52)</f>
        <v/>
      </c>
      <c r="BG52" s="784"/>
      <c r="BH52" s="784"/>
      <c r="BI52" s="1439">
        <v>11</v>
      </c>
    </row>
    <row customHeight="1" ht="11.549999999999999">
      <c r="A53" s="1647"/>
      <c r="B53" s="1647"/>
      <c r="C53" s="1647"/>
      <c r="D53" s="1647"/>
      <c r="E53" s="2543"/>
      <c r="F53" s="2543"/>
      <c r="G53" s="2543"/>
      <c r="H53" s="2543"/>
      <c r="I53" s="2570"/>
      <c r="J53" s="2570"/>
      <c r="K53" s="2540"/>
      <c r="L53" s="1648"/>
      <c r="P53" s="2541"/>
      <c r="Q53" s="2541"/>
      <c r="R53" s="641"/>
      <c r="S53" s="2626"/>
      <c r="T53" s="2645"/>
      <c r="U53" s="584"/>
      <c r="V53" s="1677"/>
      <c r="W53" s="1780"/>
      <c r="X53" s="1677"/>
      <c r="Y53" s="1780"/>
      <c r="Z53" s="1677"/>
      <c r="AA53" s="1677"/>
      <c r="AB53" s="1677"/>
      <c r="AC53" s="1677"/>
      <c r="AD53" s="2470"/>
      <c r="AE53" s="2610"/>
      <c r="AF53" s="2489"/>
      <c r="AG53" s="2647"/>
      <c r="AH53" s="2391"/>
      <c r="AI53" s="2610"/>
      <c r="AJ53" s="2489"/>
      <c r="AK53" s="2611"/>
      <c r="AL53" s="2391"/>
      <c r="AM53" s="2484"/>
      <c r="AN53" s="2489"/>
      <c r="AO53" s="2641"/>
      <c r="AP53" s="2643"/>
      <c r="AQ53" s="600"/>
      <c r="AR53" s="700"/>
      <c r="AS53" s="700" t="s">
        <v>574</v>
      </c>
      <c r="AT53" s="1677"/>
      <c r="AU53" s="1780"/>
      <c r="AV53" s="1677"/>
      <c r="AW53" s="1780"/>
      <c r="AX53" s="1677"/>
      <c r="AY53" s="1677"/>
      <c r="AZ53" s="1677"/>
      <c r="BA53" s="1677"/>
      <c r="BB53" s="1681"/>
      <c r="BC53" s="2538"/>
      <c r="BE53" s="784"/>
      <c r="BF53" s="784"/>
      <c r="BG53" s="784"/>
      <c r="BH53" s="784"/>
      <c r="BI53" s="1439">
        <v>11</v>
      </c>
    </row>
    <row customHeight="1" ht="11.549999999999999">
      <c r="A54" s="1647" t="s">
        <v>321</v>
      </c>
      <c r="B54" s="1647"/>
      <c r="C54" s="1647"/>
      <c r="D54" s="1647"/>
      <c r="E54" s="2543"/>
      <c r="F54" s="2543"/>
      <c r="G54" s="2543"/>
      <c r="H54" s="2543"/>
      <c r="I54" s="2570"/>
      <c r="J54" s="2570"/>
      <c r="K54" s="2540"/>
      <c r="L54" s="1648"/>
      <c r="P54" s="2541"/>
      <c r="Q54" s="2541"/>
      <c r="R54" s="641"/>
      <c r="S54" s="2626"/>
      <c r="T54" s="2645"/>
      <c r="U54" s="584"/>
      <c r="V54" s="1677"/>
      <c r="W54" s="1780"/>
      <c r="X54" s="1677"/>
      <c r="Y54" s="1780"/>
      <c r="Z54" s="1677"/>
      <c r="AA54" s="1677"/>
      <c r="AB54" s="1677"/>
      <c r="AC54" s="1677"/>
      <c r="AD54" s="2470"/>
      <c r="AE54" s="2610"/>
      <c r="AF54" s="2489"/>
      <c r="AG54" s="2647"/>
      <c r="AH54" s="2391"/>
      <c r="AI54" s="2610"/>
      <c r="AJ54" s="2489"/>
      <c r="AK54" s="2611"/>
      <c r="AL54" s="2391"/>
      <c r="AM54" s="600"/>
      <c r="AN54" s="1784"/>
      <c r="AO54" s="1784" t="s">
        <v>575</v>
      </c>
      <c r="AP54" s="700"/>
      <c r="AQ54" s="700"/>
      <c r="AR54" s="700"/>
      <c r="AS54" s="1677"/>
      <c r="AT54" s="1677"/>
      <c r="AU54" s="1780"/>
      <c r="AV54" s="1677"/>
      <c r="AW54" s="1780"/>
      <c r="AX54" s="1677"/>
      <c r="AY54" s="1677"/>
      <c r="AZ54" s="1677"/>
      <c r="BA54" s="1677"/>
      <c r="BB54" s="1681"/>
      <c r="BC54" s="2538"/>
      <c r="BE54" s="784"/>
      <c r="BF54" s="784"/>
      <c r="BG54" s="784"/>
      <c r="BH54" s="784"/>
      <c r="BI54" s="1439">
        <v>11</v>
      </c>
    </row>
    <row customHeight="1" ht="11.549999999999999">
      <c r="A55" s="1647" t="s">
        <v>321</v>
      </c>
      <c r="B55" s="1647"/>
      <c r="C55" s="1647"/>
      <c r="D55" s="1647"/>
      <c r="E55" s="2543"/>
      <c r="F55" s="2543"/>
      <c r="G55" s="2543"/>
      <c r="H55" s="2543"/>
      <c r="I55" s="2570"/>
      <c r="J55" s="2570"/>
      <c r="K55" s="2540"/>
      <c r="L55" s="1648"/>
      <c r="P55" s="2541"/>
      <c r="Q55" s="2541"/>
      <c r="R55" s="641"/>
      <c r="S55" s="2626"/>
      <c r="T55" s="2645"/>
      <c r="U55" s="584"/>
      <c r="V55" s="1677"/>
      <c r="W55" s="1780"/>
      <c r="X55" s="1677"/>
      <c r="Y55" s="1780"/>
      <c r="Z55" s="1677"/>
      <c r="AA55" s="1677"/>
      <c r="AB55" s="1677"/>
      <c r="AC55" s="1677"/>
      <c r="AD55" s="2470"/>
      <c r="AE55" s="2610"/>
      <c r="AF55" s="2489"/>
      <c r="AG55" s="2647"/>
      <c r="AH55" s="2391"/>
      <c r="AI55" s="578"/>
      <c r="AJ55" s="699"/>
      <c r="AK55" s="597" t="s">
        <v>576</v>
      </c>
      <c r="AL55" s="1677"/>
      <c r="AM55" s="1677"/>
      <c r="AN55" s="1677"/>
      <c r="AO55" s="1677"/>
      <c r="AP55" s="1677"/>
      <c r="AQ55" s="1677"/>
      <c r="AR55" s="1677"/>
      <c r="AS55" s="1677"/>
      <c r="AT55" s="1677"/>
      <c r="AU55" s="1780"/>
      <c r="AV55" s="1677"/>
      <c r="AW55" s="1780"/>
      <c r="AX55" s="1677"/>
      <c r="AY55" s="1677"/>
      <c r="AZ55" s="1677"/>
      <c r="BA55" s="1677"/>
      <c r="BB55" s="1681"/>
      <c r="BC55" s="2538"/>
      <c r="BE55" s="784"/>
      <c r="BF55" s="784"/>
      <c r="BG55" s="784"/>
      <c r="BH55" s="784"/>
      <c r="BI55" s="1439">
        <v>11</v>
      </c>
    </row>
    <row customHeight="1" ht="11.549999999999999">
      <c r="A56" s="1647" t="s">
        <v>321</v>
      </c>
      <c r="B56" s="1647" t="s">
        <v>322</v>
      </c>
      <c r="C56" s="1647" t="s">
        <v>323</v>
      </c>
      <c r="D56" s="1647" t="s">
        <v>616</v>
      </c>
      <c r="E56" s="2543"/>
      <c r="F56" s="2543"/>
      <c r="G56" s="2543"/>
      <c r="H56" s="2543"/>
      <c r="I56" s="2570"/>
      <c r="J56" s="2570"/>
      <c r="K56" s="2540"/>
      <c r="L56" s="1648"/>
      <c r="P56" s="2541"/>
      <c r="Q56" s="2541"/>
      <c r="R56" s="641"/>
      <c r="S56" s="2627"/>
      <c r="T56" s="2646"/>
      <c r="U56" s="584"/>
      <c r="V56" s="1677"/>
      <c r="W56" s="1678" t="str">
        <f>Z52&amp;"-"&amp;AB52</f>
        <v>-</v>
      </c>
      <c r="X56" s="1677"/>
      <c r="Y56" s="1678" t="str">
        <f>AB52&amp;"-"&amp;AD52</f>
        <v>-да</v>
      </c>
      <c r="Z56" s="1677"/>
      <c r="AA56" s="1677"/>
      <c r="AB56" s="1677"/>
      <c r="AC56" s="1677"/>
      <c r="AD56" s="2396"/>
      <c r="AE56" s="596"/>
      <c r="AF56" s="598"/>
      <c r="AG56" s="700" t="s">
        <v>577</v>
      </c>
      <c r="AH56" s="1677"/>
      <c r="AI56" s="1677"/>
      <c r="AJ56" s="1677"/>
      <c r="AK56" s="1677"/>
      <c r="AL56" s="1677"/>
      <c r="AM56" s="1677"/>
      <c r="AN56" s="1677"/>
      <c r="AO56" s="1677"/>
      <c r="AP56" s="1677"/>
      <c r="AQ56" s="1677"/>
      <c r="AR56" s="1677"/>
      <c r="AS56" s="1677"/>
      <c r="AT56" s="1677"/>
      <c r="AU56" s="1678" t="str">
        <f>AX52&amp;"-"&amp;AZ52</f>
        <v>-</v>
      </c>
      <c r="AV56" s="1677"/>
      <c r="AW56" s="1678" t="str">
        <f>AZ52&amp;"-"&amp;BB52</f>
        <v>-</v>
      </c>
      <c r="AX56" s="1677"/>
      <c r="AY56" s="1677"/>
      <c r="AZ56" s="1677"/>
      <c r="BA56" s="1677"/>
      <c r="BB56" s="1680" t="str">
        <f>BE52&amp;"-"&amp;BG52</f>
        <v>-</v>
      </c>
      <c r="BC56" s="2538"/>
      <c r="BE56" s="784"/>
      <c r="BF56" s="784" t="str">
        <f>IF(T56="","",T56)</f>
        <v/>
      </c>
      <c r="BG56" s="784"/>
      <c r="BH56" s="784"/>
      <c r="BI56" s="1439">
        <v>11</v>
      </c>
    </row>
    <row customHeight="1" ht="11.549999999999999">
      <c r="A57" s="1647" t="s">
        <v>321</v>
      </c>
      <c r="B57" s="1647" t="s">
        <v>322</v>
      </c>
      <c r="C57" s="1647" t="s">
        <v>323</v>
      </c>
      <c r="D57" s="1647" t="s">
        <v>616</v>
      </c>
      <c r="E57" s="2543"/>
      <c r="F57" s="2543"/>
      <c r="G57" s="2543"/>
      <c r="H57" s="2543"/>
      <c r="I57" s="2570"/>
      <c r="J57" s="2540"/>
      <c r="K57" s="1647"/>
      <c r="L57" s="1648"/>
      <c r="P57" s="2541"/>
      <c r="Q57" s="2541"/>
      <c r="R57" s="640"/>
      <c r="S57" s="1562"/>
      <c r="T57" s="571" t="s">
        <v>540</v>
      </c>
      <c r="U57" s="651"/>
      <c r="V57" s="651"/>
      <c r="W57" s="651"/>
      <c r="X57" s="651"/>
      <c r="Y57" s="651"/>
      <c r="Z57" s="651"/>
      <c r="AA57" s="651"/>
      <c r="AB57" s="651"/>
      <c r="AC57" s="608"/>
      <c r="AD57" s="1789"/>
      <c r="AE57" s="651"/>
      <c r="AF57" s="651"/>
      <c r="AG57" s="651"/>
      <c r="AH57" s="651"/>
      <c r="AI57" s="651"/>
      <c r="AJ57" s="651"/>
      <c r="AK57" s="651"/>
      <c r="AL57" s="651"/>
      <c r="AM57" s="651"/>
      <c r="AN57" s="651"/>
      <c r="AO57" s="651"/>
      <c r="AP57" s="651"/>
      <c r="AQ57" s="651"/>
      <c r="AR57" s="651"/>
      <c r="AS57" s="651"/>
      <c r="AT57" s="651"/>
      <c r="AU57" s="651"/>
      <c r="AV57" s="651"/>
      <c r="AW57" s="651"/>
      <c r="AX57" s="651"/>
      <c r="AY57" s="651"/>
      <c r="AZ57" s="651"/>
      <c r="BA57" s="651"/>
      <c r="BB57" s="608"/>
      <c r="BC57" s="2539"/>
      <c r="BE57" s="784"/>
      <c r="BF57" s="784" t="str">
        <f>IF(T57="","",T57)</f>
        <v>Добавить строку</v>
      </c>
      <c r="BG57" s="784"/>
      <c r="BH57" s="784"/>
      <c r="BI57" s="1439">
        <v>11</v>
      </c>
    </row>
    <row s="30621" customFormat="1" customHeight="1" ht="0">
      <c r="A58" s="1627" t="s">
        <v>321</v>
      </c>
      <c r="B58" s="1627" t="s">
        <v>322</v>
      </c>
      <c r="C58" s="1627" t="s">
        <v>323</v>
      </c>
      <c r="D58" s="1627" t="s">
        <v>616</v>
      </c>
      <c r="E58" s="2543"/>
      <c r="F58" s="2543"/>
      <c r="G58" s="2543"/>
      <c r="H58" s="2543"/>
      <c r="I58" s="2540"/>
      <c r="J58" s="1627"/>
      <c r="K58" s="1627"/>
      <c r="L58" s="1630"/>
      <c r="M58" s="794"/>
      <c r="N58" s="794"/>
      <c r="O58" s="794"/>
      <c r="P58" s="2541"/>
      <c r="Q58" s="1765"/>
      <c r="R58" s="640"/>
      <c r="S58" s="1670"/>
      <c r="T58" s="1671"/>
      <c r="U58" s="1672"/>
      <c r="V58" s="1672"/>
      <c r="W58" s="1672"/>
      <c r="X58" s="1672"/>
      <c r="Y58" s="1672"/>
      <c r="Z58" s="1672"/>
      <c r="AA58" s="1672"/>
      <c r="AB58" s="1672"/>
      <c r="AC58" s="1672"/>
      <c r="AD58" s="1672"/>
      <c r="AE58" s="1672"/>
      <c r="AF58" s="1672"/>
      <c r="AG58" s="1672"/>
      <c r="AH58" s="1672"/>
      <c r="AI58" s="1672"/>
      <c r="AJ58" s="1672"/>
      <c r="AK58" s="1672"/>
      <c r="AL58" s="1672"/>
      <c r="AM58" s="1672"/>
      <c r="AN58" s="1672"/>
      <c r="AO58" s="1672"/>
      <c r="AP58" s="1672"/>
      <c r="AQ58" s="1672"/>
      <c r="AR58" s="1672"/>
      <c r="AS58" s="1672"/>
      <c r="AT58" s="1672"/>
      <c r="AU58" s="1672"/>
      <c r="AV58" s="1672"/>
      <c r="AW58" s="1672"/>
      <c r="AX58" s="1672"/>
      <c r="AY58" s="1672"/>
      <c r="AZ58" s="1672"/>
      <c r="BA58" s="1672"/>
      <c r="BB58" s="1672"/>
      <c r="BC58" s="1673"/>
      <c r="BE58" s="784"/>
      <c r="BF58" s="784" t="str">
        <f>IF(T58="","",T58)</f>
        <v/>
      </c>
      <c r="BG58" s="784"/>
      <c r="BH58" s="784"/>
      <c r="BI58" s="795">
        <v>0</v>
      </c>
    </row>
    <row s="30621" customFormat="1" customHeight="1" ht="0">
      <c r="A59" s="1627" t="s">
        <v>321</v>
      </c>
      <c r="B59" s="1627" t="s">
        <v>322</v>
      </c>
      <c r="C59" s="1627" t="s">
        <v>323</v>
      </c>
      <c r="D59" s="1627" t="s">
        <v>616</v>
      </c>
      <c r="E59" s="2543"/>
      <c r="F59" s="2543"/>
      <c r="G59" s="2543"/>
      <c r="H59" s="2542"/>
      <c r="I59" s="1627"/>
      <c r="J59" s="1627"/>
      <c r="K59" s="1627"/>
      <c r="L59" s="1630"/>
      <c r="M59" s="1599"/>
      <c r="N59" s="1599"/>
      <c r="O59" s="802"/>
      <c r="P59" s="664"/>
      <c r="Q59" s="1628"/>
      <c r="R59" s="1685"/>
      <c r="S59" s="1670"/>
      <c r="T59" s="1671"/>
      <c r="U59" s="1672"/>
      <c r="V59" s="1672"/>
      <c r="W59" s="1672"/>
      <c r="X59" s="1672"/>
      <c r="Y59" s="1672"/>
      <c r="Z59" s="1672"/>
      <c r="AA59" s="1672"/>
      <c r="AB59" s="1672"/>
      <c r="AC59" s="1672"/>
      <c r="AD59" s="1672"/>
      <c r="AE59" s="1672"/>
      <c r="AF59" s="1672"/>
      <c r="AG59" s="1672"/>
      <c r="AH59" s="1672"/>
      <c r="AI59" s="1672"/>
      <c r="AJ59" s="1672"/>
      <c r="AK59" s="1672"/>
      <c r="AL59" s="1672"/>
      <c r="AM59" s="1672"/>
      <c r="AN59" s="1672"/>
      <c r="AO59" s="1672"/>
      <c r="AP59" s="1672"/>
      <c r="AQ59" s="1672"/>
      <c r="AR59" s="1672"/>
      <c r="AS59" s="1672"/>
      <c r="AT59" s="1672"/>
      <c r="AU59" s="1672"/>
      <c r="AV59" s="1672"/>
      <c r="AW59" s="1672"/>
      <c r="AX59" s="1672"/>
      <c r="AY59" s="1672"/>
      <c r="AZ59" s="1672"/>
      <c r="BA59" s="1672"/>
      <c r="BB59" s="1672"/>
      <c r="BC59" s="1673"/>
      <c r="BE59" s="784"/>
      <c r="BF59" s="784" t="str">
        <f>IF(T59="","",T59)</f>
        <v/>
      </c>
      <c r="BG59" s="784"/>
      <c r="BH59" s="784"/>
      <c r="BI59" s="795">
        <v>0</v>
      </c>
    </row>
    <row s="30621" customFormat="1" customHeight="1" ht="0">
      <c r="A60" s="1627" t="s">
        <v>321</v>
      </c>
      <c r="B60" s="1627" t="s">
        <v>322</v>
      </c>
      <c r="C60" s="1627" t="s">
        <v>323</v>
      </c>
      <c r="D60" s="1598"/>
      <c r="E60" s="2543"/>
      <c r="F60" s="2543"/>
      <c r="G60" s="2542"/>
      <c r="H60" s="1598"/>
      <c r="I60" s="1598"/>
      <c r="J60" s="1598"/>
      <c r="K60" s="1598"/>
      <c r="L60" s="1778"/>
      <c r="M60" s="1599"/>
      <c r="N60" s="1599"/>
      <c r="P60" s="1600"/>
      <c r="Q60" s="1601"/>
      <c r="R60" s="1600"/>
      <c r="S60" s="1606"/>
      <c r="T60" s="1609"/>
      <c r="U60" s="1608"/>
      <c r="V60" s="1608"/>
      <c r="W60" s="1608"/>
      <c r="X60" s="1608"/>
      <c r="Y60" s="1608"/>
      <c r="Z60" s="1608"/>
      <c r="AA60" s="1608"/>
      <c r="AB60" s="1608"/>
      <c r="AC60" s="1608"/>
      <c r="AD60" s="1608"/>
      <c r="AE60" s="1608"/>
      <c r="AF60" s="1608"/>
      <c r="AG60" s="1608"/>
      <c r="AH60" s="1608"/>
      <c r="AI60" s="1608"/>
      <c r="AJ60" s="1608"/>
      <c r="AK60" s="1608"/>
      <c r="AL60" s="1608"/>
      <c r="AM60" s="1608"/>
      <c r="AN60" s="1608"/>
      <c r="AO60" s="1608"/>
      <c r="AP60" s="1608"/>
      <c r="AQ60" s="1608"/>
      <c r="AR60" s="1608"/>
      <c r="AS60" s="1608"/>
      <c r="AT60" s="1608"/>
      <c r="AU60" s="1608"/>
      <c r="AV60" s="1608"/>
      <c r="AW60" s="1608"/>
      <c r="AX60" s="1608"/>
      <c r="AY60" s="1608"/>
      <c r="AZ60" s="1608"/>
      <c r="BA60" s="1608"/>
      <c r="BB60" s="1608"/>
      <c r="BC60" s="1608"/>
      <c r="BE60" s="1073"/>
      <c r="BF60" s="1073" t="str">
        <f>IF(T60="","",T60)</f>
        <v/>
      </c>
      <c r="BG60" s="1073"/>
      <c r="BH60" s="1073"/>
      <c r="BI60" s="802">
        <v>0</v>
      </c>
    </row>
    <row s="30621" customFormat="1" customHeight="1" ht="0">
      <c r="A61" s="1627" t="s">
        <v>321</v>
      </c>
      <c r="B61" s="1627" t="s">
        <v>322</v>
      </c>
      <c r="C61" s="1598"/>
      <c r="D61" s="1598"/>
      <c r="E61" s="2543"/>
      <c r="F61" s="2542"/>
      <c r="G61" s="1598"/>
      <c r="H61" s="1598"/>
      <c r="I61" s="1598"/>
      <c r="J61" s="1598"/>
      <c r="K61" s="1598"/>
      <c r="L61" s="1778"/>
      <c r="M61" s="1605"/>
      <c r="N61" s="1605"/>
      <c r="P61" s="1600"/>
      <c r="Q61" s="1601"/>
      <c r="R61" s="1600"/>
      <c r="S61" s="1606"/>
      <c r="T61" s="1609" t="s">
        <v>214</v>
      </c>
      <c r="U61" s="1608"/>
      <c r="V61" s="1608"/>
      <c r="W61" s="1608"/>
      <c r="X61" s="1608"/>
      <c r="Y61" s="1608"/>
      <c r="Z61" s="1608"/>
      <c r="AA61" s="1608"/>
      <c r="AB61" s="1608"/>
      <c r="AC61" s="1608"/>
      <c r="AD61" s="1608"/>
      <c r="AE61" s="1608"/>
      <c r="AF61" s="1608"/>
      <c r="AG61" s="1608"/>
      <c r="AH61" s="1608"/>
      <c r="AI61" s="1608"/>
      <c r="AJ61" s="1608"/>
      <c r="AK61" s="1608"/>
      <c r="AL61" s="1608"/>
      <c r="AM61" s="1608"/>
      <c r="AN61" s="1608"/>
      <c r="AO61" s="1608"/>
      <c r="AP61" s="1608"/>
      <c r="AQ61" s="1608"/>
      <c r="AR61" s="1608"/>
      <c r="AS61" s="1608"/>
      <c r="AT61" s="1608"/>
      <c r="AU61" s="1608"/>
      <c r="AV61" s="1608"/>
      <c r="AW61" s="1608"/>
      <c r="AX61" s="1608"/>
      <c r="AY61" s="1608"/>
      <c r="AZ61" s="1608"/>
      <c r="BA61" s="1608"/>
      <c r="BB61" s="1608"/>
      <c r="BC61" s="1608"/>
      <c r="BE61" s="1073"/>
      <c r="BF61" s="1073" t="str">
        <f>IF(T61="","",T61)</f>
        <v>Добавить централизованную систему для дифференциации</v>
      </c>
      <c r="BG61" s="1073"/>
      <c r="BH61" s="1073"/>
      <c r="BI61" s="802">
        <v>0</v>
      </c>
    </row>
    <row s="30621" customFormat="1" customHeight="1" ht="0">
      <c r="A62" s="1627" t="s">
        <v>321</v>
      </c>
      <c r="B62" s="1627"/>
      <c r="C62" s="1627"/>
      <c r="D62" s="1627"/>
      <c r="E62" s="2542"/>
      <c r="F62" s="1627"/>
      <c r="G62" s="1627"/>
      <c r="H62" s="1627"/>
      <c r="I62" s="1627"/>
      <c r="J62" s="1627"/>
      <c r="K62" s="1627"/>
      <c r="L62" s="1630"/>
      <c r="M62" s="1605"/>
      <c r="N62" s="1605"/>
      <c r="O62" s="802"/>
      <c r="P62" s="664"/>
      <c r="Q62" s="1628"/>
      <c r="R62" s="664"/>
      <c r="S62" s="1606"/>
      <c r="T62" s="1609" t="s">
        <v>230</v>
      </c>
      <c r="U62" s="1608"/>
      <c r="V62" s="1608"/>
      <c r="W62" s="1608"/>
      <c r="X62" s="1608"/>
      <c r="Y62" s="1608"/>
      <c r="Z62" s="1608"/>
      <c r="AA62" s="1608"/>
      <c r="AB62" s="1608"/>
      <c r="AC62" s="1608"/>
      <c r="AD62" s="1608"/>
      <c r="AE62" s="1608"/>
      <c r="AF62" s="1608"/>
      <c r="AG62" s="1608"/>
      <c r="AH62" s="1608"/>
      <c r="AI62" s="1608"/>
      <c r="AJ62" s="1608"/>
      <c r="AK62" s="1608"/>
      <c r="AL62" s="1608"/>
      <c r="AM62" s="1608"/>
      <c r="AN62" s="1608"/>
      <c r="AO62" s="1608"/>
      <c r="AP62" s="1608"/>
      <c r="AQ62" s="1608"/>
      <c r="AR62" s="1608"/>
      <c r="AS62" s="1608"/>
      <c r="AT62" s="1608"/>
      <c r="AU62" s="1608"/>
      <c r="AV62" s="1608"/>
      <c r="AW62" s="1608"/>
      <c r="AX62" s="1608"/>
      <c r="AY62" s="1608"/>
      <c r="AZ62" s="1608"/>
      <c r="BA62" s="1608"/>
      <c r="BB62" s="1608"/>
      <c r="BC62" s="1608"/>
      <c r="BE62" s="784"/>
      <c r="BF62" s="784" t="str">
        <f>IF(T62="","",T62)</f>
        <v>Добавить территорию для дифференциации</v>
      </c>
      <c r="BG62" s="784"/>
      <c r="BH62" s="784"/>
      <c r="BI62" s="795">
        <v>0</v>
      </c>
    </row>
    <row s="30621" customFormat="1" customHeight="1" ht="0">
      <c r="A63" s="1598"/>
      <c r="B63" s="1598"/>
      <c r="C63" s="1598"/>
      <c r="D63" s="1598"/>
      <c r="E63" s="1627"/>
      <c r="F63" s="1598"/>
      <c r="G63" s="1598"/>
      <c r="H63" s="1598"/>
      <c r="I63" s="1598"/>
      <c r="J63" s="1598"/>
      <c r="K63" s="1598"/>
      <c r="L63" s="1778"/>
      <c r="M63" s="1605"/>
      <c r="N63" s="1605"/>
      <c r="P63" s="1600"/>
      <c r="Q63" s="1601"/>
      <c r="R63" s="1600"/>
      <c r="S63" s="1606"/>
      <c r="T63" s="1609" t="s">
        <v>239</v>
      </c>
      <c r="U63" s="1608"/>
      <c r="V63" s="1608"/>
      <c r="W63" s="1608"/>
      <c r="X63" s="1608"/>
      <c r="Y63" s="1608"/>
      <c r="Z63" s="1608"/>
      <c r="AA63" s="1608"/>
      <c r="AB63" s="1608"/>
      <c r="AC63" s="1608"/>
      <c r="AD63" s="1608"/>
      <c r="AE63" s="1608"/>
      <c r="AF63" s="1608"/>
      <c r="AG63" s="1608"/>
      <c r="AH63" s="1608"/>
      <c r="AI63" s="1608"/>
      <c r="AJ63" s="1608"/>
      <c r="AK63" s="1608"/>
      <c r="AL63" s="1608"/>
      <c r="AM63" s="1608"/>
      <c r="AN63" s="1608"/>
      <c r="AO63" s="1608"/>
      <c r="AP63" s="1608"/>
      <c r="AQ63" s="1608"/>
      <c r="AR63" s="1608"/>
      <c r="AS63" s="1608"/>
      <c r="AT63" s="1608"/>
      <c r="AU63" s="1608"/>
      <c r="AV63" s="1608"/>
      <c r="AW63" s="1608"/>
      <c r="AX63" s="1608"/>
      <c r="AY63" s="1608"/>
      <c r="AZ63" s="1608"/>
      <c r="BA63" s="1608"/>
      <c r="BB63" s="1608"/>
      <c r="BC63" s="1608"/>
      <c r="BE63" s="1073"/>
      <c r="BF63" s="1073" t="str">
        <f>IF(T63="","",T63)</f>
        <v>Добавить наименование тарифа</v>
      </c>
      <c r="BG63" s="1073"/>
      <c r="BH63" s="1073"/>
      <c r="BI63" s="802">
        <v>0</v>
      </c>
    </row>
    <row customHeight="1" ht="11.549999999999999">
      <c r="M64" s="1444"/>
      <c r="N64" s="1444"/>
      <c r="O64" s="821"/>
      <c r="P64" s="1444"/>
      <c r="Q64" s="1444"/>
      <c r="R64" s="1439"/>
      <c r="S64" s="1439"/>
      <c r="BD64" s="1439"/>
      <c r="BE64" s="1439"/>
      <c r="BF64" s="1439"/>
      <c r="BG64" s="1439"/>
      <c r="BH64" s="1439"/>
      <c r="BI64" s="1439">
        <v>11</v>
      </c>
    </row>
    <row customHeight="1" ht="19.95">
      <c r="O65" s="821"/>
      <c r="S65" s="1537"/>
      <c r="T65" s="2569"/>
      <c r="U65" s="2569"/>
      <c r="V65" s="2569"/>
      <c r="W65" s="2569"/>
      <c r="X65" s="2569"/>
      <c r="Y65" s="2569"/>
      <c r="Z65" s="2569"/>
      <c r="AA65" s="2569"/>
      <c r="AB65" s="2569"/>
      <c r="AC65" s="2569"/>
      <c r="AD65" s="2569"/>
      <c r="AE65" s="2569"/>
      <c r="AF65" s="2569"/>
      <c r="AG65" s="2569"/>
      <c r="AH65" s="2569"/>
      <c r="AI65" s="2569"/>
      <c r="AJ65" s="2569"/>
      <c r="AK65" s="2569"/>
      <c r="AL65" s="2569"/>
      <c r="AM65" s="2569"/>
      <c r="AN65" s="2569"/>
      <c r="AO65" s="2569"/>
      <c r="AP65" s="2569"/>
      <c r="AQ65" s="2569"/>
      <c r="AR65" s="2569"/>
      <c r="AS65" s="2569"/>
      <c r="AT65" s="2569"/>
      <c r="AU65" s="2569"/>
      <c r="AV65" s="2569"/>
      <c r="AW65" s="2569"/>
      <c r="AX65" s="2569"/>
      <c r="AY65" s="2569"/>
      <c r="AZ65" s="2569"/>
      <c r="BA65" s="2569"/>
      <c r="BB65" s="2569"/>
      <c r="BC65" s="2569"/>
      <c r="BI65" s="1439">
        <v>19</v>
      </c>
    </row>
    <row customHeight="1" ht="14.699999999999998">
      <c r="O66" s="821"/>
      <c r="T66" s="1764"/>
      <c r="U66" s="1764"/>
      <c r="V66" s="1764"/>
      <c r="W66" s="1764"/>
      <c r="X66" s="1764"/>
      <c r="Y66" s="1764"/>
      <c r="Z66" s="1764"/>
      <c r="AA66" s="1764"/>
      <c r="AB66" s="1764"/>
      <c r="AC66" s="1764"/>
      <c r="AD66" s="1764"/>
      <c r="AE66" s="1764"/>
      <c r="AF66" s="1764"/>
      <c r="AG66" s="1764"/>
      <c r="AH66" s="1764"/>
      <c r="AI66" s="1764"/>
      <c r="AJ66" s="1764"/>
      <c r="AK66" s="1764"/>
      <c r="AL66" s="1764"/>
      <c r="AM66" s="1764"/>
      <c r="AN66" s="1764"/>
      <c r="AO66" s="1764"/>
      <c r="AP66" s="1764"/>
      <c r="AQ66" s="1764"/>
      <c r="AR66" s="1764"/>
      <c r="AS66" s="1764"/>
      <c r="AT66" s="1764"/>
      <c r="AU66" s="1764"/>
      <c r="AV66" s="1764"/>
      <c r="AW66" s="1764"/>
      <c r="AX66" s="1764"/>
      <c r="AY66" s="1764"/>
      <c r="AZ66" s="1764"/>
      <c r="BA66" s="1764"/>
      <c r="BB66" s="1764"/>
      <c r="BC66" s="1764"/>
      <c r="BI66" s="1439">
        <v>14</v>
      </c>
    </row>
    <row customHeight="1" ht="19.95">
      <c r="O67" s="821"/>
      <c r="S67" s="1537"/>
      <c r="T67" s="2569"/>
      <c r="U67" s="2569"/>
      <c r="V67" s="2569"/>
      <c r="W67" s="2569"/>
      <c r="X67" s="2569"/>
      <c r="Y67" s="2569"/>
      <c r="Z67" s="2569"/>
      <c r="AA67" s="2569"/>
      <c r="AB67" s="2569"/>
      <c r="AC67" s="2569"/>
      <c r="AD67" s="2569"/>
      <c r="AE67" s="2569"/>
      <c r="AF67" s="2569"/>
      <c r="AG67" s="2569"/>
      <c r="AH67" s="2569"/>
      <c r="AI67" s="2569"/>
      <c r="AJ67" s="2569"/>
      <c r="AK67" s="2569"/>
      <c r="AL67" s="2569"/>
      <c r="AM67" s="2569"/>
      <c r="AN67" s="2569"/>
      <c r="AO67" s="2569"/>
      <c r="AP67" s="2569"/>
      <c r="AQ67" s="2569"/>
      <c r="AR67" s="2569"/>
      <c r="AS67" s="2569"/>
      <c r="AT67" s="2569"/>
      <c r="AU67" s="2569"/>
      <c r="AV67" s="2569"/>
      <c r="AW67" s="2569"/>
      <c r="AX67" s="2569"/>
      <c r="AY67" s="2569"/>
      <c r="AZ67" s="2569"/>
      <c r="BA67" s="2569"/>
      <c r="BB67" s="2569"/>
      <c r="BC67" s="2569"/>
      <c r="BI67" s="1439">
        <v>19</v>
      </c>
    </row>
    <row customHeight="1" ht="14.699999999999998">
      <c r="O68" s="821"/>
      <c r="BI68" s="1439">
        <v>14</v>
      </c>
    </row>
    <row customHeight="1" ht="14.25" hidden="1">
      <c r="A69" s="1444" t="s">
        <v>85</v>
      </c>
      <c r="B69" s="1444">
        <v>0</v>
      </c>
      <c r="C69" s="1444">
        <v>0</v>
      </c>
      <c r="D69" s="1444">
        <v>0</v>
      </c>
      <c r="E69" s="1444">
        <v>0</v>
      </c>
      <c r="F69" s="1444">
        <v>0</v>
      </c>
      <c r="G69" s="1444">
        <v>0</v>
      </c>
      <c r="H69" s="1444">
        <v>0</v>
      </c>
      <c r="I69" s="1444">
        <v>0</v>
      </c>
      <c r="J69" s="1444">
        <v>0</v>
      </c>
      <c r="K69" s="1444">
        <v>0</v>
      </c>
      <c r="L69" s="1762">
        <v>0</v>
      </c>
      <c r="M69" s="1646">
        <v>0</v>
      </c>
      <c r="N69" s="1646">
        <v>0</v>
      </c>
      <c r="O69" s="1646">
        <v>0</v>
      </c>
      <c r="P69" s="1646">
        <v>0</v>
      </c>
      <c r="Q69" s="1655">
        <v>0</v>
      </c>
      <c r="R69" s="628">
        <v>3</v>
      </c>
      <c r="S69" s="865">
        <v>12</v>
      </c>
      <c r="T69" s="1439">
        <v>31</v>
      </c>
      <c r="U69" s="1439">
        <v>0</v>
      </c>
      <c r="V69" s="1439">
        <v>0</v>
      </c>
      <c r="W69" s="1439">
        <v>0</v>
      </c>
      <c r="X69" s="1439">
        <v>0</v>
      </c>
      <c r="Y69" s="1439">
        <v>0</v>
      </c>
      <c r="Z69" s="1439">
        <v>0</v>
      </c>
      <c r="AA69" s="1439">
        <v>0</v>
      </c>
      <c r="AB69" s="1439">
        <v>0</v>
      </c>
      <c r="AC69" s="1439">
        <v>0</v>
      </c>
      <c r="AD69" s="1439">
        <v>3</v>
      </c>
      <c r="AE69" s="1439">
        <v>3</v>
      </c>
      <c r="AF69" s="1439">
        <v>3</v>
      </c>
      <c r="AG69" s="1439">
        <v>24</v>
      </c>
      <c r="AH69" s="1439">
        <v>3</v>
      </c>
      <c r="AI69" s="1439">
        <v>3</v>
      </c>
      <c r="AJ69" s="1439">
        <v>3</v>
      </c>
      <c r="AK69" s="1439">
        <v>24</v>
      </c>
      <c r="AL69" s="1439">
        <v>3</v>
      </c>
      <c r="AM69" s="1439">
        <v>3</v>
      </c>
      <c r="AN69" s="1439">
        <v>3</v>
      </c>
      <c r="AO69" s="1439">
        <v>18</v>
      </c>
      <c r="AP69" s="1439">
        <v>3</v>
      </c>
      <c r="AQ69" s="1439">
        <v>3</v>
      </c>
      <c r="AR69" s="1439">
        <v>3</v>
      </c>
      <c r="AS69" s="1439">
        <v>18</v>
      </c>
      <c r="AT69" s="1439">
        <v>21</v>
      </c>
      <c r="AU69" s="1439">
        <v>21</v>
      </c>
      <c r="AV69" s="1439">
        <v>21</v>
      </c>
      <c r="AW69" s="1439">
        <v>21</v>
      </c>
      <c r="AX69" s="1439">
        <v>11</v>
      </c>
      <c r="AY69" s="1439">
        <v>3</v>
      </c>
      <c r="AZ69" s="1439">
        <v>11</v>
      </c>
      <c r="BA69" s="1439">
        <v>0</v>
      </c>
      <c r="BB69" s="1439">
        <v>4</v>
      </c>
      <c r="BC69" s="1439">
        <v>115</v>
      </c>
      <c r="BD69" s="795">
        <v>10</v>
      </c>
      <c r="BE69" s="795">
        <v>10</v>
      </c>
      <c r="BF69" s="795">
        <v>10</v>
      </c>
      <c r="BG69" s="795">
        <v>10</v>
      </c>
      <c r="BH69" s="795">
        <v>10</v>
      </c>
      <c r="BI69" s="1439">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3700C5-7E4B-73DE-2CAB-AE75EF606F0A}" mc:Ignorable="x14ac xr xr2 xr3">
  <sheetPr>
    <tabColor theme="9" tint="-0.25"/>
  </sheetPr>
  <dimension ref="A1:AF303"/>
  <sheetViews>
    <sheetView showGridLines="0" zoomScale="90" workbookViewId="0">
      <pane xSplit="8" ySplit="29" topLeftCell="I30" activePane="bottomRight" state="frozen"/>
      <selection pane="bottomLeft" activeCell="A30" sqref="A30"/>
      <selection pane="topRight" activeCell="I1" sqref="I1"/>
      <selection pane="bottomRight" activeCell="A1" sqref="A1"/>
    </sheetView>
  </sheetViews>
  <sheetFormatPr defaultColWidth="9.140625" customHeight="1" defaultRowHeight="11.25"/>
  <cols>
    <col min="1" max="1" style="37533" width="10.7109375" hidden="1" customWidth="1"/>
    <col min="2" max="2" style="30620" width="16.8515625" hidden="1" customWidth="1"/>
    <col min="3" max="3" style="30621" width="5.57421875" hidden="1" customWidth="1"/>
    <col min="4" max="4" style="30541" width="3.00390625" customWidth="1"/>
    <col min="5" max="5" style="30541" width="7.00390625" customWidth="1"/>
    <col min="6" max="6" style="30541" width="54.00390625" customWidth="1"/>
    <col min="7" max="7" style="30541" width="10.00390625" customWidth="1"/>
    <col min="8" max="8" style="30541" width="40.7109375" hidden="1" customWidth="1"/>
    <col min="9" max="9" style="30541" width="40.7109375" customWidth="1"/>
    <col min="10" max="10" style="30541" width="102.00390625" customWidth="1"/>
    <col min="11" max="11" style="30620" width="9.00390625" customWidth="1"/>
    <col min="12" max="12" style="30621" width="5.00390625" customWidth="1"/>
    <col min="13" max="13" style="30621" width="3.00390625" customWidth="1"/>
    <col min="14" max="17" style="30620" width="3.00390625" customWidth="1"/>
    <col min="18" max="18" style="30621" width="10.00390625" customWidth="1"/>
    <col min="19" max="19" style="30620" width="34.00390625" customWidth="1"/>
    <col min="20" max="20" style="30620" width="9.00390625" customWidth="1"/>
    <col min="21" max="21" style="37534" width="8.00390625" customWidth="1"/>
    <col min="22" max="26" style="30620" width="8.00390625" customWidth="1"/>
    <col min="27" max="31" style="30505" width="8.00390625" customWidth="1"/>
    <col min="32" max="32" style="30541" width="9.140625" hidden="1"/>
  </cols>
  <sheetData>
    <row customHeight="1" ht="22.5" hidden="1">
      <c r="AF1" s="1915" t="s">
        <v>14</v>
      </c>
    </row>
    <row customHeight="1" ht="23.25" hidden="1">
      <c r="B2" s="2383"/>
      <c r="C2" s="1451" t="s">
        <v>617</v>
      </c>
      <c r="D2" s="1922"/>
      <c r="E2" s="830">
        <f>B2</f>
        <v>0</v>
      </c>
      <c r="F2" s="831"/>
      <c r="G2" s="1930" t="s">
        <v>618</v>
      </c>
      <c r="H2" s="1930" t="s">
        <v>618</v>
      </c>
      <c r="I2" s="1930" t="s">
        <v>618</v>
      </c>
      <c r="J2" s="573" t="s">
        <v>619</v>
      </c>
      <c r="K2" s="827"/>
      <c r="AF2" s="1915">
        <v>0</v>
      </c>
    </row>
    <row s="30621" customFormat="1" customHeight="1" ht="0.75" hidden="1">
      <c r="B3" s="2383"/>
      <c r="C3" s="1451"/>
      <c r="D3" s="832"/>
      <c r="E3" s="833"/>
      <c r="F3" s="834" t="s">
        <v>620</v>
      </c>
      <c r="G3" s="835"/>
      <c r="H3" s="835">
        <f>H4*H5+H7</f>
        <v>0</v>
      </c>
      <c r="I3" s="835">
        <f>I4*I5+I6</f>
        <v>0</v>
      </c>
      <c r="J3" s="836"/>
      <c r="AF3" s="1920">
        <v>0</v>
      </c>
    </row>
    <row customHeight="1" ht="23.25" hidden="1">
      <c r="B4" s="2383"/>
      <c r="C4" s="1451"/>
      <c r="D4" s="1922"/>
      <c r="E4" s="830" t="str">
        <f>B2&amp;".1"</f>
        <v>.1</v>
      </c>
      <c r="F4" s="837" t="s">
        <v>621</v>
      </c>
      <c r="G4" s="838"/>
      <c r="H4" s="825"/>
      <c r="I4" s="825"/>
      <c r="J4" s="573" t="s">
        <v>622</v>
      </c>
      <c r="K4" s="827"/>
      <c r="AF4" s="1915">
        <v>0</v>
      </c>
    </row>
    <row customHeight="1" ht="18.75" hidden="1">
      <c r="B5" s="2383"/>
      <c r="C5" s="1451"/>
      <c r="D5" s="1922"/>
      <c r="E5" s="830" t="str">
        <f>B2&amp;".2"</f>
        <v>.2</v>
      </c>
      <c r="F5" s="837" t="s">
        <v>623</v>
      </c>
      <c r="G5" s="1930" t="s">
        <v>624</v>
      </c>
      <c r="H5" s="825"/>
      <c r="I5" s="825"/>
      <c r="J5" s="573"/>
      <c r="K5" s="827"/>
      <c r="AF5" s="1915">
        <v>0</v>
      </c>
    </row>
    <row customHeight="1" ht="18.75" hidden="1">
      <c r="B6" s="2383"/>
      <c r="C6" s="1451"/>
      <c r="D6" s="1922"/>
      <c r="E6" s="830" t="str">
        <f>B2&amp;".3"</f>
        <v>.3</v>
      </c>
      <c r="F6" s="837" t="s">
        <v>625</v>
      </c>
      <c r="G6" s="1930" t="s">
        <v>624</v>
      </c>
      <c r="H6" s="825"/>
      <c r="I6" s="825"/>
      <c r="J6" s="573"/>
      <c r="K6" s="827"/>
      <c r="AF6" s="1915">
        <v>0</v>
      </c>
    </row>
    <row customHeight="1" ht="18.75" hidden="1">
      <c r="B7" s="2383"/>
      <c r="C7" s="1451"/>
      <c r="D7" s="1922"/>
      <c r="E7" s="830" t="str">
        <f>B2&amp;".4"</f>
        <v>.4</v>
      </c>
      <c r="F7" s="837" t="s">
        <v>626</v>
      </c>
      <c r="G7" s="1930" t="s">
        <v>618</v>
      </c>
      <c r="H7" s="839"/>
      <c r="I7" s="839"/>
      <c r="J7" s="573"/>
      <c r="K7" s="827"/>
      <c r="AF7" s="1915">
        <v>0</v>
      </c>
    </row>
    <row s="30620" customFormat="1" customHeight="1" ht="11.25" hidden="1">
      <c r="A8" s="1271"/>
      <c r="C8" s="1920"/>
      <c r="D8" s="821"/>
      <c r="H8" s="1444">
        <v>4</v>
      </c>
      <c r="I8" s="1444">
        <v>4</v>
      </c>
      <c r="L8" s="1920"/>
      <c r="M8" s="1920"/>
      <c r="R8" s="1920"/>
      <c r="AF8" s="1444">
        <v>0</v>
      </c>
    </row>
    <row s="30620" customFormat="1" customHeight="1" ht="22.5" hidden="1">
      <c r="A9" s="1271"/>
      <c r="C9" s="1920"/>
      <c r="D9" s="822"/>
      <c r="E9" s="1932"/>
      <c r="F9" s="824"/>
      <c r="G9" s="1930" t="s">
        <v>624</v>
      </c>
      <c r="H9" s="825"/>
      <c r="I9" s="825"/>
      <c r="J9" s="826" t="s">
        <v>627</v>
      </c>
      <c r="K9" s="827"/>
      <c r="L9" s="1920"/>
      <c r="M9" s="1920"/>
      <c r="R9" s="1920"/>
      <c r="U9" s="828"/>
      <c r="AA9" s="1916"/>
      <c r="AB9" s="1916"/>
      <c r="AC9" s="1916"/>
      <c r="AD9" s="1916"/>
      <c r="AE9" s="1916"/>
      <c r="AF9" s="1444">
        <v>0</v>
      </c>
    </row>
    <row customHeight="1" ht="11.25" hidden="1">
      <c r="AF10" s="1915">
        <v>0</v>
      </c>
    </row>
    <row customHeight="1" ht="18.75" hidden="1">
      <c r="D11" s="1922"/>
      <c r="E11" s="830"/>
      <c r="F11" s="824"/>
      <c r="G11" s="1930" t="s">
        <v>628</v>
      </c>
      <c r="H11" s="825"/>
      <c r="I11" s="825"/>
      <c r="J11" s="573" t="s">
        <v>629</v>
      </c>
      <c r="K11" s="827"/>
      <c r="AF11" s="1915">
        <v>0</v>
      </c>
    </row>
    <row customHeight="1" ht="11.25" hidden="1">
      <c r="AF12" s="1915">
        <v>0</v>
      </c>
    </row>
    <row customHeight="1" ht="22.5" hidden="1">
      <c r="D13" s="1922"/>
      <c r="E13" s="830"/>
      <c r="F13" s="824"/>
      <c r="G13" s="1253" t="s">
        <v>630</v>
      </c>
      <c r="H13" s="829"/>
      <c r="I13" s="829"/>
      <c r="J13" s="1029" t="s">
        <v>631</v>
      </c>
      <c r="K13" s="827"/>
      <c r="AF13" s="1915">
        <v>0</v>
      </c>
    </row>
    <row customHeight="1" ht="11.25" hidden="1">
      <c r="AF14" s="1915">
        <v>0</v>
      </c>
    </row>
    <row customHeight="1" ht="22.5" hidden="1">
      <c r="D15" s="1922"/>
      <c r="E15" s="830"/>
      <c r="F15" s="824"/>
      <c r="G15" s="1930" t="s">
        <v>632</v>
      </c>
      <c r="H15" s="829"/>
      <c r="I15" s="829"/>
      <c r="J15" s="573" t="s">
        <v>633</v>
      </c>
      <c r="K15" s="827"/>
      <c r="AF15" s="1915">
        <v>0</v>
      </c>
    </row>
    <row customHeight="1" ht="11.25" hidden="1">
      <c r="AF16" s="1915">
        <v>0</v>
      </c>
    </row>
    <row customHeight="1" ht="22.5" hidden="1">
      <c r="D17" s="1922"/>
      <c r="E17" s="830"/>
      <c r="F17" s="824"/>
      <c r="G17" s="1930" t="s">
        <v>634</v>
      </c>
      <c r="H17" s="829"/>
      <c r="I17" s="829"/>
      <c r="J17" s="573" t="s">
        <v>635</v>
      </c>
      <c r="K17" s="827"/>
      <c r="AF17" s="1915">
        <v>0</v>
      </c>
    </row>
    <row customHeight="1" ht="11.25" hidden="1">
      <c r="AF18" s="1915">
        <v>0</v>
      </c>
    </row>
    <row s="30505" customFormat="1" customHeight="1" ht="11.25" hidden="1">
      <c r="A19" s="1271"/>
      <c r="B19" s="1444"/>
      <c r="C19" s="1920"/>
      <c r="D19" s="646"/>
      <c r="J19" s="1916">
        <v>4</v>
      </c>
      <c r="K19" s="1444"/>
      <c r="L19" s="1920"/>
      <c r="M19" s="1920"/>
      <c r="N19" s="1444"/>
      <c r="O19" s="1444"/>
      <c r="P19" s="1444"/>
      <c r="Q19" s="1444"/>
      <c r="R19" s="1920"/>
      <c r="S19" s="1444"/>
      <c r="T19" s="1444"/>
      <c r="U19" s="828"/>
      <c r="V19" s="1444"/>
      <c r="W19" s="1444"/>
      <c r="X19" s="1444"/>
      <c r="Y19" s="1444"/>
      <c r="Z19" s="1444"/>
      <c r="AF19" s="1916">
        <v>0</v>
      </c>
    </row>
    <row customHeight="1" ht="11.549999999999999">
      <c r="AF20" s="1915">
        <v>11</v>
      </c>
    </row>
    <row customHeight="1" ht="25.2">
      <c r="E21" s="253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532"/>
      <c r="G21" s="2532"/>
      <c r="H21" s="2532"/>
      <c r="I21" s="2532"/>
      <c r="J21" s="840"/>
      <c r="AF21" s="1915">
        <v>24</v>
      </c>
    </row>
    <row customHeight="1" ht="25.2">
      <c r="E22" s="2533" t="str">
        <f>IF(org=0,"Не определено",org)</f>
        <v>АО "ДГК"</v>
      </c>
      <c r="F22" s="2533"/>
      <c r="G22" s="2533"/>
      <c r="H22" s="2533"/>
      <c r="I22" s="2533"/>
      <c r="AF22" s="1915">
        <v>24</v>
      </c>
    </row>
    <row customHeight="1" ht="11.549999999999999">
      <c r="E23" s="1419"/>
      <c r="F23" s="1419"/>
      <c r="G23" s="1419"/>
      <c r="H23" s="1419"/>
      <c r="I23" s="1419"/>
      <c r="AF23" s="1915">
        <v>11</v>
      </c>
    </row>
    <row s="30621" customFormat="1" customHeight="1" ht="1.05">
      <c r="A24" s="1451"/>
      <c r="D24" s="1926"/>
      <c r="H24" s="1173"/>
      <c r="I24" s="1173" t="s">
        <v>147</v>
      </c>
      <c r="AF24" s="1920">
        <v>1</v>
      </c>
    </row>
    <row customHeight="1" ht="11.549999999999999">
      <c r="E25" s="995"/>
      <c r="F25" s="2651" t="s">
        <v>137</v>
      </c>
      <c r="G25" s="2652"/>
      <c r="H25" s="1936" t="str">
        <f>IF(H24="","",INDEX(DIFFERENTIATION_UNMERGE_VD,MATCH(H24,DIFFERENTIATION_ID_DIFF,0)))</f>
        <v/>
      </c>
      <c r="I25" s="1936">
        <f>IF(I24="","",INDEX(DIFFERENTIATION_UNMERGE_VD,MATCH(I24,DIFFERENTIATION_ID_DIFF,0)))</f>
        <v>0</v>
      </c>
      <c r="J25" s="2411"/>
      <c r="AF25" s="1915">
        <v>11</v>
      </c>
    </row>
    <row customHeight="1" ht="11.549999999999999">
      <c r="E26" s="995"/>
      <c r="F26" s="2651" t="s">
        <v>636</v>
      </c>
      <c r="G26" s="2652"/>
      <c r="H26" s="1936" t="str">
        <f>IF(H24="","",INDEX(DIFFERENTIATION_UNMERGE_AREA,MATCH(H24,DIFFERENTIATION_ID_DIFF,0)))</f>
        <v/>
      </c>
      <c r="I26" s="1936" t="str">
        <f>IF(I24="","",INDEX(DIFFERENTIATION_UNMERGE_AREA,MATCH(I24,DIFFERENTIATION_ID_DIFF,0)))</f>
        <v/>
      </c>
      <c r="J26" s="2411"/>
      <c r="AF26" s="1915">
        <v>11</v>
      </c>
    </row>
    <row customHeight="1" ht="11.549999999999999">
      <c r="E27" s="995"/>
      <c r="F27" s="2651" t="s">
        <v>637</v>
      </c>
      <c r="G27" s="2652"/>
      <c r="H27" s="1936" t="str">
        <f>IF(H24="","",INDEX(DIFFERENTIATION_UNMERGE_SYSTEM,MATCH(H24,DIFFERENTIATION_ID_DIFF,0)))</f>
        <v/>
      </c>
      <c r="I27" s="1936" t="str">
        <f>IF(I24="","",INDEX(DIFFERENTIATION_UNMERGE_SYSTEM,MATCH(I24,DIFFERENTIATION_ID_DIFF,0)))</f>
        <v>без дифференциации</v>
      </c>
      <c r="J27" s="2411"/>
      <c r="AF27" s="1915">
        <v>11</v>
      </c>
    </row>
    <row customHeight="1" ht="11.549999999999999">
      <c r="E28" s="2653" t="s">
        <v>360</v>
      </c>
      <c r="F28" s="2654"/>
      <c r="G28" s="2654"/>
      <c r="H28" s="1929"/>
      <c r="I28" s="1929"/>
      <c r="J28" s="2411"/>
      <c r="AF28" s="1915">
        <v>11</v>
      </c>
    </row>
    <row customHeight="1" ht="24">
      <c r="E29" s="1930" t="s">
        <v>91</v>
      </c>
      <c r="F29" s="1937" t="s">
        <v>362</v>
      </c>
      <c r="G29" s="1937" t="s">
        <v>638</v>
      </c>
      <c r="H29" s="1937" t="s">
        <v>363</v>
      </c>
      <c r="I29" s="1937" t="s">
        <v>363</v>
      </c>
      <c r="J29" s="2411"/>
      <c r="AF29" s="1915">
        <v>23</v>
      </c>
    </row>
    <row customHeight="1" ht="19.95">
      <c r="D30" s="1922"/>
      <c r="E30" s="830">
        <f>FHD_NUM_P_1</f>
        <v>1</v>
      </c>
      <c r="F30" s="2164" t="str">
        <f>FHD_P_1</f>
        <v>Выручка от регулируемого вида деятельности с распределением по видам деятельности</v>
      </c>
      <c r="G30" s="2162" t="s">
        <v>624</v>
      </c>
      <c r="H30" s="841"/>
      <c r="I30" s="841"/>
      <c r="J30" s="573" t="str">
        <f>FHD_NOTE_P_1</f>
        <v>Указывается выручка от регулируемого вида деятельности с распределением по видам деятельности.</v>
      </c>
      <c r="K30" s="827"/>
      <c r="AF30" s="1915">
        <v>19</v>
      </c>
    </row>
    <row customHeight="1" ht="11.549999999999999">
      <c r="D31" s="1922"/>
      <c r="E31" s="830">
        <f>FHD_NUM_P_2</f>
        <v>2</v>
      </c>
      <c r="F31" s="2164" t="str">
        <f>FHD_P_2</f>
        <v>Себестоимость производимых товаров (оказываемых услуг) по регулируемому виду деятельности, включая:</v>
      </c>
      <c r="G31" s="2162" t="s">
        <v>624</v>
      </c>
      <c r="H31" s="842">
        <f>SUMIF($K33:$K71,$K31,H33:H71)</f>
        <v>0</v>
      </c>
      <c r="I31" s="842">
        <f>SUMIF($K33:$K71,$K31,I33:I71)</f>
        <v>0</v>
      </c>
      <c r="J31" s="573" t="str">
        <f>FHD_NOTE_P_2</f>
        <v>Указывается суммарная себестоимость производимых товаров.</v>
      </c>
      <c r="K31" s="1920" t="s">
        <v>639</v>
      </c>
      <c r="AF31" s="1915">
        <v>11</v>
      </c>
    </row>
    <row customHeight="1" ht="11.549999999999999">
      <c r="D32" s="1922"/>
      <c r="E32" s="830" t="str">
        <f>FHD_NUM_P_3</f>
        <v>2.1</v>
      </c>
      <c r="F32" s="1808" t="str">
        <f>FHD_P_3</f>
        <v>Расходы на приобретаемую тепловую энергию (мощность), теплоноситель</v>
      </c>
      <c r="G32" s="2162" t="s">
        <v>624</v>
      </c>
      <c r="H32" s="841"/>
      <c r="I32" s="841"/>
      <c r="J32" s="573" t="str">
        <f>FHD_NOTE_P_3</f>
        <v/>
      </c>
      <c r="K32" s="1920" t="str">
        <f>IF((LEN(E32)-LEN(SUBSTITUTE(E32,".","")))/LEN(".")=1,"p","")</f>
        <v>p</v>
      </c>
      <c r="AF32" s="1915">
        <v>11</v>
      </c>
    </row>
    <row customHeight="1" ht="11.25">
      <c r="A33" s="2655" t="s">
        <v>640</v>
      </c>
      <c r="D33" s="1922"/>
      <c r="E33" s="830" t="str">
        <f>FHD_NUM_P_4</f>
        <v>2.2</v>
      </c>
      <c r="F33" s="180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162" t="s">
        <v>624</v>
      </c>
      <c r="H33" s="842">
        <f>SUMIF($F34:$F40,$F3,H34:H40)</f>
        <v>0</v>
      </c>
      <c r="I33" s="842">
        <f>SUMIF($F34:$F40,$F3,I34:I40)</f>
        <v>0</v>
      </c>
      <c r="J33" s="573" t="str">
        <f>FHD_NOTE_P_4</f>
        <v>Указываются суммарные расходы на приобретение топлива всех видов.</v>
      </c>
      <c r="K33" s="1920" t="str">
        <f>IF((LEN(E33)-LEN(SUBSTITUTE(E33,".","")))/LEN(".")=1,"p","")</f>
        <v>p</v>
      </c>
      <c r="AF33" s="1915">
        <v>0</v>
      </c>
    </row>
    <row s="31261" customFormat="1" customHeight="1" ht="0.75">
      <c r="A34" s="2655"/>
      <c r="B34" s="2656" t="str">
        <f>E33&amp;".0"</f>
        <v>2.2.0</v>
      </c>
      <c r="C34" s="1451"/>
      <c r="D34" s="844"/>
      <c r="E34" s="845"/>
      <c r="F34" s="846"/>
      <c r="G34" s="847"/>
      <c r="H34" s="781"/>
      <c r="I34" s="781"/>
      <c r="J34" s="848"/>
      <c r="K34" s="1920" t="str">
        <f>IF((LEN(E34)-LEN(SUBSTITUTE(E34,".","")))/LEN(".")=1,"p","")</f>
        <v/>
      </c>
      <c r="L34" s="1920"/>
      <c r="M34" s="1920"/>
      <c r="N34" s="1920"/>
      <c r="O34" s="1920"/>
      <c r="P34" s="1920"/>
      <c r="Q34" s="1920"/>
      <c r="R34" s="1920"/>
      <c r="S34" s="1920"/>
      <c r="T34" s="1920"/>
      <c r="U34" s="849"/>
      <c r="V34" s="1920"/>
      <c r="W34" s="1920"/>
      <c r="X34" s="1920"/>
      <c r="Y34" s="1920"/>
      <c r="Z34" s="1920"/>
      <c r="AA34" s="850"/>
      <c r="AB34" s="850"/>
      <c r="AC34" s="850"/>
      <c r="AD34" s="850"/>
      <c r="AE34" s="850"/>
      <c r="AF34" s="1925">
        <v>0</v>
      </c>
    </row>
    <row s="31261" customFormat="1" customHeight="1" ht="0.75">
      <c r="A35" s="2655"/>
      <c r="B35" s="2656"/>
      <c r="C35" s="1451"/>
      <c r="D35" s="844"/>
      <c r="E35" s="851"/>
      <c r="F35" s="852"/>
      <c r="G35" s="847"/>
      <c r="H35" s="853"/>
      <c r="I35" s="853"/>
      <c r="J35" s="848"/>
      <c r="K35" s="1920" t="str">
        <f>IF((LEN(E35)-LEN(SUBSTITUTE(E35,".","")))/LEN(".")=1,"p","")</f>
        <v/>
      </c>
      <c r="L35" s="1920"/>
      <c r="M35" s="1920"/>
      <c r="N35" s="1920"/>
      <c r="O35" s="1920"/>
      <c r="P35" s="1920"/>
      <c r="Q35" s="1920"/>
      <c r="R35" s="1920"/>
      <c r="S35" s="1920"/>
      <c r="T35" s="1920"/>
      <c r="U35" s="849"/>
      <c r="V35" s="1920"/>
      <c r="W35" s="1920"/>
      <c r="X35" s="1920"/>
      <c r="Y35" s="1920"/>
      <c r="Z35" s="1920"/>
      <c r="AA35" s="850"/>
      <c r="AB35" s="850"/>
      <c r="AC35" s="850"/>
      <c r="AD35" s="850"/>
      <c r="AE35" s="850"/>
      <c r="AF35" s="1925">
        <v>0</v>
      </c>
    </row>
    <row s="31261" customFormat="1" customHeight="1" ht="0.75">
      <c r="A36" s="2655"/>
      <c r="B36" s="2656"/>
      <c r="C36" s="1451"/>
      <c r="D36" s="844"/>
      <c r="E36" s="851"/>
      <c r="F36" s="852"/>
      <c r="G36" s="847"/>
      <c r="H36" s="853"/>
      <c r="I36" s="853"/>
      <c r="J36" s="848"/>
      <c r="K36" s="1920" t="str">
        <f>IF((LEN(E36)-LEN(SUBSTITUTE(E36,".","")))/LEN(".")=1,"p","")</f>
        <v/>
      </c>
      <c r="L36" s="1920"/>
      <c r="M36" s="1920"/>
      <c r="N36" s="1920"/>
      <c r="O36" s="1920"/>
      <c r="P36" s="1920"/>
      <c r="Q36" s="1920"/>
      <c r="R36" s="1920"/>
      <c r="S36" s="1920"/>
      <c r="T36" s="1920"/>
      <c r="U36" s="849"/>
      <c r="V36" s="1920"/>
      <c r="W36" s="1920"/>
      <c r="X36" s="1920"/>
      <c r="Y36" s="1920"/>
      <c r="Z36" s="1920"/>
      <c r="AA36" s="850"/>
      <c r="AB36" s="850"/>
      <c r="AC36" s="850"/>
      <c r="AD36" s="850"/>
      <c r="AE36" s="850"/>
      <c r="AF36" s="1925">
        <v>0</v>
      </c>
    </row>
    <row s="31261" customFormat="1" customHeight="1" ht="0.75">
      <c r="A37" s="2655"/>
      <c r="B37" s="2656"/>
      <c r="C37" s="1451"/>
      <c r="D37" s="844"/>
      <c r="E37" s="851"/>
      <c r="F37" s="852"/>
      <c r="G37" s="847"/>
      <c r="H37" s="853"/>
      <c r="I37" s="853"/>
      <c r="J37" s="848"/>
      <c r="K37" s="1920" t="str">
        <f>IF((LEN(E37)-LEN(SUBSTITUTE(E37,".","")))/LEN(".")=1,"p","")</f>
        <v/>
      </c>
      <c r="L37" s="1920"/>
      <c r="M37" s="1920"/>
      <c r="N37" s="1920"/>
      <c r="O37" s="1920"/>
      <c r="P37" s="1920"/>
      <c r="Q37" s="1920"/>
      <c r="R37" s="1920"/>
      <c r="S37" s="1920"/>
      <c r="T37" s="1920"/>
      <c r="U37" s="849"/>
      <c r="V37" s="1920"/>
      <c r="W37" s="1920"/>
      <c r="X37" s="1920"/>
      <c r="Y37" s="1920"/>
      <c r="Z37" s="1920"/>
      <c r="AA37" s="850"/>
      <c r="AB37" s="850"/>
      <c r="AC37" s="850"/>
      <c r="AD37" s="850"/>
      <c r="AE37" s="850"/>
      <c r="AF37" s="1925">
        <v>0</v>
      </c>
    </row>
    <row s="31261" customFormat="1" customHeight="1" ht="0.75">
      <c r="A38" s="2655"/>
      <c r="B38" s="2656"/>
      <c r="C38" s="1451"/>
      <c r="D38" s="844"/>
      <c r="E38" s="851"/>
      <c r="F38" s="852"/>
      <c r="G38" s="847"/>
      <c r="H38" s="853"/>
      <c r="I38" s="853"/>
      <c r="J38" s="848"/>
      <c r="K38" s="1920" t="str">
        <f>IF((LEN(E38)-LEN(SUBSTITUTE(E38,".","")))/LEN(".")=1,"p","")</f>
        <v/>
      </c>
      <c r="L38" s="1920"/>
      <c r="M38" s="1920"/>
      <c r="N38" s="1920"/>
      <c r="O38" s="1920"/>
      <c r="P38" s="1920"/>
      <c r="Q38" s="1920"/>
      <c r="R38" s="1920"/>
      <c r="S38" s="1920"/>
      <c r="T38" s="1920"/>
      <c r="U38" s="849"/>
      <c r="V38" s="1920"/>
      <c r="W38" s="1920"/>
      <c r="X38" s="1920"/>
      <c r="Y38" s="1920"/>
      <c r="Z38" s="1920"/>
      <c r="AA38" s="850"/>
      <c r="AB38" s="850"/>
      <c r="AC38" s="850"/>
      <c r="AD38" s="850"/>
      <c r="AE38" s="850"/>
      <c r="AF38" s="1925">
        <v>0</v>
      </c>
    </row>
    <row s="31261" customFormat="1" customHeight="1" ht="0.75">
      <c r="A39" s="2655"/>
      <c r="B39" s="2656"/>
      <c r="C39" s="1451"/>
      <c r="D39" s="844"/>
      <c r="E39" s="851"/>
      <c r="F39" s="852"/>
      <c r="G39" s="847"/>
      <c r="H39" s="781"/>
      <c r="I39" s="781"/>
      <c r="J39" s="848"/>
      <c r="K39" s="1920" t="str">
        <f>IF((LEN(E39)-LEN(SUBSTITUTE(E39,".","")))/LEN(".")=1,"p","")</f>
        <v/>
      </c>
      <c r="L39" s="1920"/>
      <c r="M39" s="1920"/>
      <c r="N39" s="1920"/>
      <c r="O39" s="1920"/>
      <c r="P39" s="1920"/>
      <c r="Q39" s="1920"/>
      <c r="R39" s="1920"/>
      <c r="S39" s="1920"/>
      <c r="T39" s="1920"/>
      <c r="U39" s="849"/>
      <c r="V39" s="1920"/>
      <c r="W39" s="1920"/>
      <c r="X39" s="1920"/>
      <c r="Y39" s="1920"/>
      <c r="Z39" s="1920"/>
      <c r="AA39" s="850"/>
      <c r="AB39" s="850"/>
      <c r="AC39" s="850"/>
      <c r="AD39" s="850"/>
      <c r="AE39" s="850"/>
      <c r="AF39" s="1925">
        <v>0</v>
      </c>
    </row>
    <row s="30620" customFormat="1" customHeight="1" ht="15">
      <c r="A40" s="2655"/>
      <c r="C40" s="1920"/>
      <c r="D40" s="1917"/>
      <c r="E40" s="854"/>
      <c r="F40" s="855" t="s">
        <v>641</v>
      </c>
      <c r="G40" s="856"/>
      <c r="H40" s="857"/>
      <c r="I40" s="857"/>
      <c r="J40" s="585"/>
      <c r="K40" s="1920" t="str">
        <f>IF((LEN(E40)-LEN(SUBSTITUTE(E40,".","")))/LEN(".")=1,"p","")</f>
        <v/>
      </c>
      <c r="L40" s="1920"/>
      <c r="M40" s="1920"/>
      <c r="R40" s="1920"/>
      <c r="U40" s="828"/>
      <c r="AA40" s="1916"/>
      <c r="AB40" s="1916"/>
      <c r="AC40" s="1916"/>
      <c r="AD40" s="1916"/>
      <c r="AE40" s="1916"/>
      <c r="AF40" s="1444">
        <v>0</v>
      </c>
    </row>
    <row customHeight="1" ht="11.25" hidden="1">
      <c r="A41" s="2655" t="s">
        <v>642</v>
      </c>
      <c r="D41" s="1922"/>
      <c r="E41" s="830" t="str">
        <f>FHD_NUM_P_5</f>
        <v/>
      </c>
      <c r="F41" s="1808" t="str">
        <f>FHD_P_5</f>
        <v/>
      </c>
      <c r="G41" s="2162" t="s">
        <v>624</v>
      </c>
      <c r="H41" s="841"/>
      <c r="I41" s="841"/>
      <c r="J41" s="573" t="str">
        <f>FHD_NOTE_P_5</f>
        <v/>
      </c>
      <c r="K41" s="1920" t="str">
        <f>IF((LEN(E41)-LEN(SUBSTITUTE(E41,".","")))/LEN(".")=1,"p","")</f>
        <v/>
      </c>
      <c r="AF41" s="1915">
        <v>0</v>
      </c>
    </row>
    <row customHeight="1" ht="11.25" hidden="1">
      <c r="A42" s="2655"/>
      <c r="D42" s="1922"/>
      <c r="E42" s="830" t="str">
        <f>FHD_NUM_P_6</f>
        <v/>
      </c>
      <c r="F42" s="1808" t="str">
        <f>FHD_P_6</f>
        <v/>
      </c>
      <c r="G42" s="2162" t="s">
        <v>624</v>
      </c>
      <c r="H42" s="841"/>
      <c r="I42" s="841"/>
      <c r="J42" s="573" t="str">
        <f>FHD_NOTE_P_6</f>
        <v/>
      </c>
      <c r="K42" s="1920" t="str">
        <f>IF((LEN(E42)-LEN(SUBSTITUTE(E42,".","")))/LEN(".")=1,"p","")</f>
        <v/>
      </c>
      <c r="AF42" s="1915">
        <v>0</v>
      </c>
    </row>
    <row customHeight="1" ht="11.25" hidden="1">
      <c r="A43" s="2655"/>
      <c r="D43" s="1922"/>
      <c r="E43" s="830" t="str">
        <f>FHD_NUM_P_7</f>
        <v/>
      </c>
      <c r="F43" s="1808" t="str">
        <f>FHD_P_7</f>
        <v/>
      </c>
      <c r="G43" s="2162" t="s">
        <v>624</v>
      </c>
      <c r="H43" s="841"/>
      <c r="I43" s="841"/>
      <c r="J43" s="573" t="str">
        <f>FHD_NOTE_P_7</f>
        <v/>
      </c>
      <c r="K43" s="1920" t="str">
        <f>IF((LEN(E43)-LEN(SUBSTITUTE(E43,".","")))/LEN(".")=1,"p","")</f>
        <v/>
      </c>
      <c r="AF43" s="1915">
        <v>0</v>
      </c>
    </row>
    <row customHeight="1" ht="11.549999999999999">
      <c r="D44" s="1922"/>
      <c r="E44" s="830" t="str">
        <f>FHD_NUM_P_8</f>
        <v>2.3</v>
      </c>
      <c r="F44" s="1808" t="str">
        <f>FHD_P_8</f>
        <v>Расходы на приобретаемую электрическую энергию (мощность), используемую в технологическом процессе</v>
      </c>
      <c r="G44" s="2162" t="s">
        <v>624</v>
      </c>
      <c r="H44" s="841"/>
      <c r="I44" s="841"/>
      <c r="J44" s="573" t="str">
        <f>FHD_NOTE_P_8</f>
        <v/>
      </c>
      <c r="K44" s="1920" t="str">
        <f>IF((LEN(E44)-LEN(SUBSTITUTE(E44,".","")))/LEN(".")=1,"p","")</f>
        <v>p</v>
      </c>
      <c r="AF44" s="1915">
        <v>11</v>
      </c>
    </row>
    <row customHeight="1" ht="11.549999999999999">
      <c r="D45" s="1922"/>
      <c r="E45" s="830" t="str">
        <f>FHD_NUM_P_9</f>
        <v>2.3.1</v>
      </c>
      <c r="F45" s="1934" t="str">
        <f>FHD_P_9</f>
        <v>Средневзвешенная стоимость 1 кВт.ч (с учетом мощности)</v>
      </c>
      <c r="G45" s="2162" t="s">
        <v>643</v>
      </c>
      <c r="H45" s="841"/>
      <c r="I45" s="841"/>
      <c r="J45" s="573" t="str">
        <f>FHD_NOTE_P_9</f>
        <v/>
      </c>
      <c r="K45" s="1920" t="str">
        <f>IF((LEN(E45)-LEN(SUBSTITUTE(E45,".","")))/LEN(".")=1,"p","")</f>
        <v/>
      </c>
      <c r="AF45" s="1915">
        <v>11</v>
      </c>
    </row>
    <row s="30620" customFormat="1" customHeight="1" ht="11.549999999999999">
      <c r="A46" s="1271"/>
      <c r="C46" s="1920"/>
      <c r="D46" s="858"/>
      <c r="E46" s="830" t="str">
        <f>FHD_NUM_P_10</f>
        <v>2.3.2</v>
      </c>
      <c r="F46" s="1934" t="str">
        <f>FHD_P_10</f>
        <v>Объём приобретения электрической энергии</v>
      </c>
      <c r="G46" s="2162" t="s">
        <v>644</v>
      </c>
      <c r="H46" s="841"/>
      <c r="I46" s="841"/>
      <c r="J46" s="573" t="str">
        <f>FHD_NOTE_P_10</f>
        <v/>
      </c>
      <c r="K46" s="1920" t="str">
        <f>IF((LEN(E46)-LEN(SUBSTITUTE(E46,".","")))/LEN(".")=1,"p","")</f>
        <v/>
      </c>
      <c r="L46" s="1920"/>
      <c r="M46" s="1920"/>
      <c r="R46" s="1920"/>
      <c r="U46" s="828"/>
      <c r="AA46" s="1916"/>
      <c r="AB46" s="1916"/>
      <c r="AC46" s="1916"/>
      <c r="AD46" s="1916"/>
      <c r="AE46" s="1916"/>
      <c r="AF46" s="1444">
        <v>11</v>
      </c>
    </row>
    <row s="30620" customFormat="1" customHeight="1" ht="11.25">
      <c r="A47" s="1273" t="s">
        <v>645</v>
      </c>
      <c r="C47" s="1920"/>
      <c r="D47" s="859"/>
      <c r="E47" s="830" t="str">
        <f>FHD_NUM_P_11</f>
        <v>2.4</v>
      </c>
      <c r="F47" s="1808" t="str">
        <f>FHD_P_11</f>
        <v>Расходы на приобретение холодной воды, используемой в технологическом процессе</v>
      </c>
      <c r="G47" s="2162" t="s">
        <v>624</v>
      </c>
      <c r="H47" s="841"/>
      <c r="I47" s="841"/>
      <c r="J47" s="573" t="str">
        <f>FHD_NOTE_P_11</f>
        <v/>
      </c>
      <c r="K47" s="1920" t="str">
        <f>IF((LEN(E47)-LEN(SUBSTITUTE(E47,".","")))/LEN(".")=1,"p","")</f>
        <v>p</v>
      </c>
      <c r="L47" s="1920"/>
      <c r="M47" s="1920"/>
      <c r="R47" s="1920"/>
      <c r="U47" s="828"/>
      <c r="AA47" s="1916"/>
      <c r="AB47" s="1916"/>
      <c r="AC47" s="1916"/>
      <c r="AD47" s="1916"/>
      <c r="AE47" s="1916"/>
      <c r="AF47" s="1444">
        <v>0</v>
      </c>
    </row>
    <row s="30620" customFormat="1" customHeight="1" ht="18.75">
      <c r="A48" s="1273" t="s">
        <v>646</v>
      </c>
      <c r="C48" s="1920"/>
      <c r="D48" s="1922"/>
      <c r="E48" s="830" t="str">
        <f>FHD_NUM_P_12</f>
        <v>2.5</v>
      </c>
      <c r="F48" s="1808" t="str">
        <f>FHD_P_12</f>
        <v>Расходы на  химические реагенты, используемые в технологическом процессе</v>
      </c>
      <c r="G48" s="2162" t="s">
        <v>624</v>
      </c>
      <c r="H48" s="861"/>
      <c r="I48" s="861"/>
      <c r="J48" s="573" t="str">
        <f>FHD_NOTE_P_12</f>
        <v/>
      </c>
      <c r="K48" s="1920" t="str">
        <f>IF((LEN(E48)-LEN(SUBSTITUTE(E48,".","")))/LEN(".")=1,"p","")</f>
        <v>p</v>
      </c>
      <c r="L48" s="1920"/>
      <c r="M48" s="1920"/>
      <c r="R48" s="1920"/>
      <c r="U48" s="828"/>
      <c r="AA48" s="1916"/>
      <c r="AB48" s="1916"/>
      <c r="AC48" s="1916"/>
      <c r="AD48" s="1916"/>
      <c r="AE48" s="1916"/>
      <c r="AF48" s="1444">
        <v>18</v>
      </c>
    </row>
    <row s="37472" customFormat="1" customHeight="1" ht="11.549999999999999">
      <c r="A49" s="1272"/>
      <c r="C49" s="1014"/>
      <c r="D49" s="957"/>
      <c r="E49" s="830" t="str">
        <f>FHD_NUM_P_13</f>
        <v>2.6</v>
      </c>
      <c r="F49" s="180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162" t="s">
        <v>624</v>
      </c>
      <c r="H49" s="841"/>
      <c r="I49" s="841"/>
      <c r="J49" s="573" t="str">
        <f>FHD_NOTE_P_13</f>
        <v/>
      </c>
      <c r="K49" s="1920" t="str">
        <f>IF((LEN(E49)-LEN(SUBSTITUTE(E49,".","")))/LEN(".")=1,"p","")</f>
        <v>p</v>
      </c>
      <c r="L49" s="1014"/>
      <c r="M49" s="1014"/>
      <c r="R49" s="1014"/>
      <c r="U49" s="1015"/>
      <c r="AA49" s="1016"/>
      <c r="AB49" s="1016"/>
      <c r="AC49" s="1016"/>
      <c r="AD49" s="1016"/>
      <c r="AE49" s="1016"/>
      <c r="AF49" s="1013">
        <v>11</v>
      </c>
    </row>
    <row s="37472" customFormat="1" customHeight="1" ht="11.549999999999999">
      <c r="A50" s="1272"/>
      <c r="C50" s="1014"/>
      <c r="D50" s="957"/>
      <c r="E50" s="830" t="str">
        <f>FHD_NUM_P_14</f>
        <v>2.6.1</v>
      </c>
      <c r="F50" s="1934" t="str">
        <f>FHD_P_14</f>
        <v>Расходы на оплату труда основного производственного персонала</v>
      </c>
      <c r="G50" s="2162" t="s">
        <v>624</v>
      </c>
      <c r="H50" s="841"/>
      <c r="I50" s="841"/>
      <c r="J50" s="573" t="str">
        <f>FHD_NOTE_P_14</f>
        <v/>
      </c>
      <c r="K50" s="1920" t="str">
        <f>IF((LEN(E50)-LEN(SUBSTITUTE(E50,".","")))/LEN(".")=1,"p","")</f>
        <v/>
      </c>
      <c r="L50" s="1014"/>
      <c r="M50" s="1014"/>
      <c r="R50" s="1014"/>
      <c r="U50" s="1015"/>
      <c r="AA50" s="1016"/>
      <c r="AB50" s="1016"/>
      <c r="AC50" s="1016"/>
      <c r="AD50" s="1016"/>
      <c r="AE50" s="1016"/>
      <c r="AF50" s="1013">
        <v>11</v>
      </c>
    </row>
    <row s="37472" customFormat="1" customHeight="1" ht="11.549999999999999">
      <c r="A51" s="1272"/>
      <c r="C51" s="1014"/>
      <c r="D51" s="957"/>
      <c r="E51" s="830" t="str">
        <f>FHD_NUM_P_15</f>
        <v>2.6.2</v>
      </c>
      <c r="F51" s="1934" t="str">
        <f>FHD_P_15</f>
        <v>Страховые взносы на обязательное социальное страхование, выплачиваемые из фонда оплаты труда основного производственного персонала</v>
      </c>
      <c r="G51" s="2162" t="s">
        <v>624</v>
      </c>
      <c r="H51" s="841"/>
      <c r="I51" s="841"/>
      <c r="J51" s="573" t="str">
        <f>FHD_NOTE_P_15</f>
        <v/>
      </c>
      <c r="K51" s="1920" t="str">
        <f>IF((LEN(E51)-LEN(SUBSTITUTE(E51,".","")))/LEN(".")=1,"p","")</f>
        <v/>
      </c>
      <c r="L51" s="1014"/>
      <c r="M51" s="1014"/>
      <c r="R51" s="1014"/>
      <c r="U51" s="1015"/>
      <c r="AA51" s="1016"/>
      <c r="AB51" s="1016"/>
      <c r="AC51" s="1016"/>
      <c r="AD51" s="1016"/>
      <c r="AE51" s="1016"/>
      <c r="AF51" s="1013">
        <v>11</v>
      </c>
    </row>
    <row s="30620" customFormat="1" customHeight="1" ht="11.549999999999999">
      <c r="A52" s="1271"/>
      <c r="C52" s="1920"/>
      <c r="D52" s="1922"/>
      <c r="E52" s="830" t="str">
        <f>FHD_NUM_P_16</f>
        <v>2.7</v>
      </c>
      <c r="F52" s="180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162" t="s">
        <v>624</v>
      </c>
      <c r="H52" s="841"/>
      <c r="I52" s="841"/>
      <c r="J52" s="573" t="str">
        <f>FHD_NOTE_P_16</f>
        <v/>
      </c>
      <c r="K52" s="1920" t="str">
        <f>IF((LEN(E52)-LEN(SUBSTITUTE(E52,".","")))/LEN(".")=1,"p","")</f>
        <v>p</v>
      </c>
      <c r="L52" s="1920"/>
      <c r="M52" s="1926"/>
      <c r="N52" s="821"/>
      <c r="O52" s="821"/>
      <c r="R52" s="1920"/>
      <c r="U52" s="828"/>
      <c r="AA52" s="1916"/>
      <c r="AB52" s="1916"/>
      <c r="AC52" s="1916"/>
      <c r="AD52" s="1916"/>
      <c r="AE52" s="1916"/>
      <c r="AF52" s="1444">
        <v>11</v>
      </c>
    </row>
    <row s="30620" customFormat="1" customHeight="1" ht="11.549999999999999">
      <c r="A53" s="1271"/>
      <c r="C53" s="1920"/>
      <c r="D53" s="1922"/>
      <c r="E53" s="830" t="str">
        <f>FHD_NUM_P_17</f>
        <v>2.7.1</v>
      </c>
      <c r="F53" s="1934" t="str">
        <f>FHD_P_17</f>
        <v>Расходы на оплату труда административно-управленческого персонала</v>
      </c>
      <c r="G53" s="2162" t="s">
        <v>624</v>
      </c>
      <c r="H53" s="841"/>
      <c r="I53" s="841"/>
      <c r="J53" s="573" t="str">
        <f>FHD_NOTE_P_17</f>
        <v/>
      </c>
      <c r="K53" s="1920" t="str">
        <f>IF((LEN(E53)-LEN(SUBSTITUTE(E53,".","")))/LEN(".")=1,"p","")</f>
        <v/>
      </c>
      <c r="L53" s="1920"/>
      <c r="M53" s="1926"/>
      <c r="N53" s="821"/>
      <c r="O53" s="821"/>
      <c r="R53" s="1920"/>
      <c r="U53" s="828"/>
      <c r="AA53" s="1916"/>
      <c r="AB53" s="1916"/>
      <c r="AC53" s="1916"/>
      <c r="AD53" s="1916"/>
      <c r="AE53" s="1916"/>
      <c r="AF53" s="1444">
        <v>11</v>
      </c>
    </row>
    <row s="30620" customFormat="1" customHeight="1" ht="11.549999999999999">
      <c r="A54" s="1271"/>
      <c r="C54" s="1920"/>
      <c r="D54" s="1922"/>
      <c r="E54" s="830" t="str">
        <f>FHD_NUM_P_18</f>
        <v>2.7.2</v>
      </c>
      <c r="F54" s="1934"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162" t="s">
        <v>624</v>
      </c>
      <c r="H54" s="841"/>
      <c r="I54" s="841"/>
      <c r="J54" s="573" t="str">
        <f>FHD_NOTE_P_18</f>
        <v/>
      </c>
      <c r="K54" s="1920" t="str">
        <f>IF((LEN(E54)-LEN(SUBSTITUTE(E54,".","")))/LEN(".")=1,"p","")</f>
        <v/>
      </c>
      <c r="L54" s="1920"/>
      <c r="M54" s="1926"/>
      <c r="N54" s="821"/>
      <c r="O54" s="821"/>
      <c r="R54" s="1920"/>
      <c r="U54" s="828"/>
      <c r="AA54" s="1916"/>
      <c r="AB54" s="1916"/>
      <c r="AC54" s="1916"/>
      <c r="AD54" s="1916"/>
      <c r="AE54" s="1916"/>
      <c r="AF54" s="1444">
        <v>11</v>
      </c>
    </row>
    <row s="30620" customFormat="1" customHeight="1" ht="11.549999999999999">
      <c r="A55" s="1271"/>
      <c r="C55" s="1920"/>
      <c r="D55" s="859"/>
      <c r="E55" s="830" t="str">
        <f>FHD_NUM_P_19</f>
        <v>2.8</v>
      </c>
      <c r="F55" s="1808" t="str">
        <f>FHD_P_19</f>
        <v>Расходы на амортизацию основных средств и нематериальных активов</v>
      </c>
      <c r="G55" s="2162" t="s">
        <v>624</v>
      </c>
      <c r="H55" s="841"/>
      <c r="I55" s="841"/>
      <c r="J55" s="573" t="str">
        <f>FHD_NOTE_P_19</f>
        <v/>
      </c>
      <c r="K55" s="1920" t="str">
        <f>IF((LEN(E55)-LEN(SUBSTITUTE(E55,".","")))/LEN(".")=1,"p","")</f>
        <v>p</v>
      </c>
      <c r="L55" s="1920"/>
      <c r="M55" s="1920"/>
      <c r="R55" s="1920"/>
      <c r="U55" s="828"/>
      <c r="AA55" s="1916"/>
      <c r="AB55" s="1916"/>
      <c r="AC55" s="1916"/>
      <c r="AD55" s="1916"/>
      <c r="AE55" s="1916"/>
      <c r="AF55" s="1444">
        <v>11</v>
      </c>
    </row>
    <row s="30620" customFormat="1" customHeight="1" ht="11.549999999999999">
      <c r="A56" s="1271"/>
      <c r="C56" s="1920"/>
      <c r="D56" s="859"/>
      <c r="E56" s="830" t="str">
        <f>FHD_NUM_P_20</f>
        <v>2.8.1</v>
      </c>
      <c r="F56" s="1934" t="str">
        <f>FHD_P_20</f>
        <v>Расходы на амортизацию основных средств</v>
      </c>
      <c r="G56" s="2162" t="s">
        <v>624</v>
      </c>
      <c r="H56" s="841"/>
      <c r="I56" s="841"/>
      <c r="J56" s="573" t="str">
        <f>FHD_NOTE_P_20</f>
        <v/>
      </c>
      <c r="K56" s="1920" t="str">
        <f>IF((LEN(E56)-LEN(SUBSTITUTE(E56,".","")))/LEN(".")=1,"p","")</f>
        <v/>
      </c>
      <c r="L56" s="1920"/>
      <c r="M56" s="1920"/>
      <c r="R56" s="1920"/>
      <c r="U56" s="828"/>
      <c r="AA56" s="1916"/>
      <c r="AB56" s="1916"/>
      <c r="AC56" s="1916"/>
      <c r="AD56" s="1916"/>
      <c r="AE56" s="1916"/>
      <c r="AF56" s="1444">
        <v>11</v>
      </c>
    </row>
    <row s="30620" customFormat="1" customHeight="1" ht="11.549999999999999">
      <c r="A57" s="1271"/>
      <c r="C57" s="1920"/>
      <c r="D57" s="859"/>
      <c r="E57" s="830" t="str">
        <f>FHD_NUM_P_21</f>
        <v>2.8.2</v>
      </c>
      <c r="F57" s="1934" t="str">
        <f>FHD_P_21</f>
        <v>Расходы на амортизацию нематериальных активов</v>
      </c>
      <c r="G57" s="2162" t="s">
        <v>624</v>
      </c>
      <c r="H57" s="841"/>
      <c r="I57" s="841"/>
      <c r="J57" s="573" t="str">
        <f>FHD_NOTE_P_21</f>
        <v/>
      </c>
      <c r="K57" s="1920" t="str">
        <f>IF((LEN(E57)-LEN(SUBSTITUTE(E57,".","")))/LEN(".")=1,"p","")</f>
        <v/>
      </c>
      <c r="L57" s="1920"/>
      <c r="M57" s="1920"/>
      <c r="R57" s="1920"/>
      <c r="U57" s="828"/>
      <c r="AA57" s="1916"/>
      <c r="AB57" s="1916"/>
      <c r="AC57" s="1916"/>
      <c r="AD57" s="1916"/>
      <c r="AE57" s="1916"/>
      <c r="AF57" s="1444">
        <v>11</v>
      </c>
    </row>
    <row s="30620" customFormat="1" customHeight="1" ht="11.549999999999999">
      <c r="A58" s="1271"/>
      <c r="C58" s="1920"/>
      <c r="D58" s="1922"/>
      <c r="E58" s="830" t="str">
        <f>FHD_NUM_P_22</f>
        <v>2.9</v>
      </c>
      <c r="F58" s="1808" t="str">
        <f>FHD_P_22</f>
        <v>Расходы на аренду имущества, используемого для осуществления регулируемого вида деятельности</v>
      </c>
      <c r="G58" s="2162" t="s">
        <v>624</v>
      </c>
      <c r="H58" s="841"/>
      <c r="I58" s="841"/>
      <c r="J58" s="573" t="str">
        <f>FHD_NOTE_P_22</f>
        <v/>
      </c>
      <c r="K58" s="1920" t="str">
        <f>IF((LEN(E58)-LEN(SUBSTITUTE(E58,".","")))/LEN(".")=1,"p","")</f>
        <v>p</v>
      </c>
      <c r="L58" s="1920"/>
      <c r="M58" s="1920"/>
      <c r="R58" s="1920"/>
      <c r="U58" s="828"/>
      <c r="AA58" s="1916"/>
      <c r="AB58" s="1916"/>
      <c r="AC58" s="1916"/>
      <c r="AD58" s="1916"/>
      <c r="AE58" s="1916"/>
      <c r="AF58" s="1444">
        <v>11</v>
      </c>
    </row>
    <row s="30620" customFormat="1" customHeight="1" ht="11.549999999999999">
      <c r="A59" s="1271"/>
      <c r="C59" s="1920"/>
      <c r="D59" s="859"/>
      <c r="E59" s="830" t="str">
        <f>FHD_NUM_P_23</f>
        <v>2.10</v>
      </c>
      <c r="F59" s="1808" t="str">
        <f>FHD_P_23</f>
        <v>Общепроизводственные расходы, в том числе:</v>
      </c>
      <c r="G59" s="2162" t="s">
        <v>624</v>
      </c>
      <c r="H59" s="841"/>
      <c r="I59" s="841"/>
      <c r="J59" s="573" t="str">
        <f>FHD_NOTE_P_23</f>
        <v>Указывается общая сумма общепроизводственных расходов.</v>
      </c>
      <c r="K59" s="1920" t="str">
        <f>IF((LEN(E59)-LEN(SUBSTITUTE(E59,".","")))/LEN(".")=1,"p","")</f>
        <v>p</v>
      </c>
      <c r="L59" s="1920"/>
      <c r="M59" s="1920"/>
      <c r="R59" s="1920"/>
      <c r="U59" s="828"/>
      <c r="AA59" s="1916"/>
      <c r="AB59" s="1916"/>
      <c r="AC59" s="1916"/>
      <c r="AD59" s="1916"/>
      <c r="AE59" s="1916"/>
      <c r="AF59" s="1444">
        <v>11</v>
      </c>
    </row>
    <row s="30620" customFormat="1" customHeight="1" ht="11.549999999999999">
      <c r="A60" s="1271"/>
      <c r="C60" s="1920"/>
      <c r="D60" s="859"/>
      <c r="E60" s="830" t="str">
        <f>FHD_NUM_P_24</f>
        <v>2.10.1</v>
      </c>
      <c r="F60" s="1934" t="str">
        <f>FHD_P_24</f>
        <v>Расходы на текущий ремонт</v>
      </c>
      <c r="G60" s="2162" t="s">
        <v>624</v>
      </c>
      <c r="H60" s="841"/>
      <c r="I60" s="841"/>
      <c r="J60" s="573" t="str">
        <f>FHD_NOTE_P_24</f>
        <v>Указываются расходы на текущий ремонт, отнесенные к общепроизводственным расходам.</v>
      </c>
      <c r="K60" s="1920" t="str">
        <f>IF((LEN(E60)-LEN(SUBSTITUTE(E60,".","")))/LEN(".")=1,"p","")</f>
        <v/>
      </c>
      <c r="L60" s="1920"/>
      <c r="M60" s="1920"/>
      <c r="R60" s="1920"/>
      <c r="U60" s="828"/>
      <c r="AA60" s="1916"/>
      <c r="AB60" s="1916"/>
      <c r="AC60" s="1916"/>
      <c r="AD60" s="1916"/>
      <c r="AE60" s="1916"/>
      <c r="AF60" s="1444">
        <v>11</v>
      </c>
    </row>
    <row s="30620" customFormat="1" customHeight="1" ht="11.549999999999999">
      <c r="A61" s="1271"/>
      <c r="C61" s="1920"/>
      <c r="D61" s="859"/>
      <c r="E61" s="830" t="str">
        <f>FHD_NUM_P_25</f>
        <v>2.10.2</v>
      </c>
      <c r="F61" s="1934" t="str">
        <f>FHD_P_25</f>
        <v>Расходы на капитальный ремонт</v>
      </c>
      <c r="G61" s="2162" t="s">
        <v>624</v>
      </c>
      <c r="H61" s="841"/>
      <c r="I61" s="841"/>
      <c r="J61" s="573" t="str">
        <f>FHD_NOTE_P_25</f>
        <v>Указываются расходы на капитальный ремонт, отнесенные к общепроизводственным расходам.</v>
      </c>
      <c r="K61" s="1920" t="str">
        <f>IF((LEN(E61)-LEN(SUBSTITUTE(E61,".","")))/LEN(".")=1,"p","")</f>
        <v/>
      </c>
      <c r="L61" s="1920"/>
      <c r="M61" s="1920"/>
      <c r="R61" s="1920"/>
      <c r="U61" s="828"/>
      <c r="AA61" s="1916"/>
      <c r="AB61" s="1916"/>
      <c r="AC61" s="1916"/>
      <c r="AD61" s="1916"/>
      <c r="AE61" s="1916"/>
      <c r="AF61" s="1444">
        <v>11</v>
      </c>
    </row>
    <row s="30620" customFormat="1" customHeight="1" ht="11.549999999999999">
      <c r="A62" s="1271"/>
      <c r="C62" s="1920"/>
      <c r="D62" s="1922"/>
      <c r="E62" s="830" t="str">
        <f>FHD_NUM_P_26</f>
        <v>2.11</v>
      </c>
      <c r="F62" s="1808" t="str">
        <f>FHD_P_26</f>
        <v>Общехозяйственные расходы, в том числе:</v>
      </c>
      <c r="G62" s="2162" t="s">
        <v>624</v>
      </c>
      <c r="H62" s="841"/>
      <c r="I62" s="841"/>
      <c r="J62" s="573" t="str">
        <f>FHD_NOTE_P_26</f>
        <v>Указывается общая сумма общехозяйственных расходов.</v>
      </c>
      <c r="K62" s="1920" t="str">
        <f>IF((LEN(E62)-LEN(SUBSTITUTE(E62,".","")))/LEN(".")=1,"p","")</f>
        <v>p</v>
      </c>
      <c r="L62" s="1920"/>
      <c r="M62" s="1920"/>
      <c r="R62" s="1920"/>
      <c r="U62" s="828"/>
      <c r="AA62" s="1916"/>
      <c r="AB62" s="1916"/>
      <c r="AC62" s="1916"/>
      <c r="AD62" s="1916"/>
      <c r="AE62" s="1916"/>
      <c r="AF62" s="1444">
        <v>11</v>
      </c>
    </row>
    <row s="30620" customFormat="1" customHeight="1" ht="11.549999999999999">
      <c r="A63" s="1271"/>
      <c r="C63" s="1920"/>
      <c r="D63" s="1922"/>
      <c r="E63" s="830" t="str">
        <f>FHD_NUM_P_27</f>
        <v>2.11.1</v>
      </c>
      <c r="F63" s="1934" t="str">
        <f>FHD_P_27</f>
        <v>Расходы на текущий ремонт</v>
      </c>
      <c r="G63" s="2162" t="s">
        <v>624</v>
      </c>
      <c r="H63" s="841"/>
      <c r="I63" s="841"/>
      <c r="J63" s="573" t="str">
        <f>FHD_NOTE_P_27</f>
        <v>Указываются расходы на текущий ремонт, отнесенные к общехозяйственным расходам.</v>
      </c>
      <c r="K63" s="1920" t="str">
        <f>IF((LEN(E63)-LEN(SUBSTITUTE(E63,".","")))/LEN(".")=1,"p","")</f>
        <v/>
      </c>
      <c r="L63" s="1920"/>
      <c r="M63" s="1920"/>
      <c r="R63" s="1920"/>
      <c r="U63" s="828"/>
      <c r="AA63" s="1916"/>
      <c r="AB63" s="1916"/>
      <c r="AC63" s="1916"/>
      <c r="AD63" s="1916"/>
      <c r="AE63" s="1916"/>
      <c r="AF63" s="1444">
        <v>11</v>
      </c>
    </row>
    <row s="30620" customFormat="1" customHeight="1" ht="11.549999999999999">
      <c r="A64" s="1271"/>
      <c r="C64" s="1920"/>
      <c r="D64" s="1922"/>
      <c r="E64" s="830" t="str">
        <f>FHD_NUM_P_28</f>
        <v>2.11.2</v>
      </c>
      <c r="F64" s="1934" t="str">
        <f>FHD_P_28</f>
        <v>Расходы на капитальный ремонт</v>
      </c>
      <c r="G64" s="2162" t="s">
        <v>624</v>
      </c>
      <c r="H64" s="841"/>
      <c r="I64" s="841"/>
      <c r="J64" s="573" t="str">
        <f>FHD_NOTE_P_28</f>
        <v>Указываются расходы на капитальный ремонт, отнесенные к общехозяйственным расходам.</v>
      </c>
      <c r="K64" s="1920" t="str">
        <f>IF((LEN(E64)-LEN(SUBSTITUTE(E64,".","")))/LEN(".")=1,"p","")</f>
        <v/>
      </c>
      <c r="L64" s="1920"/>
      <c r="M64" s="1920"/>
      <c r="R64" s="1920"/>
      <c r="U64" s="828"/>
      <c r="AA64" s="1916"/>
      <c r="AB64" s="1916"/>
      <c r="AC64" s="1916"/>
      <c r="AD64" s="1916"/>
      <c r="AE64" s="1916"/>
      <c r="AF64" s="1444">
        <v>11</v>
      </c>
    </row>
    <row s="30620" customFormat="1" customHeight="1" ht="11.549999999999999">
      <c r="A65" s="1271"/>
      <c r="C65" s="1920"/>
      <c r="D65" s="1922"/>
      <c r="E65" s="830" t="str">
        <f>FHD_NUM_P_29</f>
        <v>2.12</v>
      </c>
      <c r="F65" s="1808" t="str">
        <f>FHD_P_29</f>
        <v>Расходы на капитальный и текущий ремонт основных средств</v>
      </c>
      <c r="G65" s="2162" t="s">
        <v>624</v>
      </c>
      <c r="H65" s="841"/>
      <c r="I65" s="841"/>
      <c r="J65" s="573"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920" t="str">
        <f>IF((LEN(E65)-LEN(SUBSTITUTE(E65,".","")))/LEN(".")=1,"p","")</f>
        <v>p</v>
      </c>
      <c r="L65" s="1920"/>
      <c r="M65" s="1920"/>
      <c r="R65" s="1920"/>
      <c r="U65" s="828"/>
      <c r="AA65" s="1916"/>
      <c r="AB65" s="1916"/>
      <c r="AC65" s="1916"/>
      <c r="AD65" s="1916"/>
      <c r="AE65" s="1916"/>
      <c r="AF65" s="1444">
        <v>11</v>
      </c>
    </row>
    <row s="30620" customFormat="1" customHeight="1" ht="11.549999999999999">
      <c r="A66" s="1271"/>
      <c r="C66" s="1920"/>
      <c r="D66" s="1922"/>
      <c r="E66" s="830" t="str">
        <f>FHD_NUM_P_30</f>
        <v>2.12.1</v>
      </c>
      <c r="F66" s="193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162" t="s">
        <v>366</v>
      </c>
      <c r="H66" s="1933" t="s">
        <v>647</v>
      </c>
      <c r="I66" s="1933" t="s">
        <v>647</v>
      </c>
      <c r="J66" s="573" t="str">
        <f>FHD_NOTE_P_30</f>
        <v/>
      </c>
      <c r="K66" s="1920" t="str">
        <f>IF((LEN(E66)-LEN(SUBSTITUTE(E66,".","")))/LEN(".")=1,"p","")</f>
        <v/>
      </c>
      <c r="L66" s="1920">
        <f>_xlfn.IFERROR(MATCH("есть",B_FHD_FLAG_INDEX_1,0),0)</f>
        <v>0</v>
      </c>
      <c r="M66" s="1920"/>
      <c r="R66" s="1920"/>
      <c r="U66" s="828"/>
      <c r="AA66" s="1916"/>
      <c r="AB66" s="1916"/>
      <c r="AC66" s="1916"/>
      <c r="AD66" s="1916"/>
      <c r="AE66" s="1916"/>
      <c r="AF66" s="1444">
        <v>11</v>
      </c>
    </row>
    <row s="30620" customFormat="1" customHeight="1" ht="23.25" hidden="1">
      <c r="A67" s="2655" t="s">
        <v>648</v>
      </c>
      <c r="C67" s="1920"/>
      <c r="D67" s="1922"/>
      <c r="E67" s="830" t="str">
        <f>FHD_NUM_P_31</f>
        <v/>
      </c>
      <c r="F67" s="1808" t="str">
        <f>FHD_P_31</f>
        <v/>
      </c>
      <c r="G67" s="2162" t="s">
        <v>624</v>
      </c>
      <c r="H67" s="841"/>
      <c r="I67" s="841"/>
      <c r="J67" s="573" t="str">
        <f>FHD_NOTE_P_31</f>
        <v/>
      </c>
      <c r="K67" s="1920" t="str">
        <f>IF((LEN(E67)-LEN(SUBSTITUTE(E67,".","")))/LEN(".")=1,"p","")</f>
        <v/>
      </c>
      <c r="L67" s="1920"/>
      <c r="M67" s="1920"/>
      <c r="R67" s="1920"/>
      <c r="U67" s="828"/>
      <c r="AA67" s="1916"/>
      <c r="AB67" s="1916"/>
      <c r="AC67" s="1916"/>
      <c r="AD67" s="1916"/>
      <c r="AE67" s="1916"/>
      <c r="AF67" s="1444">
        <v>22</v>
      </c>
    </row>
    <row s="30620" customFormat="1" customHeight="1" ht="47.25" hidden="1">
      <c r="A68" s="2655"/>
      <c r="C68" s="1920"/>
      <c r="D68" s="1922"/>
      <c r="E68" s="830" t="str">
        <f>FHD_NUM_P_32</f>
        <v/>
      </c>
      <c r="F68" s="1934" t="str">
        <f>FHD_P_32</f>
        <v/>
      </c>
      <c r="G68" s="2162" t="s">
        <v>366</v>
      </c>
      <c r="H68" s="1933" t="s">
        <v>647</v>
      </c>
      <c r="I68" s="1933" t="s">
        <v>647</v>
      </c>
      <c r="J68" s="573" t="str">
        <f>FHD_NOTE_P_32</f>
        <v/>
      </c>
      <c r="K68" s="1920" t="str">
        <f>IF((LEN(E68)-LEN(SUBSTITUTE(E68,".","")))/LEN(".")=1,"p","")</f>
        <v/>
      </c>
      <c r="L68" s="1920">
        <f>_xlfn.IFERROR(MATCH("есть",B_FHD_FLAG_INDEX_2,0),0)</f>
        <v>0</v>
      </c>
      <c r="M68" s="1920"/>
      <c r="R68" s="1920"/>
      <c r="U68" s="828"/>
      <c r="AA68" s="1916"/>
      <c r="AB68" s="1916"/>
      <c r="AC68" s="1916"/>
      <c r="AD68" s="1916"/>
      <c r="AE68" s="1916"/>
      <c r="AF68" s="1444">
        <v>45</v>
      </c>
    </row>
    <row s="30620" customFormat="1" customHeight="1" ht="11.549999999999999">
      <c r="A69" s="1271"/>
      <c r="C69" s="1920"/>
      <c r="D69" s="1922"/>
      <c r="E69" s="830" t="str">
        <f>FHD_NUM_P_33</f>
        <v>2.13</v>
      </c>
      <c r="F69" s="1808" t="str">
        <f>FHD_P_33</f>
        <v>Прочие расходы, которые подлежат отнесению на регулируемые виды деятельности в соответствии с законодательством Российской Федерации</v>
      </c>
      <c r="G69" s="2163" t="s">
        <v>624</v>
      </c>
      <c r="H69" s="863">
        <f>SUM(H70:H71)</f>
        <v>0</v>
      </c>
      <c r="I69" s="863">
        <f>SUM(I70:I71)</f>
        <v>0</v>
      </c>
      <c r="J69" s="573"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920" t="str">
        <f>IF((LEN(E69)-LEN(SUBSTITUTE(E69,".","")))/LEN(".")=1,"p","")</f>
        <v>p</v>
      </c>
      <c r="L69" s="1920"/>
      <c r="M69" s="1920"/>
      <c r="R69" s="1920"/>
      <c r="U69" s="828"/>
      <c r="AA69" s="1916"/>
      <c r="AB69" s="1916"/>
      <c r="AC69" s="1916"/>
      <c r="AD69" s="1916"/>
      <c r="AE69" s="1916"/>
      <c r="AF69" s="1444">
        <v>11</v>
      </c>
    </row>
    <row s="30621" customFormat="1" customHeight="1" ht="1.05">
      <c r="A70" s="1451"/>
      <c r="D70" s="832"/>
      <c r="E70" s="1297" t="str">
        <f>E69&amp;".0"</f>
        <v>2.13.0</v>
      </c>
      <c r="F70" s="1275"/>
      <c r="G70" s="1297"/>
      <c r="H70" s="1276"/>
      <c r="I70" s="1276"/>
      <c r="J70" s="1277"/>
      <c r="K70" s="1920" t="str">
        <f>IF((LEN(E70)-LEN(SUBSTITUTE(E70,".","")))/LEN(".")=1,"p","")</f>
        <v/>
      </c>
      <c r="AF70" s="1920">
        <v>1</v>
      </c>
    </row>
    <row s="30620" customFormat="1" customHeight="1" ht="14.699999999999998">
      <c r="A71" s="1271"/>
      <c r="C71" s="1920"/>
      <c r="D71" s="1917"/>
      <c r="E71" s="854"/>
      <c r="F71" s="855" t="s">
        <v>649</v>
      </c>
      <c r="G71" s="856"/>
      <c r="H71" s="857"/>
      <c r="I71" s="857"/>
      <c r="J71" s="585"/>
      <c r="K71" s="1920"/>
      <c r="L71" s="1920"/>
      <c r="M71" s="1920"/>
      <c r="R71" s="1920"/>
      <c r="U71" s="828"/>
      <c r="AA71" s="1916"/>
      <c r="AB71" s="1916"/>
      <c r="AC71" s="1916"/>
      <c r="AD71" s="1916"/>
      <c r="AE71" s="1916"/>
      <c r="AF71" s="1444">
        <v>14</v>
      </c>
    </row>
    <row s="30620" customFormat="1" customHeight="1" ht="18.75">
      <c r="A72" s="1273" t="s">
        <v>650</v>
      </c>
      <c r="C72" s="1920"/>
      <c r="D72" s="1922"/>
      <c r="E72" s="830" t="str">
        <f>FHD_NUM_P_34</f>
        <v>3</v>
      </c>
      <c r="F72" s="2164" t="str">
        <f>FHD_P_34</f>
        <v>Валовая прибыль (убытки) от реализации товаров и оказания услуг по регулируемому виду деятельности</v>
      </c>
      <c r="G72" s="2162" t="s">
        <v>624</v>
      </c>
      <c r="H72" s="841"/>
      <c r="I72" s="841"/>
      <c r="J72" s="573" t="str">
        <f>FHD_NOTE_P_34</f>
        <v/>
      </c>
      <c r="K72" s="827"/>
      <c r="L72" s="1920"/>
      <c r="M72" s="1920"/>
      <c r="R72" s="1920"/>
      <c r="U72" s="828"/>
      <c r="AA72" s="1916"/>
      <c r="AB72" s="1916"/>
      <c r="AC72" s="1916"/>
      <c r="AD72" s="1916"/>
      <c r="AE72" s="1916"/>
      <c r="AF72" s="1444">
        <v>0</v>
      </c>
    </row>
    <row s="30620" customFormat="1" customHeight="1" ht="19.95">
      <c r="A73" s="1271"/>
      <c r="C73" s="1920"/>
      <c r="D73" s="859"/>
      <c r="E73" s="830" t="str">
        <f>FHD_NUM_P_35</f>
        <v>4</v>
      </c>
      <c r="F73" s="2164" t="str">
        <f>FHD_P_35</f>
        <v>Чистая прибыль, полученная от регулируемого вида деятельности, в том числе:</v>
      </c>
      <c r="G73" s="2162" t="s">
        <v>624</v>
      </c>
      <c r="H73" s="841"/>
      <c r="I73" s="841"/>
      <c r="J73" s="573" t="str">
        <f>FHD_NOTE_P_35</f>
        <v>Указывается общая сумма чистой прибыли, полученной от регулируемого вида деятельности.</v>
      </c>
      <c r="K73" s="827"/>
      <c r="L73" s="1920"/>
      <c r="M73" s="1920"/>
      <c r="R73" s="1920"/>
      <c r="U73" s="828"/>
      <c r="AA73" s="1916"/>
      <c r="AB73" s="1916"/>
      <c r="AC73" s="1916"/>
      <c r="AD73" s="1916"/>
      <c r="AE73" s="1916"/>
      <c r="AF73" s="1444">
        <v>19</v>
      </c>
    </row>
    <row s="30620" customFormat="1" customHeight="1" ht="19.95">
      <c r="A74" s="1271"/>
      <c r="C74" s="1920"/>
      <c r="D74" s="1922"/>
      <c r="E74" s="830" t="str">
        <f>FHD_NUM_P_36</f>
        <v>4.1</v>
      </c>
      <c r="F74" s="1808"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162" t="s">
        <v>624</v>
      </c>
      <c r="H74" s="841"/>
      <c r="I74" s="841"/>
      <c r="J74" s="573" t="str">
        <f>FHD_NOTE_P_36</f>
        <v/>
      </c>
      <c r="K74" s="827"/>
      <c r="L74" s="1920"/>
      <c r="M74" s="1920"/>
      <c r="R74" s="1920"/>
      <c r="U74" s="828"/>
      <c r="AA74" s="1916"/>
      <c r="AB74" s="1916"/>
      <c r="AC74" s="1916"/>
      <c r="AD74" s="1916"/>
      <c r="AE74" s="1916"/>
      <c r="AF74" s="1444">
        <v>19</v>
      </c>
    </row>
    <row s="30620" customFormat="1" customHeight="1" ht="19.95">
      <c r="A75" s="1271"/>
      <c r="C75" s="1920"/>
      <c r="D75" s="1922"/>
      <c r="E75" s="830" t="str">
        <f>FHD_NUM_P_37</f>
        <v>5</v>
      </c>
      <c r="F75" s="2164" t="str">
        <f>FHD_P_37</f>
        <v>Изменение стоимости основных фондов, в том числе:</v>
      </c>
      <c r="G75" s="2162" t="s">
        <v>624</v>
      </c>
      <c r="H75" s="841"/>
      <c r="I75" s="841"/>
      <c r="J75" s="573" t="str">
        <f>FHD_NOTE_P_37</f>
        <v>Указывается общее изменение стоимости основных фондов.</v>
      </c>
      <c r="K75" s="827"/>
      <c r="L75" s="1920"/>
      <c r="M75" s="1920"/>
      <c r="R75" s="1920"/>
      <c r="U75" s="828"/>
      <c r="AA75" s="1916"/>
      <c r="AB75" s="1916"/>
      <c r="AC75" s="1916"/>
      <c r="AD75" s="1916"/>
      <c r="AE75" s="1916"/>
      <c r="AF75" s="1444">
        <v>19</v>
      </c>
    </row>
    <row s="30620" customFormat="1" customHeight="1" ht="19.95">
      <c r="A76" s="1271"/>
      <c r="C76" s="1920"/>
      <c r="D76" s="1922"/>
      <c r="E76" s="830" t="str">
        <f>FHD_NUM_P_38</f>
        <v>5.1</v>
      </c>
      <c r="F76" s="1808" t="str">
        <f>FHD_P_38</f>
        <v>Изменение стоимости основных фондов за счет:</v>
      </c>
      <c r="G76" s="2162" t="s">
        <v>624</v>
      </c>
      <c r="H76" s="841"/>
      <c r="I76" s="841"/>
      <c r="J76" s="573" t="str">
        <f>FHD_NOTE_P_38</f>
        <v>Указываются общее изменение стоимости основных фондов за счет их ввода в эксплуатацию и вывода из эксплуатации.</v>
      </c>
      <c r="K76" s="827"/>
      <c r="L76" s="1920"/>
      <c r="M76" s="1920"/>
      <c r="R76" s="1920"/>
      <c r="U76" s="828"/>
      <c r="AA76" s="1916"/>
      <c r="AB76" s="1916"/>
      <c r="AC76" s="1916"/>
      <c r="AD76" s="1916"/>
      <c r="AE76" s="1916"/>
      <c r="AF76" s="1444">
        <v>19</v>
      </c>
    </row>
    <row s="30620" customFormat="1" customHeight="1" ht="19.95">
      <c r="A77" s="1271"/>
      <c r="C77" s="1920"/>
      <c r="D77" s="1922"/>
      <c r="E77" s="830" t="str">
        <f>FHD_NUM_P_39</f>
        <v>5.1.1</v>
      </c>
      <c r="F77" s="1934" t="str">
        <f>FHD_P_39</f>
        <v>Изменения стоимости основных фондов за счет их ввода в эксплуатацию</v>
      </c>
      <c r="G77" s="2356" t="s">
        <v>624</v>
      </c>
      <c r="H77" s="841"/>
      <c r="I77" s="841"/>
      <c r="J77" s="573" t="str">
        <f>FHD_NOTE_P_39</f>
        <v>Указываются изменение стоимости основных фондов за счет их ввода в эксплуатацию.</v>
      </c>
      <c r="K77" s="827"/>
      <c r="L77" s="1920"/>
      <c r="M77" s="1920"/>
      <c r="R77" s="1920"/>
      <c r="U77" s="828"/>
      <c r="AA77" s="1916"/>
      <c r="AB77" s="1916"/>
      <c r="AC77" s="1916"/>
      <c r="AD77" s="1916"/>
      <c r="AE77" s="1916"/>
      <c r="AF77" s="1444">
        <v>19</v>
      </c>
    </row>
    <row s="30620" customFormat="1" customHeight="1" ht="19.95">
      <c r="A78" s="1271"/>
      <c r="C78" s="1920"/>
      <c r="D78" s="1922"/>
      <c r="E78" s="830" t="str">
        <f>FHD_NUM_P_40</f>
        <v>5.1.2</v>
      </c>
      <c r="F78" s="2360" t="str">
        <f>FHD_P_40</f>
        <v>Изменения стоимости основных фондов за счет их вывода в эксплуатацию</v>
      </c>
      <c r="G78" s="2355" t="s">
        <v>624</v>
      </c>
      <c r="H78" s="1260"/>
      <c r="I78" s="841"/>
      <c r="J78" s="573" t="str">
        <f>FHD_NOTE_P_40</f>
        <v>Указываются изменение стоимости основных фондов за счет их вывода из эксплуатации.</v>
      </c>
      <c r="K78" s="827"/>
      <c r="L78" s="1920"/>
      <c r="M78" s="1920"/>
      <c r="R78" s="1920"/>
      <c r="U78" s="828"/>
      <c r="AA78" s="1916"/>
      <c r="AB78" s="1916"/>
      <c r="AC78" s="1916"/>
      <c r="AD78" s="1916"/>
      <c r="AE78" s="1916"/>
      <c r="AF78" s="1444">
        <v>19</v>
      </c>
    </row>
    <row s="30620" customFormat="1" customHeight="1" ht="19.95">
      <c r="A79" s="1271"/>
      <c r="C79" s="1920"/>
      <c r="D79" s="1922"/>
      <c r="E79" s="830" t="str">
        <f>FHD_NUM_P_41</f>
        <v>5.2</v>
      </c>
      <c r="F79" s="2359" t="str">
        <f>FHD_P_41</f>
        <v>Изменение стоимости основных фондов за счет их переоценки</v>
      </c>
      <c r="G79" s="2355" t="s">
        <v>624</v>
      </c>
      <c r="H79" s="1260"/>
      <c r="I79" s="841"/>
      <c r="J79" s="573" t="str">
        <f>FHD_NOTE_P_41</f>
        <v/>
      </c>
      <c r="K79" s="827"/>
      <c r="L79" s="1920"/>
      <c r="M79" s="1920"/>
      <c r="R79" s="1920"/>
      <c r="U79" s="828"/>
      <c r="AA79" s="1916"/>
      <c r="AB79" s="1916"/>
      <c r="AC79" s="1916"/>
      <c r="AD79" s="1916"/>
      <c r="AE79" s="1916"/>
      <c r="AF79" s="1444">
        <v>19</v>
      </c>
    </row>
    <row s="30620" customFormat="1" customHeight="1" ht="20.25" hidden="1">
      <c r="A80" s="1273" t="s">
        <v>651</v>
      </c>
      <c r="C80" s="1920"/>
      <c r="D80" s="1922"/>
      <c r="E80" s="830" t="str">
        <f>FHD_NUM_P_42</f>
        <v/>
      </c>
      <c r="F80" s="2357" t="str">
        <f>FHD_P_42</f>
        <v/>
      </c>
      <c r="G80" s="2355" t="s">
        <v>624</v>
      </c>
      <c r="H80" s="1260"/>
      <c r="I80" s="841"/>
      <c r="J80" s="573" t="str">
        <f>FHD_NOTE_P_42</f>
        <v/>
      </c>
      <c r="K80" s="827"/>
      <c r="L80" s="1920"/>
      <c r="M80" s="1920"/>
      <c r="R80" s="1920"/>
      <c r="U80" s="828"/>
      <c r="AA80" s="1916"/>
      <c r="AB80" s="1916"/>
      <c r="AC80" s="1916"/>
      <c r="AD80" s="1916"/>
      <c r="AE80" s="1916"/>
      <c r="AF80" s="1444">
        <v>19</v>
      </c>
    </row>
    <row s="30620" customFormat="1" customHeight="1" ht="19.95">
      <c r="A81" s="1271"/>
      <c r="C81" s="1920"/>
      <c r="D81" s="1922"/>
      <c r="E81" s="830" t="str">
        <f>FHD_NUM_P_43</f>
        <v>6</v>
      </c>
      <c r="F81" s="2164" t="str">
        <f>FHD_P_43</f>
        <v>Годовая бухгалтерская (финансовая) отчетность, включая бухгалтерский баланс и приложения к нему</v>
      </c>
      <c r="G81" s="2358" t="s">
        <v>366</v>
      </c>
      <c r="H81" s="1339"/>
      <c r="I81" s="1102"/>
      <c r="J81" s="573"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827"/>
      <c r="L81" s="1920"/>
      <c r="M81" s="1920"/>
      <c r="R81" s="1920"/>
      <c r="U81" s="828"/>
      <c r="AA81" s="1916"/>
      <c r="AB81" s="1916"/>
      <c r="AC81" s="1916"/>
      <c r="AD81" s="1916"/>
      <c r="AE81" s="1916"/>
      <c r="AF81" s="1444">
        <v>19</v>
      </c>
    </row>
    <row s="30620" customFormat="1" customHeight="1" ht="18.75" hidden="1">
      <c r="A82" s="2655" t="s">
        <v>652</v>
      </c>
      <c r="C82" s="1019"/>
      <c r="D82" s="1017"/>
      <c r="E82" s="830" t="str">
        <f>FHD_NUM_P_44</f>
        <v/>
      </c>
      <c r="F82" s="2164" t="str">
        <f>FHD_P_44</f>
        <v/>
      </c>
      <c r="G82" s="2165" t="s">
        <v>653</v>
      </c>
      <c r="H82" s="1261"/>
      <c r="I82" s="861"/>
      <c r="J82" s="573" t="str">
        <f>FHD_NOTE_P_44</f>
        <v/>
      </c>
      <c r="K82" s="1018"/>
      <c r="L82" s="1019"/>
      <c r="M82" s="1019"/>
      <c r="R82" s="1019"/>
      <c r="U82" s="1020"/>
      <c r="AA82" s="1021"/>
      <c r="AB82" s="1021"/>
      <c r="AC82" s="1021"/>
      <c r="AD82" s="1021"/>
      <c r="AE82" s="1021"/>
      <c r="AF82" s="1194">
        <v>0</v>
      </c>
    </row>
    <row s="30620" customFormat="1" customHeight="1" ht="18.75" hidden="1">
      <c r="A83" s="2655"/>
      <c r="C83" s="1019"/>
      <c r="D83" s="1017"/>
      <c r="E83" s="830" t="str">
        <f>FHD_NUM_P_45</f>
        <v/>
      </c>
      <c r="F83" s="2164" t="str">
        <f>FHD_P_45</f>
        <v/>
      </c>
      <c r="G83" s="2165" t="s">
        <v>653</v>
      </c>
      <c r="H83" s="1261"/>
      <c r="I83" s="861"/>
      <c r="J83" s="573" t="str">
        <f>FHD_NOTE_P_45</f>
        <v/>
      </c>
      <c r="K83" s="1018"/>
      <c r="L83" s="1019"/>
      <c r="M83" s="1019"/>
      <c r="R83" s="1019"/>
      <c r="U83" s="1020"/>
      <c r="AA83" s="1021"/>
      <c r="AB83" s="1021"/>
      <c r="AC83" s="1021"/>
      <c r="AD83" s="1021"/>
      <c r="AE83" s="1021"/>
      <c r="AF83" s="1194">
        <v>0</v>
      </c>
    </row>
    <row s="30620" customFormat="1" customHeight="1" ht="18.75" hidden="1">
      <c r="A84" s="2655"/>
      <c r="C84" s="1019"/>
      <c r="D84" s="1022"/>
      <c r="E84" s="830" t="str">
        <f>FHD_NUM_P_46</f>
        <v/>
      </c>
      <c r="F84" s="2164" t="str">
        <f>FHD_P_46</f>
        <v/>
      </c>
      <c r="G84" s="2165" t="s">
        <v>653</v>
      </c>
      <c r="H84" s="1261"/>
      <c r="I84" s="861"/>
      <c r="J84" s="573" t="str">
        <f>FHD_NOTE_P_46</f>
        <v/>
      </c>
      <c r="K84" s="1018"/>
      <c r="L84" s="1019"/>
      <c r="M84" s="1019"/>
      <c r="R84" s="1019"/>
      <c r="U84" s="1020"/>
      <c r="AA84" s="1021"/>
      <c r="AB84" s="1021"/>
      <c r="AC84" s="1021"/>
      <c r="AD84" s="1021"/>
      <c r="AE84" s="1021"/>
      <c r="AF84" s="1194">
        <v>0</v>
      </c>
    </row>
    <row s="30620" customFormat="1" customHeight="1" ht="18.75" hidden="1">
      <c r="A85" s="2655"/>
      <c r="C85" s="1019"/>
      <c r="D85" s="1017"/>
      <c r="E85" s="830" t="str">
        <f>FHD_NUM_P_47</f>
        <v/>
      </c>
      <c r="F85" s="2164" t="str">
        <f>FHD_P_47</f>
        <v/>
      </c>
      <c r="G85" s="2165" t="s">
        <v>653</v>
      </c>
      <c r="H85" s="1261"/>
      <c r="I85" s="861"/>
      <c r="J85" s="573" t="str">
        <f>FHD_NOTE_P_47</f>
        <v/>
      </c>
      <c r="K85" s="1018"/>
      <c r="L85" s="1019"/>
      <c r="M85" s="1019"/>
      <c r="R85" s="1019"/>
      <c r="U85" s="1020"/>
      <c r="AA85" s="1021"/>
      <c r="AB85" s="1021"/>
      <c r="AC85" s="1021"/>
      <c r="AD85" s="1021"/>
      <c r="AE85" s="1021"/>
      <c r="AF85" s="1194">
        <v>0</v>
      </c>
    </row>
    <row s="30541" customFormat="1" customHeight="1" ht="18.75" hidden="1">
      <c r="A86" s="2655"/>
      <c r="B86" s="1194"/>
      <c r="C86" s="1019"/>
      <c r="D86" s="1017"/>
      <c r="E86" s="830" t="str">
        <f>FHD_NUM_P_48</f>
        <v/>
      </c>
      <c r="F86" s="2164" t="str">
        <f>FHD_P_48</f>
        <v/>
      </c>
      <c r="G86" s="2165" t="s">
        <v>653</v>
      </c>
      <c r="H86" s="1261"/>
      <c r="I86" s="861"/>
      <c r="J86" s="573" t="str">
        <f>FHD_NOTE_P_48</f>
        <v/>
      </c>
      <c r="K86" s="1018"/>
      <c r="L86" s="1019"/>
      <c r="M86" s="1019"/>
      <c r="N86" s="1194"/>
      <c r="O86" s="1194"/>
      <c r="P86" s="1194"/>
      <c r="Q86" s="1194"/>
      <c r="R86" s="1019"/>
      <c r="S86" s="1194"/>
      <c r="T86" s="1194"/>
      <c r="U86" s="1020"/>
      <c r="V86" s="1194"/>
      <c r="W86" s="1194"/>
      <c r="X86" s="1194"/>
      <c r="Y86" s="1194"/>
      <c r="Z86" s="1194"/>
      <c r="AA86" s="1021"/>
      <c r="AB86" s="1021"/>
      <c r="AC86" s="1021"/>
      <c r="AD86" s="1021"/>
      <c r="AE86" s="1021"/>
      <c r="AF86" s="1023">
        <v>0</v>
      </c>
    </row>
    <row s="30541" customFormat="1" customHeight="1" ht="18.75" hidden="1">
      <c r="A87" s="2655"/>
      <c r="B87" s="1194"/>
      <c r="C87" s="1019"/>
      <c r="D87" s="1017"/>
      <c r="E87" s="830" t="str">
        <f>FHD_NUM_P_49</f>
        <v/>
      </c>
      <c r="F87" s="2164" t="str">
        <f>FHD_P_49</f>
        <v/>
      </c>
      <c r="G87" s="2165" t="s">
        <v>653</v>
      </c>
      <c r="H87" s="1262">
        <f>SUM(H88:H89)</f>
        <v>0</v>
      </c>
      <c r="I87" s="1033">
        <f>SUM(I88:I89)</f>
        <v>0</v>
      </c>
      <c r="J87" s="573" t="str">
        <f>FHD_NOTE_P_49</f>
        <v/>
      </c>
      <c r="K87" s="1018"/>
      <c r="L87" s="1019"/>
      <c r="M87" s="1019"/>
      <c r="N87" s="1194"/>
      <c r="O87" s="1194"/>
      <c r="P87" s="1194"/>
      <c r="Q87" s="1194"/>
      <c r="R87" s="1019"/>
      <c r="S87" s="1194"/>
      <c r="T87" s="1194"/>
      <c r="U87" s="1020"/>
      <c r="V87" s="1194"/>
      <c r="W87" s="1194"/>
      <c r="X87" s="1194"/>
      <c r="Y87" s="1194"/>
      <c r="Z87" s="1194"/>
      <c r="AA87" s="1021"/>
      <c r="AB87" s="1021"/>
      <c r="AC87" s="1021"/>
      <c r="AD87" s="1021"/>
      <c r="AE87" s="1021"/>
      <c r="AF87" s="1023">
        <v>0</v>
      </c>
    </row>
    <row s="30541" customFormat="1" customHeight="1" ht="18.75" hidden="1">
      <c r="A88" s="2655"/>
      <c r="B88" s="1194"/>
      <c r="C88" s="1019"/>
      <c r="D88" s="1017"/>
      <c r="E88" s="830" t="str">
        <f>FHD_NUM_P_50</f>
        <v/>
      </c>
      <c r="F88" s="2164" t="str">
        <f>FHD_P_50</f>
        <v/>
      </c>
      <c r="G88" s="2165" t="s">
        <v>653</v>
      </c>
      <c r="H88" s="1261"/>
      <c r="I88" s="861"/>
      <c r="J88" s="573" t="str">
        <f>FHD_NOTE_P_50</f>
        <v/>
      </c>
      <c r="K88" s="1018"/>
      <c r="L88" s="1019"/>
      <c r="M88" s="1019"/>
      <c r="N88" s="1194"/>
      <c r="O88" s="1194"/>
      <c r="P88" s="1194"/>
      <c r="Q88" s="1194"/>
      <c r="R88" s="1019"/>
      <c r="S88" s="1194"/>
      <c r="T88" s="1194"/>
      <c r="U88" s="1020"/>
      <c r="V88" s="1194"/>
      <c r="W88" s="1194"/>
      <c r="X88" s="1194"/>
      <c r="Y88" s="1194"/>
      <c r="Z88" s="1194"/>
      <c r="AA88" s="1021"/>
      <c r="AB88" s="1021"/>
      <c r="AC88" s="1021"/>
      <c r="AD88" s="1021"/>
      <c r="AE88" s="1021"/>
      <c r="AF88" s="1023">
        <v>0</v>
      </c>
    </row>
    <row s="30541" customFormat="1" customHeight="1" ht="18.75" hidden="1">
      <c r="A89" s="2655"/>
      <c r="B89" s="1194"/>
      <c r="C89" s="1019"/>
      <c r="D89" s="1017"/>
      <c r="E89" s="830" t="str">
        <f>FHD_NUM_P_51</f>
        <v/>
      </c>
      <c r="F89" s="2164" t="str">
        <f>FHD_P_51</f>
        <v/>
      </c>
      <c r="G89" s="2165" t="s">
        <v>653</v>
      </c>
      <c r="H89" s="1261"/>
      <c r="I89" s="861"/>
      <c r="J89" s="573" t="str">
        <f>FHD_NOTE_P_51</f>
        <v/>
      </c>
      <c r="K89" s="1018"/>
      <c r="L89" s="1019"/>
      <c r="M89" s="1019"/>
      <c r="N89" s="1194"/>
      <c r="O89" s="1194"/>
      <c r="P89" s="1194"/>
      <c r="Q89" s="1194"/>
      <c r="R89" s="1019"/>
      <c r="S89" s="1194"/>
      <c r="T89" s="1194"/>
      <c r="U89" s="1020"/>
      <c r="V89" s="1194"/>
      <c r="W89" s="1194"/>
      <c r="X89" s="1194"/>
      <c r="Y89" s="1194"/>
      <c r="Z89" s="1194"/>
      <c r="AA89" s="1021"/>
      <c r="AB89" s="1021"/>
      <c r="AC89" s="1021"/>
      <c r="AD89" s="1021"/>
      <c r="AE89" s="1021"/>
      <c r="AF89" s="1023">
        <v>0</v>
      </c>
    </row>
    <row s="30541" customFormat="1" customHeight="1" ht="18.75" hidden="1">
      <c r="A90" s="2655"/>
      <c r="B90" s="1194"/>
      <c r="C90" s="1019"/>
      <c r="D90" s="1017"/>
      <c r="E90" s="830" t="str">
        <f>FHD_NUM_P_52</f>
        <v/>
      </c>
      <c r="F90" s="2164" t="str">
        <f>FHD_P_52</f>
        <v/>
      </c>
      <c r="G90" s="2165" t="s">
        <v>630</v>
      </c>
      <c r="H90" s="1260"/>
      <c r="I90" s="841"/>
      <c r="J90" s="573" t="str">
        <f>FHD_NOTE_P_52</f>
        <v/>
      </c>
      <c r="K90" s="1018"/>
      <c r="L90" s="1019"/>
      <c r="M90" s="1019"/>
      <c r="N90" s="1194"/>
      <c r="O90" s="1194"/>
      <c r="P90" s="1194"/>
      <c r="Q90" s="1194"/>
      <c r="R90" s="1019"/>
      <c r="S90" s="1194"/>
      <c r="T90" s="1194"/>
      <c r="U90" s="1020"/>
      <c r="V90" s="1194"/>
      <c r="W90" s="1194"/>
      <c r="X90" s="1194"/>
      <c r="Y90" s="1194"/>
      <c r="Z90" s="1194"/>
      <c r="AA90" s="1021"/>
      <c r="AB90" s="1021"/>
      <c r="AC90" s="1021"/>
      <c r="AD90" s="1021"/>
      <c r="AE90" s="1021"/>
      <c r="AF90" s="1023">
        <v>0</v>
      </c>
    </row>
    <row s="30620" customFormat="1" customHeight="1" ht="18.75" hidden="1">
      <c r="A91" s="2657" t="s">
        <v>654</v>
      </c>
      <c r="C91" s="1019"/>
      <c r="D91" s="1017"/>
      <c r="E91" s="830" t="str">
        <f>FHD_NUM_P_53</f>
        <v/>
      </c>
      <c r="F91" s="2164" t="str">
        <f>FHD_P_53</f>
        <v/>
      </c>
      <c r="G91" s="2165" t="s">
        <v>653</v>
      </c>
      <c r="H91" s="1261"/>
      <c r="I91" s="861"/>
      <c r="J91" s="573" t="str">
        <f>FHD_NOTE_P_53</f>
        <v/>
      </c>
      <c r="K91" s="1018"/>
      <c r="L91" s="1019"/>
      <c r="M91" s="1019"/>
      <c r="R91" s="1019"/>
      <c r="U91" s="1020"/>
      <c r="AA91" s="1021"/>
      <c r="AB91" s="1021"/>
      <c r="AC91" s="1021"/>
      <c r="AD91" s="1021"/>
      <c r="AE91" s="1021"/>
      <c r="AF91" s="1194">
        <v>0</v>
      </c>
    </row>
    <row s="30620" customFormat="1" customHeight="1" ht="18.75" hidden="1">
      <c r="A92" s="2657"/>
      <c r="C92" s="1019"/>
      <c r="D92" s="1017"/>
      <c r="E92" s="830" t="str">
        <f>FHD_NUM_P_54</f>
        <v/>
      </c>
      <c r="F92" s="2164" t="str">
        <f>FHD_P_54</f>
        <v/>
      </c>
      <c r="G92" s="2165" t="s">
        <v>653</v>
      </c>
      <c r="H92" s="1261"/>
      <c r="I92" s="861"/>
      <c r="J92" s="573" t="str">
        <f>FHD_NOTE_P_54</f>
        <v/>
      </c>
      <c r="K92" s="1018"/>
      <c r="L92" s="1019"/>
      <c r="M92" s="1019"/>
      <c r="R92" s="1019"/>
      <c r="U92" s="1020"/>
      <c r="AA92" s="1021"/>
      <c r="AB92" s="1021"/>
      <c r="AC92" s="1021"/>
      <c r="AD92" s="1021"/>
      <c r="AE92" s="1021"/>
      <c r="AF92" s="1194">
        <v>0</v>
      </c>
    </row>
    <row s="30620" customFormat="1" customHeight="1" ht="18.75" hidden="1">
      <c r="A93" s="2657"/>
      <c r="C93" s="1019"/>
      <c r="D93" s="1022"/>
      <c r="E93" s="830" t="str">
        <f>FHD_NUM_P_55</f>
        <v/>
      </c>
      <c r="F93" s="2164" t="str">
        <f>FHD_P_55</f>
        <v/>
      </c>
      <c r="G93" s="2168"/>
      <c r="H93" s="1261"/>
      <c r="I93" s="861"/>
      <c r="J93" s="573" t="str">
        <f>FHD_NOTE_P_55</f>
        <v/>
      </c>
      <c r="K93" s="1018"/>
      <c r="L93" s="1019"/>
      <c r="M93" s="1019"/>
      <c r="R93" s="1019"/>
      <c r="U93" s="1020"/>
      <c r="AA93" s="1021"/>
      <c r="AB93" s="1021"/>
      <c r="AC93" s="1021"/>
      <c r="AD93" s="1021"/>
      <c r="AE93" s="1021"/>
      <c r="AF93" s="1194">
        <v>0</v>
      </c>
    </row>
    <row s="30620" customFormat="1" customHeight="1" ht="18.75" hidden="1">
      <c r="A94" s="2657"/>
      <c r="C94" s="1019"/>
      <c r="D94" s="1017"/>
      <c r="E94" s="830" t="str">
        <f>FHD_NUM_P_56</f>
        <v/>
      </c>
      <c r="F94" s="2164" t="str">
        <f>FHD_P_56</f>
        <v/>
      </c>
      <c r="G94" s="2165" t="s">
        <v>655</v>
      </c>
      <c r="H94" s="1261"/>
      <c r="I94" s="861"/>
      <c r="J94" s="573" t="str">
        <f>FHD_NOTE_P_56</f>
        <v/>
      </c>
      <c r="K94" s="1018"/>
      <c r="L94" s="1019"/>
      <c r="M94" s="1019"/>
      <c r="R94" s="1019"/>
      <c r="U94" s="1020"/>
      <c r="AA94" s="1021"/>
      <c r="AB94" s="1021"/>
      <c r="AC94" s="1021"/>
      <c r="AD94" s="1021"/>
      <c r="AE94" s="1021"/>
      <c r="AF94" s="1194">
        <v>0</v>
      </c>
    </row>
    <row s="30541" customFormat="1" customHeight="1" ht="18.75" hidden="1">
      <c r="A95" s="2657"/>
      <c r="B95" s="1194"/>
      <c r="C95" s="1019"/>
      <c r="D95" s="1017"/>
      <c r="E95" s="830" t="str">
        <f>FHD_NUM_P_57</f>
        <v/>
      </c>
      <c r="F95" s="2164" t="str">
        <f>FHD_P_57</f>
        <v/>
      </c>
      <c r="G95" s="2165" t="s">
        <v>630</v>
      </c>
      <c r="H95" s="1260"/>
      <c r="I95" s="841"/>
      <c r="J95" s="573" t="str">
        <f>FHD_NOTE_P_57</f>
        <v/>
      </c>
      <c r="K95" s="1018"/>
      <c r="L95" s="1019"/>
      <c r="M95" s="1019"/>
      <c r="N95" s="1194"/>
      <c r="O95" s="1194"/>
      <c r="P95" s="1194"/>
      <c r="Q95" s="1194"/>
      <c r="R95" s="1019"/>
      <c r="S95" s="1194"/>
      <c r="T95" s="1194"/>
      <c r="U95" s="1020"/>
      <c r="V95" s="1194"/>
      <c r="W95" s="1194"/>
      <c r="X95" s="1194"/>
      <c r="Y95" s="1194"/>
      <c r="Z95" s="1194"/>
      <c r="AA95" s="1021"/>
      <c r="AB95" s="1021"/>
      <c r="AC95" s="1021"/>
      <c r="AD95" s="1021"/>
      <c r="AE95" s="1021"/>
      <c r="AF95" s="1023">
        <v>0</v>
      </c>
    </row>
    <row customHeight="1" ht="18.75" hidden="1">
      <c r="A96" s="2655" t="s">
        <v>656</v>
      </c>
      <c r="D96" s="1922"/>
      <c r="E96" s="830" t="str">
        <f>FHD_NUM_P_58</f>
        <v/>
      </c>
      <c r="F96" s="2164" t="str">
        <f>FHD_P_58</f>
        <v/>
      </c>
      <c r="G96" s="2165" t="s">
        <v>653</v>
      </c>
      <c r="H96" s="1261"/>
      <c r="I96" s="861"/>
      <c r="J96" s="573" t="str">
        <f>FHD_NOTE_P_58</f>
        <v/>
      </c>
      <c r="K96" s="827"/>
      <c r="AF96" s="1915">
        <v>0</v>
      </c>
    </row>
    <row customHeight="1" ht="18.75" hidden="1">
      <c r="A97" s="2655"/>
      <c r="D97" s="1922"/>
      <c r="E97" s="830" t="str">
        <f>FHD_NUM_P_59</f>
        <v/>
      </c>
      <c r="F97" s="2164" t="str">
        <f>FHD_P_59</f>
        <v/>
      </c>
      <c r="G97" s="2165" t="s">
        <v>653</v>
      </c>
      <c r="H97" s="1261"/>
      <c r="I97" s="861"/>
      <c r="J97" s="573" t="str">
        <f>FHD_NOTE_P_59</f>
        <v/>
      </c>
      <c r="K97" s="827"/>
      <c r="AF97" s="1915">
        <v>0</v>
      </c>
    </row>
    <row customHeight="1" ht="18.75" hidden="1">
      <c r="A98" s="2655"/>
      <c r="D98" s="1922"/>
      <c r="E98" s="830" t="str">
        <f>FHD_NUM_P_60</f>
        <v/>
      </c>
      <c r="F98" s="2164" t="str">
        <f>FHD_P_60</f>
        <v/>
      </c>
      <c r="G98" s="2165" t="s">
        <v>653</v>
      </c>
      <c r="H98" s="1261"/>
      <c r="I98" s="861"/>
      <c r="J98" s="573" t="str">
        <f>FHD_NOTE_P_60</f>
        <v/>
      </c>
      <c r="K98" s="827"/>
      <c r="AF98" s="1915">
        <v>0</v>
      </c>
    </row>
    <row s="30620" customFormat="1" customHeight="1" ht="18.75">
      <c r="A99" s="2655" t="s">
        <v>657</v>
      </c>
      <c r="C99" s="1920"/>
      <c r="D99" s="1922"/>
      <c r="E99" s="830" t="str">
        <f>FHD_NUM_P_61</f>
        <v>7</v>
      </c>
      <c r="F99" s="216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162" t="s">
        <v>628</v>
      </c>
      <c r="H99" s="1263"/>
      <c r="I99" s="1026"/>
      <c r="J99" s="573"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827"/>
      <c r="L99" s="1920"/>
      <c r="M99" s="1920"/>
      <c r="R99" s="1920"/>
      <c r="U99" s="828"/>
      <c r="AA99" s="1916"/>
      <c r="AB99" s="1916"/>
      <c r="AC99" s="1916"/>
      <c r="AD99" s="1916"/>
      <c r="AE99" s="1916"/>
      <c r="AF99" s="1444">
        <v>0</v>
      </c>
    </row>
    <row s="30621" customFormat="1" customHeight="1" ht="0.75">
      <c r="A100" s="2655"/>
      <c r="D100" s="832"/>
      <c r="E100" s="1297" t="str">
        <f>E99&amp;".0"</f>
        <v>7.0</v>
      </c>
      <c r="F100" s="1278"/>
      <c r="G100" s="1279"/>
      <c r="H100" s="1276"/>
      <c r="I100" s="1276"/>
      <c r="J100" s="1280"/>
      <c r="AF100" s="1920">
        <v>0</v>
      </c>
    </row>
    <row customHeight="1" ht="15">
      <c r="A101" s="2655"/>
      <c r="D101" s="1917"/>
      <c r="E101" s="1255"/>
      <c r="F101" s="1256" t="s">
        <v>658</v>
      </c>
      <c r="G101" s="856"/>
      <c r="H101" s="857"/>
      <c r="I101" s="857"/>
      <c r="J101" s="1288" t="s">
        <v>659</v>
      </c>
      <c r="K101" s="827"/>
      <c r="AF101" s="1915">
        <v>0</v>
      </c>
    </row>
    <row s="30620" customFormat="1" customHeight="1" ht="18.75">
      <c r="A102" s="2655"/>
      <c r="C102" s="1920"/>
      <c r="D102" s="1922"/>
      <c r="E102" s="830" t="str">
        <f>FHD_NUM_P_62</f>
        <v>8</v>
      </c>
      <c r="F102" s="2164" t="str">
        <f>FHD_P_62</f>
        <v>Тепловая нагрузка по договорам, заключенным в рамках осуществления регулируемых видов деятельности</v>
      </c>
      <c r="G102" s="2161" t="s">
        <v>628</v>
      </c>
      <c r="H102" s="841"/>
      <c r="I102" s="841"/>
      <c r="J102" s="573"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827"/>
      <c r="L102" s="1920"/>
      <c r="M102" s="1920"/>
      <c r="R102" s="1920"/>
      <c r="U102" s="828"/>
      <c r="AA102" s="1916"/>
      <c r="AB102" s="1916"/>
      <c r="AC102" s="1916"/>
      <c r="AD102" s="1916"/>
      <c r="AE102" s="1916"/>
      <c r="AF102" s="1444">
        <v>0</v>
      </c>
    </row>
    <row s="30620" customFormat="1" customHeight="1" ht="18.75">
      <c r="A103" s="2655"/>
      <c r="C103" s="1920"/>
      <c r="D103" s="1922"/>
      <c r="E103" s="830" t="str">
        <f>FHD_NUM_P_63</f>
        <v>9</v>
      </c>
      <c r="F103" s="2164" t="str">
        <f>FHD_P_63</f>
        <v>Объем вырабатываемой регулируемой организацией тепловой энергии в рамках осуществления регулируемых видов деятельности</v>
      </c>
      <c r="G103" s="2161" t="s">
        <v>655</v>
      </c>
      <c r="H103" s="861"/>
      <c r="I103" s="861"/>
      <c r="J103" s="573"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827"/>
      <c r="L103" s="1920"/>
      <c r="M103" s="1920"/>
      <c r="R103" s="1920"/>
      <c r="U103" s="828"/>
      <c r="AA103" s="1916"/>
      <c r="AB103" s="1916"/>
      <c r="AC103" s="1916"/>
      <c r="AD103" s="1916"/>
      <c r="AE103" s="1916"/>
      <c r="AF103" s="1444">
        <v>0</v>
      </c>
    </row>
    <row s="30620" customFormat="1" customHeight="1" ht="18.75">
      <c r="A104" s="2655"/>
      <c r="C104" s="1920" t="s">
        <v>660</v>
      </c>
      <c r="D104" s="1922"/>
      <c r="E104" s="830" t="str">
        <f>FHD_NUM_P_64</f>
        <v>9.1</v>
      </c>
      <c r="F104" s="2164" t="str">
        <f>FHD_P_64</f>
        <v>Объем приобретаемой регулируемой организацией тепловой энергии в рамках осуществления регулируемых видов деятельности</v>
      </c>
      <c r="G104" s="2161" t="s">
        <v>655</v>
      </c>
      <c r="H104" s="829"/>
      <c r="I104" s="829"/>
      <c r="J104" s="573" t="str">
        <f>FHD_NOTE_P_64</f>
        <v>Информация указывается только едиными теплоснабжающими организациями.</v>
      </c>
      <c r="K104" s="827"/>
      <c r="L104" s="1920"/>
      <c r="M104" s="1920"/>
      <c r="R104" s="1920"/>
      <c r="U104" s="828"/>
      <c r="AA104" s="1916"/>
      <c r="AB104" s="1916"/>
      <c r="AC104" s="1916"/>
      <c r="AD104" s="1916"/>
      <c r="AE104" s="1916"/>
      <c r="AF104" s="1444">
        <v>0</v>
      </c>
    </row>
    <row s="30620" customFormat="1" customHeight="1" ht="18.75">
      <c r="A105" s="2655"/>
      <c r="C105" s="1920"/>
      <c r="D105" s="1922"/>
      <c r="E105" s="830" t="str">
        <f>FHD_NUM_P_65</f>
        <v>10</v>
      </c>
      <c r="F105" s="216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161" t="s">
        <v>655</v>
      </c>
      <c r="H105" s="861"/>
      <c r="I105" s="861"/>
      <c r="J105" s="573"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827"/>
      <c r="L105" s="1920"/>
      <c r="M105" s="1920"/>
      <c r="R105" s="1920"/>
      <c r="U105" s="828"/>
      <c r="AA105" s="1916"/>
      <c r="AB105" s="1916"/>
      <c r="AC105" s="1916"/>
      <c r="AD105" s="1916"/>
      <c r="AE105" s="1916"/>
      <c r="AF105" s="1444">
        <v>0</v>
      </c>
    </row>
    <row s="30620" customFormat="1" customHeight="1" ht="18.75">
      <c r="A106" s="2655"/>
      <c r="C106" s="1920"/>
      <c r="D106" s="1922"/>
      <c r="E106" s="830" t="str">
        <f>FHD_NUM_P_66</f>
        <v>10.1</v>
      </c>
      <c r="F106" s="1808" t="str">
        <f>FHD_P_66</f>
        <v>По приборам учёта </v>
      </c>
      <c r="G106" s="2161" t="s">
        <v>655</v>
      </c>
      <c r="H106" s="861"/>
      <c r="I106" s="861"/>
      <c r="J106" s="573" t="str">
        <f>FHD_NOTE_P_66</f>
        <v/>
      </c>
      <c r="K106" s="827"/>
      <c r="L106" s="1920"/>
      <c r="M106" s="1920"/>
      <c r="R106" s="1920"/>
      <c r="U106" s="828"/>
      <c r="AA106" s="1916"/>
      <c r="AB106" s="1916"/>
      <c r="AC106" s="1916"/>
      <c r="AD106" s="1916"/>
      <c r="AE106" s="1916"/>
      <c r="AF106" s="1444">
        <v>0</v>
      </c>
    </row>
    <row s="30620" customFormat="1" customHeight="1" ht="18.75">
      <c r="A107" s="2655"/>
      <c r="C107" s="1920"/>
      <c r="D107" s="1922"/>
      <c r="E107" s="830" t="str">
        <f>FHD_NUM_P_67</f>
        <v>10.1.1</v>
      </c>
      <c r="F107" s="1934"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161" t="s">
        <v>655</v>
      </c>
      <c r="H107" s="861"/>
      <c r="I107" s="861"/>
      <c r="J107" s="573" t="str">
        <f>FHD_NOTE_P_67</f>
        <v/>
      </c>
      <c r="K107" s="827"/>
      <c r="L107" s="1920"/>
      <c r="M107" s="1920"/>
      <c r="R107" s="1920"/>
      <c r="U107" s="828"/>
      <c r="AA107" s="1916"/>
      <c r="AB107" s="1916"/>
      <c r="AC107" s="1916"/>
      <c r="AD107" s="1916"/>
      <c r="AE107" s="1916"/>
      <c r="AF107" s="1444">
        <v>0</v>
      </c>
    </row>
    <row s="30620" customFormat="1" customHeight="1" ht="18.75">
      <c r="A108" s="2655"/>
      <c r="C108" s="1920"/>
      <c r="D108" s="1922"/>
      <c r="E108" s="830" t="str">
        <f>FHD_NUM_P_68</f>
        <v>10.2</v>
      </c>
      <c r="F108" s="1808" t="str">
        <f>FHD_P_68</f>
        <v>Расчётным путём</v>
      </c>
      <c r="G108" s="2161" t="s">
        <v>655</v>
      </c>
      <c r="H108" s="861"/>
      <c r="I108" s="861"/>
      <c r="J108" s="573" t="str">
        <f>FHD_NOTE_P_68</f>
        <v/>
      </c>
      <c r="K108" s="827"/>
      <c r="L108" s="1920"/>
      <c r="M108" s="1920"/>
      <c r="R108" s="1920"/>
      <c r="U108" s="828"/>
      <c r="AA108" s="1916"/>
      <c r="AB108" s="1916"/>
      <c r="AC108" s="1916"/>
      <c r="AD108" s="1916"/>
      <c r="AE108" s="1916"/>
      <c r="AF108" s="1444">
        <v>0</v>
      </c>
    </row>
    <row s="30620" customFormat="1" customHeight="1" ht="18.75">
      <c r="A109" s="2655"/>
      <c r="C109" s="1920"/>
      <c r="D109" s="1922"/>
      <c r="E109" s="830" t="str">
        <f>FHD_NUM_P_69</f>
        <v>10.3</v>
      </c>
      <c r="F109" s="1808" t="str">
        <f>FHD_P_69</f>
        <v>По нормативам потребления коммунальных услуг и нормативам потребления коммунальных ресурсов</v>
      </c>
      <c r="G109" s="2161" t="s">
        <v>655</v>
      </c>
      <c r="H109" s="861"/>
      <c r="I109" s="861"/>
      <c r="J109" s="573" t="str">
        <f>FHD_NOTE_P_69</f>
        <v/>
      </c>
      <c r="K109" s="827"/>
      <c r="L109" s="1920"/>
      <c r="M109" s="1920"/>
      <c r="R109" s="1920"/>
      <c r="U109" s="828"/>
      <c r="AA109" s="1916"/>
      <c r="AB109" s="1916"/>
      <c r="AC109" s="1916"/>
      <c r="AD109" s="1916"/>
      <c r="AE109" s="1916"/>
      <c r="AF109" s="1444">
        <v>0</v>
      </c>
    </row>
    <row s="30620" customFormat="1" customHeight="1" ht="22.5">
      <c r="A110" s="2655"/>
      <c r="C110" s="1920"/>
      <c r="D110" s="1922"/>
      <c r="E110" s="830" t="str">
        <f>FHD_NUM_P_70</f>
        <v>11</v>
      </c>
      <c r="F110" s="2164" t="str">
        <f>FHD_P_70</f>
        <v>Нормативы технологических потерь при передаче тепловой энергии, теплоносителя по тепловым сетям, утвержденные уполномоченным органом</v>
      </c>
      <c r="G110" s="2161" t="s">
        <v>661</v>
      </c>
      <c r="H110" s="841"/>
      <c r="I110" s="841"/>
      <c r="J110" s="573" t="str">
        <f>FHD_NOTE_P_70</f>
        <v/>
      </c>
      <c r="K110" s="827"/>
      <c r="L110" s="1920"/>
      <c r="M110" s="1920"/>
      <c r="R110" s="1920"/>
      <c r="U110" s="828"/>
      <c r="AA110" s="1916"/>
      <c r="AB110" s="1916"/>
      <c r="AC110" s="1916"/>
      <c r="AD110" s="1916"/>
      <c r="AE110" s="1916"/>
      <c r="AF110" s="1444">
        <v>0</v>
      </c>
    </row>
    <row s="30620" customFormat="1" customHeight="1" ht="22.5">
      <c r="A111" s="2655"/>
      <c r="C111" s="1920"/>
      <c r="D111" s="1922"/>
      <c r="E111" s="830" t="str">
        <f>FHD_NUM_P_71</f>
        <v>12</v>
      </c>
      <c r="F111" s="2164" t="str">
        <f>FHD_P_71</f>
        <v>Фактический объем потерь при передаче тепловой энергии</v>
      </c>
      <c r="G111" s="2161" t="s">
        <v>661</v>
      </c>
      <c r="H111" s="841"/>
      <c r="I111" s="841"/>
      <c r="J111" s="573" t="str">
        <f>FHD_NOTE_P_71</f>
        <v/>
      </c>
      <c r="K111" s="827"/>
      <c r="L111" s="1920"/>
      <c r="M111" s="1920"/>
      <c r="R111" s="1920"/>
      <c r="U111" s="828"/>
      <c r="AA111" s="1916"/>
      <c r="AB111" s="1916"/>
      <c r="AC111" s="1916"/>
      <c r="AD111" s="1916"/>
      <c r="AE111" s="1916"/>
      <c r="AF111" s="1444">
        <v>0</v>
      </c>
    </row>
    <row customHeight="1" ht="19.95">
      <c r="D112" s="1922"/>
      <c r="E112" s="830" t="str">
        <f>FHD_NUM_P_72</f>
        <v>13</v>
      </c>
      <c r="F112" s="2164" t="str">
        <f>FHD_P_72</f>
        <v>Среднесписочная численность основного производственного персонала</v>
      </c>
      <c r="G112" s="2160" t="s">
        <v>662</v>
      </c>
      <c r="H112" s="861"/>
      <c r="I112" s="861"/>
      <c r="J112" s="573" t="str">
        <f>FHD_NOTE_P_72</f>
        <v/>
      </c>
      <c r="K112" s="827"/>
      <c r="AF112" s="1915">
        <v>19</v>
      </c>
    </row>
    <row customHeight="1" ht="18.75">
      <c r="A113" s="1273" t="s">
        <v>663</v>
      </c>
      <c r="D113" s="1922"/>
      <c r="E113" s="830" t="str">
        <f>FHD_NUM_P_73</f>
        <v>14</v>
      </c>
      <c r="F113" s="2164" t="str">
        <f>FHD_P_73</f>
        <v>Среднесписочная численность административно-управленческого персонала</v>
      </c>
      <c r="G113" s="1254" t="s">
        <v>662</v>
      </c>
      <c r="H113" s="1252"/>
      <c r="I113" s="1252"/>
      <c r="J113" s="573" t="str">
        <f>FHD_NOTE_P_73</f>
        <v/>
      </c>
      <c r="K113" s="827"/>
      <c r="AF113" s="1915">
        <v>0</v>
      </c>
    </row>
    <row customHeight="1" ht="33.75" hidden="1">
      <c r="A114" s="1273" t="s">
        <v>664</v>
      </c>
      <c r="D114" s="1922"/>
      <c r="E114" s="830" t="str">
        <f>FHD_NUM_P_74</f>
        <v/>
      </c>
      <c r="F114" s="2164" t="str">
        <f>FHD_P_74</f>
        <v/>
      </c>
      <c r="G114" s="2160" t="s">
        <v>665</v>
      </c>
      <c r="H114" s="861"/>
      <c r="I114" s="861"/>
      <c r="J114" s="573" t="str">
        <f>FHD_NOTE_P_74</f>
        <v/>
      </c>
      <c r="K114" s="827"/>
      <c r="AF114" s="1915">
        <v>0</v>
      </c>
    </row>
    <row s="30541" customFormat="1" customHeight="1" ht="18.75" hidden="1">
      <c r="A115" s="2657" t="s">
        <v>666</v>
      </c>
      <c r="B115" s="1194"/>
      <c r="C115" s="1019"/>
      <c r="D115" s="1017"/>
      <c r="E115" s="830" t="str">
        <f>FHD_NUM_P_75</f>
        <v/>
      </c>
      <c r="F115" s="2164" t="str">
        <f>FHD_P_75</f>
        <v/>
      </c>
      <c r="G115" s="2160" t="s">
        <v>630</v>
      </c>
      <c r="H115" s="841"/>
      <c r="I115" s="841"/>
      <c r="J115" s="573" t="str">
        <f>FHD_NOTE_P_75</f>
        <v/>
      </c>
      <c r="K115" s="1018"/>
      <c r="L115" s="1019"/>
      <c r="M115" s="1019"/>
      <c r="N115" s="1194"/>
      <c r="O115" s="1194"/>
      <c r="P115" s="1194"/>
      <c r="Q115" s="1194"/>
      <c r="R115" s="1019"/>
      <c r="S115" s="1194"/>
      <c r="T115" s="1194"/>
      <c r="U115" s="1020"/>
      <c r="V115" s="1194"/>
      <c r="W115" s="1194"/>
      <c r="X115" s="1194"/>
      <c r="Y115" s="1194"/>
      <c r="Z115" s="1194"/>
      <c r="AA115" s="1021"/>
      <c r="AB115" s="1021"/>
      <c r="AC115" s="1021"/>
      <c r="AD115" s="1021"/>
      <c r="AE115" s="1021"/>
      <c r="AF115" s="1023">
        <v>0</v>
      </c>
    </row>
    <row s="30541" customFormat="1" customHeight="1" ht="18.75" hidden="1">
      <c r="A116" s="2657"/>
      <c r="B116" s="1194"/>
      <c r="C116" s="1019"/>
      <c r="D116" s="1017"/>
      <c r="E116" s="830" t="str">
        <f>FHD_NUM_P_76</f>
        <v/>
      </c>
      <c r="F116" s="2164" t="str">
        <f>FHD_P_76</f>
        <v/>
      </c>
      <c r="G116" s="2160" t="s">
        <v>630</v>
      </c>
      <c r="H116" s="841"/>
      <c r="I116" s="841"/>
      <c r="J116" s="573" t="str">
        <f>FHD_NOTE_P_76</f>
        <v/>
      </c>
      <c r="K116" s="1018"/>
      <c r="L116" s="1019"/>
      <c r="M116" s="1019"/>
      <c r="N116" s="1194"/>
      <c r="O116" s="1194"/>
      <c r="P116" s="1194"/>
      <c r="Q116" s="1194"/>
      <c r="R116" s="1019"/>
      <c r="S116" s="1194"/>
      <c r="T116" s="1194"/>
      <c r="U116" s="1020"/>
      <c r="V116" s="1194"/>
      <c r="W116" s="1194"/>
      <c r="X116" s="1194"/>
      <c r="Y116" s="1194"/>
      <c r="Z116" s="1194"/>
      <c r="AA116" s="1021"/>
      <c r="AB116" s="1021"/>
      <c r="AC116" s="1021"/>
      <c r="AD116" s="1021"/>
      <c r="AE116" s="1021"/>
      <c r="AF116" s="1023">
        <v>0</v>
      </c>
    </row>
    <row s="30541" customFormat="1" customHeight="1" ht="18.75" hidden="1">
      <c r="A117" s="2657"/>
      <c r="B117" s="1194"/>
      <c r="C117" s="1019"/>
      <c r="D117" s="1017"/>
      <c r="E117" s="830" t="str">
        <f>FHD_NUM_P_77</f>
        <v/>
      </c>
      <c r="F117" s="2164" t="str">
        <f>FHD_P_77</f>
        <v/>
      </c>
      <c r="G117" s="2160" t="s">
        <v>630</v>
      </c>
      <c r="H117" s="841"/>
      <c r="I117" s="841"/>
      <c r="J117" s="573" t="str">
        <f>FHD_NOTE_P_77</f>
        <v/>
      </c>
      <c r="K117" s="1018"/>
      <c r="L117" s="1019"/>
      <c r="M117" s="1019"/>
      <c r="N117" s="1194"/>
      <c r="O117" s="1194"/>
      <c r="P117" s="1194"/>
      <c r="Q117" s="1194"/>
      <c r="R117" s="1019"/>
      <c r="S117" s="1194"/>
      <c r="T117" s="1194"/>
      <c r="U117" s="1020"/>
      <c r="V117" s="1194"/>
      <c r="W117" s="1194"/>
      <c r="X117" s="1194"/>
      <c r="Y117" s="1194"/>
      <c r="Z117" s="1194"/>
      <c r="AA117" s="1021"/>
      <c r="AB117" s="1021"/>
      <c r="AC117" s="1021"/>
      <c r="AD117" s="1021"/>
      <c r="AE117" s="1021"/>
      <c r="AF117" s="1023">
        <v>0</v>
      </c>
    </row>
    <row s="30621" customFormat="1" customHeight="1" ht="0.75" hidden="1">
      <c r="A118" s="2657"/>
      <c r="D118" s="832"/>
      <c r="E118" s="1297" t="str">
        <f>E117&amp;".0"</f>
        <v>.0</v>
      </c>
      <c r="F118" s="1281"/>
      <c r="G118" s="1935"/>
      <c r="H118" s="1276"/>
      <c r="I118" s="1276"/>
      <c r="J118" s="1280"/>
      <c r="AF118" s="1920">
        <v>0</v>
      </c>
    </row>
    <row s="30541" customFormat="1" customHeight="1" ht="15" hidden="1">
      <c r="A119" s="2657"/>
      <c r="B119" s="1194"/>
      <c r="C119" s="1019"/>
      <c r="D119" s="1030"/>
      <c r="E119" s="1257"/>
      <c r="F119" s="1258" t="s">
        <v>667</v>
      </c>
      <c r="G119" s="1031"/>
      <c r="H119" s="1032"/>
      <c r="I119" s="1032"/>
      <c r="J119" s="1287" t="s">
        <v>668</v>
      </c>
      <c r="K119" s="1018"/>
      <c r="L119" s="1019"/>
      <c r="M119" s="1019"/>
      <c r="N119" s="1194"/>
      <c r="O119" s="1194"/>
      <c r="P119" s="1194"/>
      <c r="Q119" s="1194"/>
      <c r="R119" s="1019"/>
      <c r="S119" s="1194"/>
      <c r="T119" s="1194"/>
      <c r="U119" s="1020"/>
      <c r="V119" s="1194"/>
      <c r="W119" s="1194"/>
      <c r="X119" s="1194"/>
      <c r="Y119" s="1194"/>
      <c r="Z119" s="1194"/>
      <c r="AA119" s="1021"/>
      <c r="AB119" s="1021"/>
      <c r="AC119" s="1021"/>
      <c r="AD119" s="1021"/>
      <c r="AE119" s="1021"/>
      <c r="AF119" s="1023">
        <v>0</v>
      </c>
    </row>
    <row customHeight="1" ht="22.5">
      <c r="A120" s="2655" t="s">
        <v>669</v>
      </c>
      <c r="D120" s="1922"/>
      <c r="E120" s="830" t="str">
        <f>FHD_NUM_P_78</f>
        <v>15</v>
      </c>
      <c r="F120" s="216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161" t="s">
        <v>632</v>
      </c>
      <c r="H120" s="861"/>
      <c r="I120" s="861"/>
      <c r="J120" s="573" t="str">
        <f>FHD_NOTE_P_78</f>
        <v/>
      </c>
      <c r="K120" s="827"/>
      <c r="AF120" s="1915">
        <v>0</v>
      </c>
    </row>
    <row s="30621" customFormat="1" customHeight="1" ht="0.75">
      <c r="A121" s="2655"/>
      <c r="D121" s="832"/>
      <c r="E121" s="1297" t="str">
        <f>E120&amp;".0"</f>
        <v>15.0</v>
      </c>
      <c r="F121" s="1281"/>
      <c r="G121" s="1935"/>
      <c r="H121" s="1276"/>
      <c r="I121" s="1276"/>
      <c r="J121" s="1280"/>
      <c r="AF121" s="1920">
        <v>0</v>
      </c>
    </row>
    <row customHeight="1" ht="15">
      <c r="A122" s="2655"/>
      <c r="D122" s="1917"/>
      <c r="E122" s="854"/>
      <c r="F122" s="1452" t="s">
        <v>658</v>
      </c>
      <c r="G122" s="856"/>
      <c r="H122" s="857"/>
      <c r="I122" s="857"/>
      <c r="J122" s="1288" t="s">
        <v>670</v>
      </c>
      <c r="K122" s="827"/>
      <c r="AF122" s="1915">
        <v>0</v>
      </c>
    </row>
    <row customHeight="1" ht="22.5">
      <c r="A123" s="2655"/>
      <c r="D123" s="1922"/>
      <c r="E123" s="830" t="str">
        <f>FHD_NUM_P_79</f>
        <v>16</v>
      </c>
      <c r="F123" s="216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162" t="s">
        <v>634</v>
      </c>
      <c r="H123" s="861"/>
      <c r="I123" s="861"/>
      <c r="J123" s="573"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827"/>
      <c r="AF123" s="1915">
        <v>0</v>
      </c>
    </row>
    <row s="30621" customFormat="1" customHeight="1" ht="0.75">
      <c r="A124" s="2655"/>
      <c r="D124" s="832"/>
      <c r="E124" s="1297" t="str">
        <f>E123&amp;".0"</f>
        <v>16.0</v>
      </c>
      <c r="F124" s="1282"/>
      <c r="G124" s="1935"/>
      <c r="H124" s="1276"/>
      <c r="I124" s="1276"/>
      <c r="J124" s="1280"/>
      <c r="AF124" s="1920">
        <v>0</v>
      </c>
    </row>
    <row customHeight="1" ht="15">
      <c r="A125" s="2655"/>
      <c r="D125" s="1917"/>
      <c r="E125" s="854"/>
      <c r="F125" s="1452" t="s">
        <v>658</v>
      </c>
      <c r="G125" s="856"/>
      <c r="H125" s="857"/>
      <c r="I125" s="857"/>
      <c r="J125" s="1288" t="s">
        <v>671</v>
      </c>
      <c r="K125" s="827"/>
      <c r="AF125" s="1915">
        <v>0</v>
      </c>
    </row>
    <row customHeight="1" ht="22.5">
      <c r="A126" s="2655"/>
      <c r="D126" s="1922"/>
      <c r="E126" s="830" t="str">
        <f>FHD_NUM_P_80</f>
        <v>17</v>
      </c>
      <c r="F126" s="216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162" t="s">
        <v>672</v>
      </c>
      <c r="H126" s="841"/>
      <c r="I126" s="841"/>
      <c r="J126" s="573" t="str">
        <f>FHD_NOTE_P_80</f>
        <v>Регулируемыми организациями указывается информация с по договорам, заключенным в рамках осуществления регулируемой деятельности.</v>
      </c>
      <c r="K126" s="827"/>
      <c r="AF126" s="1915">
        <v>0</v>
      </c>
    </row>
    <row customHeight="1" ht="18.75">
      <c r="A127" s="2655"/>
      <c r="D127" s="1922"/>
      <c r="E127" s="830" t="str">
        <f>FHD_NUM_P_81</f>
        <v>18</v>
      </c>
      <c r="F127" s="216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162" t="s">
        <v>673</v>
      </c>
      <c r="H127" s="841"/>
      <c r="I127" s="841"/>
      <c r="J127" s="573" t="str">
        <f>FHD_NOTE_P_81</f>
        <v>Регулируемыми организациями указывается информация с по договорам, заключенным в рамках осуществления регулируемой деятельности.</v>
      </c>
      <c r="K127" s="827"/>
      <c r="AF127" s="1915">
        <v>0</v>
      </c>
    </row>
    <row customHeight="1" ht="18.75">
      <c r="A128" s="2655"/>
      <c r="C128" s="1920" t="s">
        <v>660</v>
      </c>
      <c r="D128" s="1922"/>
      <c r="E128" s="830" t="str">
        <f>FHD_NUM_P_82</f>
        <v>19</v>
      </c>
      <c r="F128" s="216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162" t="s">
        <v>366</v>
      </c>
      <c r="H128" s="685"/>
      <c r="I128" s="685"/>
      <c r="J128" s="573" t="str">
        <f>FHD_NOTE_P_82</f>
        <v>Указывается ссылка на документ, предварительно загруженный в хранилище файлов ФГИС ЕИАС.</v>
      </c>
      <c r="K128" s="827"/>
      <c r="AF128" s="1915">
        <v>0</v>
      </c>
    </row>
    <row customHeight="1" ht="18.75">
      <c r="A129" s="2655"/>
      <c r="C129" s="1920" t="s">
        <v>660</v>
      </c>
      <c r="D129" s="1922"/>
      <c r="E129" s="830" t="str">
        <f>FHD_NUM_P_83</f>
        <v>19.1</v>
      </c>
      <c r="F129" s="1808" t="str">
        <f>FHD_P_83</f>
        <v>Информация о показателях физического износа объектов теплоснабжения</v>
      </c>
      <c r="G129" s="2162" t="s">
        <v>366</v>
      </c>
      <c r="H129" s="685"/>
      <c r="I129" s="685"/>
      <c r="J129" s="573" t="str">
        <f>FHD_NOTE_P_83</f>
        <v>Указывается ссылка на документ, предварительно загруженный в хранилище файлов ФГИС ЕИАС.</v>
      </c>
      <c r="K129" s="827"/>
      <c r="AF129" s="1915">
        <v>0</v>
      </c>
    </row>
    <row customHeight="1" ht="18.75">
      <c r="A130" s="2655"/>
      <c r="C130" s="1920" t="s">
        <v>660</v>
      </c>
      <c r="D130" s="1922"/>
      <c r="E130" s="830" t="str">
        <f>FHD_NUM_P_84</f>
        <v>19.2</v>
      </c>
      <c r="F130" s="1808" t="str">
        <f>FHD_P_84</f>
        <v>Информация о показателях энергетической эффективности объектов теплоснабжения</v>
      </c>
      <c r="G130" s="2162" t="s">
        <v>366</v>
      </c>
      <c r="H130" s="685"/>
      <c r="I130" s="685"/>
      <c r="J130" s="573" t="str">
        <f>FHD_NOTE_P_84</f>
        <v>Указывается ссылка на документ, предварительно загруженный в хранилище файлов ФГИС ЕИАС.</v>
      </c>
      <c r="K130" s="827"/>
      <c r="AF130" s="1915">
        <v>0</v>
      </c>
    </row>
    <row customHeight="1" ht="11.549999999999999">
      <c r="D131" s="1922"/>
      <c r="AF131" s="1915">
        <v>11</v>
      </c>
    </row>
    <row customHeight="1" ht="13.5">
      <c r="D132" s="1922"/>
      <c r="E132" s="620"/>
      <c r="F132" s="653"/>
      <c r="G132" s="653"/>
      <c r="H132" s="653"/>
      <c r="I132" s="1931"/>
      <c r="J132" s="865"/>
      <c r="AF132" s="1915">
        <v>13</v>
      </c>
    </row>
    <row s="31261" customFormat="1" customHeight="1" ht="11.549999999999999">
      <c r="A133" s="1271"/>
      <c r="B133" s="1920"/>
      <c r="C133" s="1920"/>
      <c r="D133" s="635"/>
      <c r="F133" s="1924"/>
      <c r="G133" s="1915"/>
      <c r="H133" s="1915"/>
      <c r="I133" s="1915"/>
      <c r="K133" s="1444"/>
      <c r="L133" s="1920"/>
      <c r="M133" s="1920"/>
      <c r="N133" s="1444"/>
      <c r="O133" s="1444"/>
      <c r="P133" s="1444"/>
      <c r="Q133" s="1444"/>
      <c r="R133" s="1920"/>
      <c r="S133" s="1444"/>
      <c r="T133" s="1444"/>
      <c r="U133" s="828"/>
      <c r="V133" s="1444"/>
      <c r="W133" s="1444"/>
      <c r="X133" s="1444"/>
      <c r="Y133" s="1444"/>
      <c r="Z133" s="1444"/>
      <c r="AA133" s="1916"/>
      <c r="AB133" s="850"/>
      <c r="AC133" s="850"/>
      <c r="AD133" s="850"/>
      <c r="AE133" s="850"/>
      <c r="AF133" s="1925">
        <v>11</v>
      </c>
    </row>
    <row s="31261" customFormat="1" customHeight="1" ht="11.549999999999999">
      <c r="A134" s="1271"/>
      <c r="B134" s="1920"/>
      <c r="C134" s="1920"/>
      <c r="D134" s="635"/>
      <c r="K134" s="1444"/>
      <c r="L134" s="1920"/>
      <c r="M134" s="1920"/>
      <c r="N134" s="1444"/>
      <c r="O134" s="1444"/>
      <c r="P134" s="1444"/>
      <c r="Q134" s="1444"/>
      <c r="R134" s="1920"/>
      <c r="S134" s="1444"/>
      <c r="T134" s="1444"/>
      <c r="U134" s="828"/>
      <c r="V134" s="1444"/>
      <c r="W134" s="1444"/>
      <c r="X134" s="1444"/>
      <c r="Y134" s="1444"/>
      <c r="Z134" s="1444"/>
      <c r="AA134" s="1916"/>
      <c r="AB134" s="850"/>
      <c r="AC134" s="850"/>
      <c r="AD134" s="850"/>
      <c r="AE134" s="850"/>
      <c r="AF134" s="1925">
        <v>11</v>
      </c>
    </row>
    <row s="31261" customFormat="1" customHeight="1" ht="11.549999999999999">
      <c r="A135" s="1271"/>
      <c r="B135" s="1920"/>
      <c r="C135" s="1920"/>
      <c r="D135" s="635"/>
      <c r="K135" s="1444"/>
      <c r="L135" s="1920"/>
      <c r="M135" s="1920"/>
      <c r="N135" s="1444"/>
      <c r="O135" s="1444"/>
      <c r="P135" s="1444"/>
      <c r="Q135" s="1444"/>
      <c r="R135" s="1920"/>
      <c r="S135" s="1444"/>
      <c r="T135" s="1444"/>
      <c r="U135" s="828"/>
      <c r="V135" s="1444"/>
      <c r="W135" s="1444"/>
      <c r="X135" s="1444"/>
      <c r="Y135" s="1444"/>
      <c r="Z135" s="1444"/>
      <c r="AA135" s="1916"/>
      <c r="AB135" s="850"/>
      <c r="AC135" s="850"/>
      <c r="AD135" s="850"/>
      <c r="AE135" s="850"/>
      <c r="AF135" s="1925">
        <v>11</v>
      </c>
    </row>
    <row s="31261" customFormat="1" customHeight="1" ht="11.549999999999999">
      <c r="A136" s="1271"/>
      <c r="B136" s="1920"/>
      <c r="C136" s="1920"/>
      <c r="D136" s="635"/>
      <c r="H136" s="850" t="str">
        <f>IF(H30-H31&lt;&gt;H72,"WARNING","")</f>
        <v/>
      </c>
      <c r="I136" s="850" t="str">
        <f>IF(I30-I31&lt;&gt;I72,"WARNING","")</f>
        <v/>
      </c>
      <c r="K136" s="1444"/>
      <c r="L136" s="1920"/>
      <c r="M136" s="1920"/>
      <c r="N136" s="1444"/>
      <c r="O136" s="1444"/>
      <c r="P136" s="1444"/>
      <c r="Q136" s="1444"/>
      <c r="R136" s="1920"/>
      <c r="S136" s="1444"/>
      <c r="T136" s="1444"/>
      <c r="U136" s="828"/>
      <c r="V136" s="1444"/>
      <c r="W136" s="1444"/>
      <c r="X136" s="1444"/>
      <c r="Y136" s="1444"/>
      <c r="Z136" s="1444"/>
      <c r="AA136" s="1916"/>
      <c r="AB136" s="850"/>
      <c r="AC136" s="850"/>
      <c r="AD136" s="850"/>
      <c r="AE136" s="850"/>
      <c r="AF136" s="1925">
        <v>11</v>
      </c>
    </row>
    <row s="31261" customFormat="1" customHeight="1" ht="11.549999999999999">
      <c r="A137" s="1271"/>
      <c r="B137" s="1920"/>
      <c r="C137" s="1920"/>
      <c r="D137" s="635"/>
      <c r="K137" s="1444"/>
      <c r="L137" s="1920"/>
      <c r="M137" s="1920"/>
      <c r="N137" s="1444"/>
      <c r="O137" s="1444"/>
      <c r="P137" s="1444"/>
      <c r="Q137" s="1444"/>
      <c r="R137" s="1920"/>
      <c r="S137" s="1444"/>
      <c r="T137" s="1444"/>
      <c r="U137" s="828"/>
      <c r="V137" s="1444"/>
      <c r="W137" s="1444"/>
      <c r="X137" s="1444"/>
      <c r="Y137" s="1444"/>
      <c r="Z137" s="1444"/>
      <c r="AA137" s="1916"/>
      <c r="AB137" s="850"/>
      <c r="AC137" s="850"/>
      <c r="AD137" s="850"/>
      <c r="AE137" s="850"/>
      <c r="AF137" s="1925">
        <v>11</v>
      </c>
    </row>
    <row s="31261" customFormat="1" customHeight="1" ht="11.549999999999999">
      <c r="A138" s="1271"/>
      <c r="B138" s="1920"/>
      <c r="C138" s="1920"/>
      <c r="D138" s="635"/>
      <c r="K138" s="1444"/>
      <c r="L138" s="1920"/>
      <c r="M138" s="1920"/>
      <c r="N138" s="1444"/>
      <c r="O138" s="1444"/>
      <c r="P138" s="1444"/>
      <c r="Q138" s="1444"/>
      <c r="R138" s="1920"/>
      <c r="S138" s="1444"/>
      <c r="T138" s="1444"/>
      <c r="U138" s="828"/>
      <c r="V138" s="1444"/>
      <c r="W138" s="1444"/>
      <c r="X138" s="1444"/>
      <c r="Y138" s="1444"/>
      <c r="Z138" s="1444"/>
      <c r="AA138" s="1916"/>
      <c r="AB138" s="850"/>
      <c r="AC138" s="850"/>
      <c r="AD138" s="850"/>
      <c r="AE138" s="850"/>
      <c r="AF138" s="1925">
        <v>11</v>
      </c>
    </row>
    <row s="31261" customFormat="1" customHeight="1" ht="11.549999999999999">
      <c r="A139" s="1271"/>
      <c r="B139" s="1920"/>
      <c r="C139" s="1920"/>
      <c r="D139" s="635"/>
      <c r="K139" s="1444"/>
      <c r="L139" s="1920"/>
      <c r="M139" s="1920"/>
      <c r="N139" s="1444"/>
      <c r="O139" s="1444"/>
      <c r="P139" s="1444"/>
      <c r="Q139" s="1444"/>
      <c r="R139" s="1920"/>
      <c r="S139" s="1444"/>
      <c r="T139" s="1444"/>
      <c r="U139" s="828"/>
      <c r="V139" s="1444"/>
      <c r="W139" s="1444"/>
      <c r="X139" s="1444"/>
      <c r="Y139" s="1444"/>
      <c r="Z139" s="1444"/>
      <c r="AA139" s="1916"/>
      <c r="AB139" s="850"/>
      <c r="AC139" s="850"/>
      <c r="AD139" s="850"/>
      <c r="AE139" s="850"/>
      <c r="AF139" s="1925">
        <v>11</v>
      </c>
    </row>
    <row s="31261" customFormat="1" customHeight="1" ht="11.549999999999999">
      <c r="A140" s="1271"/>
      <c r="B140" s="1920"/>
      <c r="C140" s="1920"/>
      <c r="D140" s="635"/>
      <c r="K140" s="1444"/>
      <c r="L140" s="1920"/>
      <c r="M140" s="1920"/>
      <c r="N140" s="1444"/>
      <c r="O140" s="1444"/>
      <c r="P140" s="1444"/>
      <c r="Q140" s="1444"/>
      <c r="R140" s="1920"/>
      <c r="S140" s="1444"/>
      <c r="T140" s="1444"/>
      <c r="U140" s="828"/>
      <c r="V140" s="1444"/>
      <c r="W140" s="1444"/>
      <c r="X140" s="1444"/>
      <c r="Y140" s="1444"/>
      <c r="Z140" s="1444"/>
      <c r="AA140" s="1916"/>
      <c r="AB140" s="850"/>
      <c r="AC140" s="850"/>
      <c r="AD140" s="850"/>
      <c r="AE140" s="850"/>
      <c r="AF140" s="1925">
        <v>11</v>
      </c>
    </row>
    <row s="31261" customFormat="1" customHeight="1" ht="11.549999999999999">
      <c r="A141" s="1271"/>
      <c r="B141" s="1920"/>
      <c r="C141" s="1920"/>
      <c r="D141" s="635"/>
      <c r="K141" s="1444"/>
      <c r="L141" s="1920"/>
      <c r="M141" s="1920"/>
      <c r="N141" s="1444"/>
      <c r="O141" s="1444"/>
      <c r="P141" s="1444"/>
      <c r="Q141" s="1444"/>
      <c r="R141" s="1920"/>
      <c r="S141" s="1444"/>
      <c r="T141" s="1444"/>
      <c r="U141" s="828"/>
      <c r="V141" s="1444"/>
      <c r="W141" s="1444"/>
      <c r="X141" s="1444"/>
      <c r="Y141" s="1444"/>
      <c r="Z141" s="1444"/>
      <c r="AA141" s="1916"/>
      <c r="AB141" s="850"/>
      <c r="AC141" s="850"/>
      <c r="AD141" s="850"/>
      <c r="AE141" s="850"/>
      <c r="AF141" s="1925">
        <v>11</v>
      </c>
    </row>
    <row s="31261" customFormat="1" customHeight="1" ht="11.549999999999999">
      <c r="A142" s="1271"/>
      <c r="B142" s="1920"/>
      <c r="C142" s="1920"/>
      <c r="D142" s="635"/>
      <c r="K142" s="1444"/>
      <c r="L142" s="1920"/>
      <c r="M142" s="1920"/>
      <c r="N142" s="1444"/>
      <c r="O142" s="1444"/>
      <c r="P142" s="1444"/>
      <c r="Q142" s="1444"/>
      <c r="R142" s="1920"/>
      <c r="S142" s="1444"/>
      <c r="T142" s="1444"/>
      <c r="U142" s="828"/>
      <c r="V142" s="1444"/>
      <c r="W142" s="1444"/>
      <c r="X142" s="1444"/>
      <c r="Y142" s="1444"/>
      <c r="Z142" s="1444"/>
      <c r="AA142" s="1916"/>
      <c r="AB142" s="850"/>
      <c r="AC142" s="850"/>
      <c r="AD142" s="850"/>
      <c r="AE142" s="850"/>
      <c r="AF142" s="1925">
        <v>11</v>
      </c>
    </row>
    <row s="31261" customFormat="1" customHeight="1" ht="11.549999999999999">
      <c r="A143" s="1271"/>
      <c r="B143" s="1920"/>
      <c r="C143" s="1920"/>
      <c r="D143" s="635"/>
      <c r="K143" s="1444"/>
      <c r="L143" s="1920"/>
      <c r="M143" s="1920"/>
      <c r="N143" s="1444"/>
      <c r="O143" s="1444"/>
      <c r="P143" s="1444"/>
      <c r="Q143" s="1444"/>
      <c r="R143" s="1920"/>
      <c r="S143" s="1444"/>
      <c r="T143" s="1444"/>
      <c r="U143" s="828"/>
      <c r="V143" s="1444"/>
      <c r="W143" s="1444"/>
      <c r="X143" s="1444"/>
      <c r="Y143" s="1444"/>
      <c r="Z143" s="1444"/>
      <c r="AA143" s="1916"/>
      <c r="AB143" s="850"/>
      <c r="AC143" s="850"/>
      <c r="AD143" s="850"/>
      <c r="AE143" s="850"/>
      <c r="AF143" s="1925">
        <v>11</v>
      </c>
    </row>
    <row s="31261" customFormat="1" customHeight="1" ht="11.549999999999999">
      <c r="A144" s="1271"/>
      <c r="B144" s="1920"/>
      <c r="C144" s="1920"/>
      <c r="D144" s="635"/>
      <c r="K144" s="1444"/>
      <c r="L144" s="1920"/>
      <c r="M144" s="1920"/>
      <c r="N144" s="1444"/>
      <c r="O144" s="1444"/>
      <c r="P144" s="1444"/>
      <c r="Q144" s="1444"/>
      <c r="R144" s="1920"/>
      <c r="S144" s="1444"/>
      <c r="T144" s="1444"/>
      <c r="U144" s="828"/>
      <c r="V144" s="1444"/>
      <c r="W144" s="1444"/>
      <c r="X144" s="1444"/>
      <c r="Y144" s="1444"/>
      <c r="Z144" s="1444"/>
      <c r="AA144" s="1916"/>
      <c r="AB144" s="850"/>
      <c r="AC144" s="850"/>
      <c r="AD144" s="850"/>
      <c r="AE144" s="850"/>
      <c r="AF144" s="1925">
        <v>11</v>
      </c>
    </row>
    <row s="31261" customFormat="1" customHeight="1" ht="11.549999999999999">
      <c r="A145" s="1271"/>
      <c r="B145" s="1920"/>
      <c r="C145" s="1920"/>
      <c r="D145" s="635"/>
      <c r="K145" s="1444"/>
      <c r="L145" s="1920"/>
      <c r="M145" s="1920"/>
      <c r="N145" s="1444"/>
      <c r="O145" s="1444"/>
      <c r="P145" s="1444"/>
      <c r="Q145" s="1444"/>
      <c r="R145" s="1920"/>
      <c r="S145" s="1444"/>
      <c r="T145" s="1444"/>
      <c r="U145" s="828"/>
      <c r="V145" s="1444"/>
      <c r="W145" s="1444"/>
      <c r="X145" s="1444"/>
      <c r="Y145" s="1444"/>
      <c r="Z145" s="1444"/>
      <c r="AA145" s="1916"/>
      <c r="AB145" s="850"/>
      <c r="AC145" s="850"/>
      <c r="AD145" s="850"/>
      <c r="AE145" s="850"/>
      <c r="AF145" s="1925">
        <v>11</v>
      </c>
    </row>
    <row s="31261" customFormat="1" customHeight="1" ht="11.549999999999999">
      <c r="A146" s="1271"/>
      <c r="B146" s="1920"/>
      <c r="C146" s="1920"/>
      <c r="D146" s="635"/>
      <c r="K146" s="1444"/>
      <c r="L146" s="1920"/>
      <c r="M146" s="1920"/>
      <c r="N146" s="1444"/>
      <c r="O146" s="1444"/>
      <c r="P146" s="1444"/>
      <c r="Q146" s="1444"/>
      <c r="R146" s="1920"/>
      <c r="S146" s="1444"/>
      <c r="T146" s="1444"/>
      <c r="U146" s="828"/>
      <c r="V146" s="1444"/>
      <c r="W146" s="1444"/>
      <c r="X146" s="1444"/>
      <c r="Y146" s="1444"/>
      <c r="Z146" s="1444"/>
      <c r="AA146" s="1916"/>
      <c r="AB146" s="850"/>
      <c r="AC146" s="850"/>
      <c r="AD146" s="850"/>
      <c r="AE146" s="850"/>
      <c r="AF146" s="1925">
        <v>11</v>
      </c>
    </row>
    <row s="31261" customFormat="1" customHeight="1" ht="11.549999999999999">
      <c r="A147" s="1271"/>
      <c r="B147" s="1920"/>
      <c r="C147" s="1920"/>
      <c r="D147" s="635"/>
      <c r="K147" s="1444"/>
      <c r="L147" s="1920"/>
      <c r="M147" s="1920"/>
      <c r="N147" s="1444"/>
      <c r="O147" s="1444"/>
      <c r="P147" s="1444"/>
      <c r="Q147" s="1444"/>
      <c r="R147" s="1920"/>
      <c r="S147" s="1444"/>
      <c r="T147" s="1444"/>
      <c r="U147" s="828"/>
      <c r="V147" s="1444"/>
      <c r="W147" s="1444"/>
      <c r="X147" s="1444"/>
      <c r="Y147" s="1444"/>
      <c r="Z147" s="1444"/>
      <c r="AA147" s="1916"/>
      <c r="AB147" s="850"/>
      <c r="AC147" s="850"/>
      <c r="AD147" s="850"/>
      <c r="AE147" s="850"/>
      <c r="AF147" s="1925">
        <v>11</v>
      </c>
    </row>
    <row s="31261" customFormat="1" customHeight="1" ht="11.549999999999999">
      <c r="A148" s="1271"/>
      <c r="B148" s="1920"/>
      <c r="C148" s="1920"/>
      <c r="D148" s="635"/>
      <c r="K148" s="1444"/>
      <c r="L148" s="1920"/>
      <c r="M148" s="1920"/>
      <c r="N148" s="1444"/>
      <c r="O148" s="1444"/>
      <c r="P148" s="1444"/>
      <c r="Q148" s="1444"/>
      <c r="R148" s="1920"/>
      <c r="S148" s="1444"/>
      <c r="T148" s="1444"/>
      <c r="U148" s="828"/>
      <c r="V148" s="1444"/>
      <c r="W148" s="1444"/>
      <c r="X148" s="1444"/>
      <c r="Y148" s="1444"/>
      <c r="Z148" s="1444"/>
      <c r="AA148" s="1916"/>
      <c r="AB148" s="850"/>
      <c r="AC148" s="850"/>
      <c r="AD148" s="850"/>
      <c r="AE148" s="850"/>
      <c r="AF148" s="1925">
        <v>11</v>
      </c>
    </row>
    <row s="31261" customFormat="1" customHeight="1" ht="11.549999999999999">
      <c r="A149" s="1271"/>
      <c r="B149" s="1920"/>
      <c r="C149" s="1920"/>
      <c r="D149" s="635"/>
      <c r="K149" s="1444"/>
      <c r="L149" s="1920"/>
      <c r="M149" s="1920"/>
      <c r="N149" s="1444"/>
      <c r="O149" s="1444"/>
      <c r="P149" s="1444"/>
      <c r="Q149" s="1444"/>
      <c r="R149" s="1920"/>
      <c r="S149" s="1444"/>
      <c r="T149" s="1444"/>
      <c r="U149" s="828"/>
      <c r="V149" s="1444"/>
      <c r="W149" s="1444"/>
      <c r="X149" s="1444"/>
      <c r="Y149" s="1444"/>
      <c r="Z149" s="1444"/>
      <c r="AA149" s="1916"/>
      <c r="AB149" s="850"/>
      <c r="AC149" s="850"/>
      <c r="AD149" s="850"/>
      <c r="AE149" s="850"/>
      <c r="AF149" s="1925">
        <v>11</v>
      </c>
    </row>
    <row s="31261" customFormat="1" customHeight="1" ht="11.549999999999999">
      <c r="A150" s="1271"/>
      <c r="B150" s="1920"/>
      <c r="C150" s="1920"/>
      <c r="D150" s="635"/>
      <c r="K150" s="1444"/>
      <c r="L150" s="1920"/>
      <c r="M150" s="1920"/>
      <c r="N150" s="1444"/>
      <c r="O150" s="1444"/>
      <c r="P150" s="1444"/>
      <c r="Q150" s="1444"/>
      <c r="R150" s="1920"/>
      <c r="S150" s="1444"/>
      <c r="T150" s="1444"/>
      <c r="U150" s="828"/>
      <c r="V150" s="1444"/>
      <c r="W150" s="1444"/>
      <c r="X150" s="1444"/>
      <c r="Y150" s="1444"/>
      <c r="Z150" s="1444"/>
      <c r="AA150" s="1916"/>
      <c r="AB150" s="850"/>
      <c r="AC150" s="850"/>
      <c r="AD150" s="850"/>
      <c r="AE150" s="850"/>
      <c r="AF150" s="1925">
        <v>11</v>
      </c>
    </row>
    <row s="31261" customFormat="1" customHeight="1" ht="11.549999999999999">
      <c r="A151" s="1271"/>
      <c r="B151" s="1920"/>
      <c r="C151" s="1920"/>
      <c r="D151" s="635"/>
      <c r="K151" s="1444"/>
      <c r="L151" s="1920"/>
      <c r="M151" s="1920"/>
      <c r="N151" s="1444"/>
      <c r="O151" s="1444"/>
      <c r="P151" s="1444"/>
      <c r="Q151" s="1444"/>
      <c r="R151" s="1920"/>
      <c r="S151" s="1444"/>
      <c r="T151" s="1444"/>
      <c r="U151" s="828"/>
      <c r="V151" s="1444"/>
      <c r="W151" s="1444"/>
      <c r="X151" s="1444"/>
      <c r="Y151" s="1444"/>
      <c r="Z151" s="1444"/>
      <c r="AA151" s="1916"/>
      <c r="AB151" s="850"/>
      <c r="AC151" s="850"/>
      <c r="AD151" s="850"/>
      <c r="AE151" s="850"/>
      <c r="AF151" s="1925">
        <v>11</v>
      </c>
    </row>
    <row s="31261" customFormat="1" customHeight="1" ht="11.549999999999999">
      <c r="A152" s="1271"/>
      <c r="B152" s="1920"/>
      <c r="C152" s="1920"/>
      <c r="D152" s="635"/>
      <c r="K152" s="1444"/>
      <c r="L152" s="1920"/>
      <c r="M152" s="1920"/>
      <c r="N152" s="1444"/>
      <c r="O152" s="1444"/>
      <c r="P152" s="1444"/>
      <c r="Q152" s="1444"/>
      <c r="R152" s="1920"/>
      <c r="S152" s="1444"/>
      <c r="T152" s="1444"/>
      <c r="U152" s="828"/>
      <c r="V152" s="1444"/>
      <c r="W152" s="1444"/>
      <c r="X152" s="1444"/>
      <c r="Y152" s="1444"/>
      <c r="Z152" s="1444"/>
      <c r="AA152" s="1916"/>
      <c r="AB152" s="850"/>
      <c r="AC152" s="850"/>
      <c r="AD152" s="850"/>
      <c r="AE152" s="850"/>
      <c r="AF152" s="1925">
        <v>11</v>
      </c>
    </row>
    <row s="31261" customFormat="1" customHeight="1" ht="11.549999999999999">
      <c r="A153" s="1271"/>
      <c r="B153" s="1920"/>
      <c r="C153" s="1920"/>
      <c r="D153" s="635"/>
      <c r="K153" s="1444"/>
      <c r="L153" s="1920"/>
      <c r="M153" s="1920"/>
      <c r="N153" s="1444"/>
      <c r="O153" s="1444"/>
      <c r="P153" s="1444"/>
      <c r="Q153" s="1444"/>
      <c r="R153" s="1920"/>
      <c r="S153" s="1444"/>
      <c r="T153" s="1444"/>
      <c r="U153" s="828"/>
      <c r="V153" s="1444"/>
      <c r="W153" s="1444"/>
      <c r="X153" s="1444"/>
      <c r="Y153" s="1444"/>
      <c r="Z153" s="1444"/>
      <c r="AA153" s="1916"/>
      <c r="AB153" s="850"/>
      <c r="AC153" s="850"/>
      <c r="AD153" s="850"/>
      <c r="AE153" s="850"/>
      <c r="AF153" s="1925">
        <v>11</v>
      </c>
    </row>
    <row s="31261" customFormat="1" customHeight="1" ht="11.549999999999999">
      <c r="A154" s="1271"/>
      <c r="B154" s="1920"/>
      <c r="C154" s="1920"/>
      <c r="D154" s="635"/>
      <c r="K154" s="1444"/>
      <c r="L154" s="1920"/>
      <c r="M154" s="1920"/>
      <c r="N154" s="1444"/>
      <c r="O154" s="1444"/>
      <c r="P154" s="1444"/>
      <c r="Q154" s="1444"/>
      <c r="R154" s="1920"/>
      <c r="S154" s="1444"/>
      <c r="T154" s="1444"/>
      <c r="U154" s="828"/>
      <c r="V154" s="1444"/>
      <c r="W154" s="1444"/>
      <c r="X154" s="1444"/>
      <c r="Y154" s="1444"/>
      <c r="Z154" s="1444"/>
      <c r="AA154" s="1916"/>
      <c r="AB154" s="850"/>
      <c r="AC154" s="850"/>
      <c r="AD154" s="850"/>
      <c r="AE154" s="850"/>
      <c r="AF154" s="1925">
        <v>11</v>
      </c>
    </row>
    <row s="31261" customFormat="1" customHeight="1" ht="11.549999999999999">
      <c r="A155" s="1271"/>
      <c r="B155" s="1920"/>
      <c r="C155" s="1920"/>
      <c r="D155" s="635"/>
      <c r="K155" s="1444"/>
      <c r="L155" s="1920"/>
      <c r="M155" s="1920"/>
      <c r="N155" s="1444"/>
      <c r="O155" s="1444"/>
      <c r="P155" s="1444"/>
      <c r="Q155" s="1444"/>
      <c r="R155" s="1920"/>
      <c r="S155" s="1444"/>
      <c r="T155" s="1444"/>
      <c r="U155" s="828"/>
      <c r="V155" s="1444"/>
      <c r="W155" s="1444"/>
      <c r="X155" s="1444"/>
      <c r="Y155" s="1444"/>
      <c r="Z155" s="1444"/>
      <c r="AA155" s="1916"/>
      <c r="AB155" s="850"/>
      <c r="AC155" s="850"/>
      <c r="AD155" s="850"/>
      <c r="AE155" s="850"/>
      <c r="AF155" s="1925">
        <v>11</v>
      </c>
    </row>
    <row s="31261" customFormat="1" customHeight="1" ht="11.549999999999999">
      <c r="A156" s="1271"/>
      <c r="B156" s="1920"/>
      <c r="C156" s="1920"/>
      <c r="D156" s="635"/>
      <c r="K156" s="1444"/>
      <c r="L156" s="1920"/>
      <c r="M156" s="1920"/>
      <c r="N156" s="1444"/>
      <c r="O156" s="1444"/>
      <c r="P156" s="1444"/>
      <c r="Q156" s="1444"/>
      <c r="R156" s="1920"/>
      <c r="S156" s="1444"/>
      <c r="T156" s="1444"/>
      <c r="U156" s="828"/>
      <c r="V156" s="1444"/>
      <c r="W156" s="1444"/>
      <c r="X156" s="1444"/>
      <c r="Y156" s="1444"/>
      <c r="Z156" s="1444"/>
      <c r="AA156" s="1916"/>
      <c r="AB156" s="850"/>
      <c r="AC156" s="850"/>
      <c r="AD156" s="850"/>
      <c r="AE156" s="850"/>
      <c r="AF156" s="1925">
        <v>11</v>
      </c>
    </row>
    <row s="31261" customFormat="1" customHeight="1" ht="11.549999999999999">
      <c r="A157" s="1271"/>
      <c r="B157" s="1920"/>
      <c r="C157" s="1920"/>
      <c r="D157" s="635"/>
      <c r="K157" s="1444"/>
      <c r="L157" s="1920"/>
      <c r="M157" s="1920"/>
      <c r="N157" s="1444"/>
      <c r="O157" s="1444"/>
      <c r="P157" s="1444"/>
      <c r="Q157" s="1444"/>
      <c r="R157" s="1920"/>
      <c r="S157" s="1444"/>
      <c r="T157" s="1444"/>
      <c r="U157" s="828"/>
      <c r="V157" s="1444"/>
      <c r="W157" s="1444"/>
      <c r="X157" s="1444"/>
      <c r="Y157" s="1444"/>
      <c r="Z157" s="1444"/>
      <c r="AA157" s="1916"/>
      <c r="AB157" s="850"/>
      <c r="AC157" s="850"/>
      <c r="AD157" s="850"/>
      <c r="AE157" s="850"/>
      <c r="AF157" s="1925">
        <v>11</v>
      </c>
    </row>
    <row s="31261" customFormat="1" customHeight="1" ht="11.549999999999999">
      <c r="A158" s="1271"/>
      <c r="B158" s="1920"/>
      <c r="C158" s="1920"/>
      <c r="D158" s="635"/>
      <c r="K158" s="1444"/>
      <c r="L158" s="1920"/>
      <c r="M158" s="1920"/>
      <c r="N158" s="1444"/>
      <c r="O158" s="1444"/>
      <c r="P158" s="1444"/>
      <c r="Q158" s="1444"/>
      <c r="R158" s="1920"/>
      <c r="S158" s="1444"/>
      <c r="T158" s="1444"/>
      <c r="U158" s="828"/>
      <c r="V158" s="1444"/>
      <c r="W158" s="1444"/>
      <c r="X158" s="1444"/>
      <c r="Y158" s="1444"/>
      <c r="Z158" s="1444"/>
      <c r="AA158" s="1916"/>
      <c r="AB158" s="850"/>
      <c r="AC158" s="850"/>
      <c r="AD158" s="850"/>
      <c r="AE158" s="850"/>
      <c r="AF158" s="1925">
        <v>11</v>
      </c>
    </row>
    <row s="31261" customFormat="1" customHeight="1" ht="11.549999999999999">
      <c r="A159" s="1271"/>
      <c r="B159" s="1920"/>
      <c r="C159" s="1920"/>
      <c r="D159" s="635"/>
      <c r="K159" s="1444"/>
      <c r="L159" s="1920"/>
      <c r="M159" s="1920"/>
      <c r="N159" s="1444"/>
      <c r="O159" s="1444"/>
      <c r="P159" s="1444"/>
      <c r="Q159" s="1444"/>
      <c r="R159" s="1920"/>
      <c r="S159" s="1444"/>
      <c r="T159" s="1444"/>
      <c r="U159" s="828"/>
      <c r="V159" s="1444"/>
      <c r="W159" s="1444"/>
      <c r="X159" s="1444"/>
      <c r="Y159" s="1444"/>
      <c r="Z159" s="1444"/>
      <c r="AA159" s="1916"/>
      <c r="AB159" s="850"/>
      <c r="AC159" s="850"/>
      <c r="AD159" s="850"/>
      <c r="AE159" s="850"/>
      <c r="AF159" s="1925">
        <v>11</v>
      </c>
    </row>
    <row s="31261" customFormat="1" customHeight="1" ht="11.549999999999999">
      <c r="A160" s="1271"/>
      <c r="B160" s="1920"/>
      <c r="C160" s="1920"/>
      <c r="D160" s="635"/>
      <c r="K160" s="1444"/>
      <c r="L160" s="1920"/>
      <c r="M160" s="1920"/>
      <c r="N160" s="1444"/>
      <c r="O160" s="1444"/>
      <c r="P160" s="1444"/>
      <c r="Q160" s="1444"/>
      <c r="R160" s="1920"/>
      <c r="S160" s="1444"/>
      <c r="T160" s="1444"/>
      <c r="U160" s="828"/>
      <c r="V160" s="1444"/>
      <c r="W160" s="1444"/>
      <c r="X160" s="1444"/>
      <c r="Y160" s="1444"/>
      <c r="Z160" s="1444"/>
      <c r="AA160" s="1916"/>
      <c r="AB160" s="850"/>
      <c r="AC160" s="850"/>
      <c r="AD160" s="850"/>
      <c r="AE160" s="850"/>
      <c r="AF160" s="1925">
        <v>11</v>
      </c>
    </row>
    <row s="31261" customFormat="1" customHeight="1" ht="11.549999999999999">
      <c r="A161" s="1271"/>
      <c r="B161" s="1920"/>
      <c r="C161" s="1920"/>
      <c r="D161" s="635"/>
      <c r="K161" s="1444"/>
      <c r="L161" s="1920"/>
      <c r="M161" s="1920"/>
      <c r="N161" s="1444"/>
      <c r="O161" s="1444"/>
      <c r="P161" s="1444"/>
      <c r="Q161" s="1444"/>
      <c r="R161" s="1920"/>
      <c r="S161" s="1444"/>
      <c r="T161" s="1444"/>
      <c r="U161" s="828"/>
      <c r="V161" s="1444"/>
      <c r="W161" s="1444"/>
      <c r="X161" s="1444"/>
      <c r="Y161" s="1444"/>
      <c r="Z161" s="1444"/>
      <c r="AA161" s="1916"/>
      <c r="AB161" s="850"/>
      <c r="AC161" s="850"/>
      <c r="AD161" s="850"/>
      <c r="AE161" s="850"/>
      <c r="AF161" s="1925">
        <v>11</v>
      </c>
    </row>
    <row s="31261" customFormat="1" customHeight="1" ht="11.549999999999999">
      <c r="A162" s="1271"/>
      <c r="B162" s="1920"/>
      <c r="C162" s="1920"/>
      <c r="D162" s="635"/>
      <c r="K162" s="1444"/>
      <c r="L162" s="1920"/>
      <c r="M162" s="1920"/>
      <c r="N162" s="1444"/>
      <c r="O162" s="1444"/>
      <c r="P162" s="1444"/>
      <c r="Q162" s="1444"/>
      <c r="R162" s="1920"/>
      <c r="S162" s="1444"/>
      <c r="T162" s="1444"/>
      <c r="U162" s="828"/>
      <c r="V162" s="1444"/>
      <c r="W162" s="1444"/>
      <c r="X162" s="1444"/>
      <c r="Y162" s="1444"/>
      <c r="Z162" s="1444"/>
      <c r="AA162" s="1916"/>
      <c r="AB162" s="850"/>
      <c r="AC162" s="850"/>
      <c r="AD162" s="850"/>
      <c r="AE162" s="850"/>
      <c r="AF162" s="1925">
        <v>11</v>
      </c>
    </row>
    <row s="31261" customFormat="1" customHeight="1" ht="11.549999999999999">
      <c r="A163" s="1271"/>
      <c r="B163" s="1920"/>
      <c r="C163" s="1920"/>
      <c r="D163" s="635"/>
      <c r="K163" s="1444"/>
      <c r="L163" s="1920"/>
      <c r="M163" s="1920"/>
      <c r="N163" s="1444"/>
      <c r="O163" s="1444"/>
      <c r="P163" s="1444"/>
      <c r="Q163" s="1444"/>
      <c r="R163" s="1920"/>
      <c r="S163" s="1444"/>
      <c r="T163" s="1444"/>
      <c r="U163" s="828"/>
      <c r="V163" s="1444"/>
      <c r="W163" s="1444"/>
      <c r="X163" s="1444"/>
      <c r="Y163" s="1444"/>
      <c r="Z163" s="1444"/>
      <c r="AA163" s="1916"/>
      <c r="AB163" s="850"/>
      <c r="AC163" s="850"/>
      <c r="AD163" s="850"/>
      <c r="AE163" s="850"/>
      <c r="AF163" s="1925">
        <v>11</v>
      </c>
    </row>
    <row s="31261" customFormat="1" customHeight="1" ht="11.549999999999999">
      <c r="A164" s="1271"/>
      <c r="B164" s="1920"/>
      <c r="C164" s="1920"/>
      <c r="D164" s="635"/>
      <c r="K164" s="1444"/>
      <c r="L164" s="1920"/>
      <c r="M164" s="1920"/>
      <c r="N164" s="1444"/>
      <c r="O164" s="1444"/>
      <c r="P164" s="1444"/>
      <c r="Q164" s="1444"/>
      <c r="R164" s="1920"/>
      <c r="S164" s="1444"/>
      <c r="T164" s="1444"/>
      <c r="U164" s="828"/>
      <c r="V164" s="1444"/>
      <c r="W164" s="1444"/>
      <c r="X164" s="1444"/>
      <c r="Y164" s="1444"/>
      <c r="Z164" s="1444"/>
      <c r="AA164" s="1916"/>
      <c r="AB164" s="850"/>
      <c r="AC164" s="850"/>
      <c r="AD164" s="850"/>
      <c r="AE164" s="850"/>
      <c r="AF164" s="1925">
        <v>11</v>
      </c>
    </row>
    <row s="31261" customFormat="1" customHeight="1" ht="11.549999999999999">
      <c r="A165" s="1271"/>
      <c r="B165" s="1920"/>
      <c r="C165" s="1920"/>
      <c r="D165" s="635"/>
      <c r="K165" s="1444"/>
      <c r="L165" s="1920"/>
      <c r="M165" s="1920"/>
      <c r="N165" s="1444"/>
      <c r="O165" s="1444"/>
      <c r="P165" s="1444"/>
      <c r="Q165" s="1444"/>
      <c r="R165" s="1920"/>
      <c r="S165" s="1444"/>
      <c r="T165" s="1444"/>
      <c r="U165" s="828"/>
      <c r="V165" s="1444"/>
      <c r="W165" s="1444"/>
      <c r="X165" s="1444"/>
      <c r="Y165" s="1444"/>
      <c r="Z165" s="1444"/>
      <c r="AA165" s="1916"/>
      <c r="AB165" s="850"/>
      <c r="AC165" s="850"/>
      <c r="AD165" s="850"/>
      <c r="AE165" s="850"/>
      <c r="AF165" s="1925">
        <v>11</v>
      </c>
    </row>
    <row s="31261" customFormat="1" customHeight="1" ht="11.549999999999999">
      <c r="A166" s="1271"/>
      <c r="B166" s="1920"/>
      <c r="C166" s="1920"/>
      <c r="D166" s="635"/>
      <c r="K166" s="1444"/>
      <c r="L166" s="1920"/>
      <c r="M166" s="1920"/>
      <c r="N166" s="1444"/>
      <c r="O166" s="1444"/>
      <c r="P166" s="1444"/>
      <c r="Q166" s="1444"/>
      <c r="R166" s="1920"/>
      <c r="S166" s="1444"/>
      <c r="T166" s="1444"/>
      <c r="U166" s="828"/>
      <c r="V166" s="1444"/>
      <c r="W166" s="1444"/>
      <c r="X166" s="1444"/>
      <c r="Y166" s="1444"/>
      <c r="Z166" s="1444"/>
      <c r="AA166" s="1916"/>
      <c r="AB166" s="850"/>
      <c r="AC166" s="850"/>
      <c r="AD166" s="850"/>
      <c r="AE166" s="850"/>
      <c r="AF166" s="1925">
        <v>11</v>
      </c>
    </row>
    <row s="31261" customFormat="1" customHeight="1" ht="11.549999999999999">
      <c r="A167" s="1271"/>
      <c r="B167" s="1920"/>
      <c r="C167" s="1920"/>
      <c r="D167" s="635"/>
      <c r="K167" s="1444"/>
      <c r="L167" s="1920"/>
      <c r="M167" s="1920"/>
      <c r="N167" s="1444"/>
      <c r="O167" s="1444"/>
      <c r="P167" s="1444"/>
      <c r="Q167" s="1444"/>
      <c r="R167" s="1920"/>
      <c r="S167" s="1444"/>
      <c r="T167" s="1444"/>
      <c r="U167" s="828"/>
      <c r="V167" s="1444"/>
      <c r="W167" s="1444"/>
      <c r="X167" s="1444"/>
      <c r="Y167" s="1444"/>
      <c r="Z167" s="1444"/>
      <c r="AA167" s="1916"/>
      <c r="AB167" s="850"/>
      <c r="AC167" s="850"/>
      <c r="AD167" s="850"/>
      <c r="AE167" s="850"/>
      <c r="AF167" s="1925">
        <v>11</v>
      </c>
    </row>
    <row s="31261" customFormat="1" customHeight="1" ht="11.549999999999999">
      <c r="A168" s="1271"/>
      <c r="B168" s="1920"/>
      <c r="C168" s="1920"/>
      <c r="D168" s="635"/>
      <c r="K168" s="1444"/>
      <c r="L168" s="1920"/>
      <c r="M168" s="1920"/>
      <c r="N168" s="1444"/>
      <c r="O168" s="1444"/>
      <c r="P168" s="1444"/>
      <c r="Q168" s="1444"/>
      <c r="R168" s="1920"/>
      <c r="S168" s="1444"/>
      <c r="T168" s="1444"/>
      <c r="U168" s="828"/>
      <c r="V168" s="1444"/>
      <c r="W168" s="1444"/>
      <c r="X168" s="1444"/>
      <c r="Y168" s="1444"/>
      <c r="Z168" s="1444"/>
      <c r="AA168" s="1916"/>
      <c r="AB168" s="850"/>
      <c r="AC168" s="850"/>
      <c r="AD168" s="850"/>
      <c r="AE168" s="850"/>
      <c r="AF168" s="1925">
        <v>11</v>
      </c>
    </row>
    <row s="31261" customFormat="1" customHeight="1" ht="11.549999999999999">
      <c r="A169" s="1271"/>
      <c r="B169" s="1920"/>
      <c r="C169" s="1920"/>
      <c r="D169" s="635"/>
      <c r="K169" s="1444"/>
      <c r="L169" s="1920"/>
      <c r="M169" s="1920"/>
      <c r="N169" s="1444"/>
      <c r="O169" s="1444"/>
      <c r="P169" s="1444"/>
      <c r="Q169" s="1444"/>
      <c r="R169" s="1920"/>
      <c r="S169" s="1444"/>
      <c r="T169" s="1444"/>
      <c r="U169" s="828"/>
      <c r="V169" s="1444"/>
      <c r="W169" s="1444"/>
      <c r="X169" s="1444"/>
      <c r="Y169" s="1444"/>
      <c r="Z169" s="1444"/>
      <c r="AA169" s="1916"/>
      <c r="AB169" s="850"/>
      <c r="AC169" s="850"/>
      <c r="AD169" s="850"/>
      <c r="AE169" s="850"/>
      <c r="AF169" s="1925">
        <v>11</v>
      </c>
    </row>
    <row s="31261" customFormat="1" customHeight="1" ht="11.549999999999999">
      <c r="A170" s="1271"/>
      <c r="B170" s="1920"/>
      <c r="C170" s="1920"/>
      <c r="D170" s="635"/>
      <c r="K170" s="1444"/>
      <c r="L170" s="1920"/>
      <c r="M170" s="1920"/>
      <c r="N170" s="1444"/>
      <c r="O170" s="1444"/>
      <c r="P170" s="1444"/>
      <c r="Q170" s="1444"/>
      <c r="R170" s="1920"/>
      <c r="S170" s="1444"/>
      <c r="T170" s="1444"/>
      <c r="U170" s="828"/>
      <c r="V170" s="1444"/>
      <c r="W170" s="1444"/>
      <c r="X170" s="1444"/>
      <c r="Y170" s="1444"/>
      <c r="Z170" s="1444"/>
      <c r="AA170" s="1916"/>
      <c r="AB170" s="850"/>
      <c r="AC170" s="850"/>
      <c r="AD170" s="850"/>
      <c r="AE170" s="850"/>
      <c r="AF170" s="1925">
        <v>11</v>
      </c>
    </row>
    <row s="31261" customFormat="1" customHeight="1" ht="11.549999999999999">
      <c r="A171" s="1271"/>
      <c r="B171" s="1920"/>
      <c r="C171" s="1920"/>
      <c r="D171" s="635"/>
      <c r="K171" s="1444"/>
      <c r="L171" s="1920"/>
      <c r="M171" s="1920"/>
      <c r="N171" s="1444"/>
      <c r="O171" s="1444"/>
      <c r="P171" s="1444"/>
      <c r="Q171" s="1444"/>
      <c r="R171" s="1920"/>
      <c r="S171" s="1444"/>
      <c r="T171" s="1444"/>
      <c r="U171" s="828"/>
      <c r="V171" s="1444"/>
      <c r="W171" s="1444"/>
      <c r="X171" s="1444"/>
      <c r="Y171" s="1444"/>
      <c r="Z171" s="1444"/>
      <c r="AA171" s="1916"/>
      <c r="AB171" s="850"/>
      <c r="AC171" s="850"/>
      <c r="AD171" s="850"/>
      <c r="AE171" s="850"/>
      <c r="AF171" s="1925">
        <v>11</v>
      </c>
    </row>
    <row s="31261" customFormat="1" customHeight="1" ht="11.549999999999999">
      <c r="A172" s="1271"/>
      <c r="B172" s="1920"/>
      <c r="C172" s="1920"/>
      <c r="D172" s="635"/>
      <c r="K172" s="1444"/>
      <c r="L172" s="1920"/>
      <c r="M172" s="1920"/>
      <c r="N172" s="1444"/>
      <c r="O172" s="1444"/>
      <c r="P172" s="1444"/>
      <c r="Q172" s="1444"/>
      <c r="R172" s="1920"/>
      <c r="S172" s="1444"/>
      <c r="T172" s="1444"/>
      <c r="U172" s="828"/>
      <c r="V172" s="1444"/>
      <c r="W172" s="1444"/>
      <c r="X172" s="1444"/>
      <c r="Y172" s="1444"/>
      <c r="Z172" s="1444"/>
      <c r="AA172" s="1916"/>
      <c r="AB172" s="850"/>
      <c r="AC172" s="850"/>
      <c r="AD172" s="850"/>
      <c r="AE172" s="850"/>
      <c r="AF172" s="1925">
        <v>11</v>
      </c>
    </row>
    <row s="31261" customFormat="1" customHeight="1" ht="11.549999999999999">
      <c r="A173" s="1271"/>
      <c r="B173" s="1920"/>
      <c r="C173" s="1920"/>
      <c r="D173" s="635"/>
      <c r="K173" s="1444"/>
      <c r="L173" s="1920"/>
      <c r="M173" s="1920"/>
      <c r="N173" s="1444"/>
      <c r="O173" s="1444"/>
      <c r="P173" s="1444"/>
      <c r="Q173" s="1444"/>
      <c r="R173" s="1920"/>
      <c r="S173" s="1444"/>
      <c r="T173" s="1444"/>
      <c r="U173" s="828"/>
      <c r="V173" s="1444"/>
      <c r="W173" s="1444"/>
      <c r="X173" s="1444"/>
      <c r="Y173" s="1444"/>
      <c r="Z173" s="1444"/>
      <c r="AA173" s="1916"/>
      <c r="AB173" s="850"/>
      <c r="AC173" s="850"/>
      <c r="AD173" s="850"/>
      <c r="AE173" s="850"/>
      <c r="AF173" s="1925">
        <v>11</v>
      </c>
    </row>
    <row s="31261" customFormat="1" customHeight="1" ht="11.549999999999999">
      <c r="A174" s="1271"/>
      <c r="B174" s="1920"/>
      <c r="C174" s="1920"/>
      <c r="D174" s="635"/>
      <c r="K174" s="1444"/>
      <c r="L174" s="1920"/>
      <c r="M174" s="1920"/>
      <c r="N174" s="1444"/>
      <c r="O174" s="1444"/>
      <c r="P174" s="1444"/>
      <c r="Q174" s="1444"/>
      <c r="R174" s="1920"/>
      <c r="S174" s="1444"/>
      <c r="T174" s="1444"/>
      <c r="U174" s="828"/>
      <c r="V174" s="1444"/>
      <c r="W174" s="1444"/>
      <c r="X174" s="1444"/>
      <c r="Y174" s="1444"/>
      <c r="Z174" s="1444"/>
      <c r="AA174" s="1916"/>
      <c r="AB174" s="850"/>
      <c r="AC174" s="850"/>
      <c r="AD174" s="850"/>
      <c r="AE174" s="850"/>
      <c r="AF174" s="1925">
        <v>11</v>
      </c>
    </row>
    <row s="31261" customFormat="1" customHeight="1" ht="11.549999999999999">
      <c r="A175" s="1271"/>
      <c r="B175" s="1920"/>
      <c r="C175" s="1920"/>
      <c r="D175" s="635"/>
      <c r="K175" s="1444"/>
      <c r="L175" s="1920"/>
      <c r="M175" s="1920"/>
      <c r="N175" s="1444"/>
      <c r="O175" s="1444"/>
      <c r="P175" s="1444"/>
      <c r="Q175" s="1444"/>
      <c r="R175" s="1920"/>
      <c r="S175" s="1444"/>
      <c r="T175" s="1444"/>
      <c r="U175" s="828"/>
      <c r="V175" s="1444"/>
      <c r="W175" s="1444"/>
      <c r="X175" s="1444"/>
      <c r="Y175" s="1444"/>
      <c r="Z175" s="1444"/>
      <c r="AA175" s="1916"/>
      <c r="AB175" s="850"/>
      <c r="AC175" s="850"/>
      <c r="AD175" s="850"/>
      <c r="AE175" s="850"/>
      <c r="AF175" s="1925">
        <v>11</v>
      </c>
    </row>
    <row s="31261" customFormat="1" customHeight="1" ht="11.549999999999999">
      <c r="A176" s="1271"/>
      <c r="B176" s="1920"/>
      <c r="C176" s="1920"/>
      <c r="D176" s="635"/>
      <c r="K176" s="1444"/>
      <c r="L176" s="1920"/>
      <c r="M176" s="1920"/>
      <c r="N176" s="1444"/>
      <c r="O176" s="1444"/>
      <c r="P176" s="1444"/>
      <c r="Q176" s="1444"/>
      <c r="R176" s="1920"/>
      <c r="S176" s="1444"/>
      <c r="T176" s="1444"/>
      <c r="U176" s="828"/>
      <c r="V176" s="1444"/>
      <c r="W176" s="1444"/>
      <c r="X176" s="1444"/>
      <c r="Y176" s="1444"/>
      <c r="Z176" s="1444"/>
      <c r="AA176" s="1916"/>
      <c r="AB176" s="850"/>
      <c r="AC176" s="850"/>
      <c r="AD176" s="850"/>
      <c r="AE176" s="850"/>
      <c r="AF176" s="1925">
        <v>11</v>
      </c>
    </row>
    <row s="31261" customFormat="1" customHeight="1" ht="11.549999999999999">
      <c r="A177" s="1271"/>
      <c r="B177" s="1920"/>
      <c r="C177" s="1920"/>
      <c r="D177" s="635"/>
      <c r="K177" s="1444"/>
      <c r="L177" s="1920"/>
      <c r="M177" s="1920"/>
      <c r="N177" s="1444"/>
      <c r="O177" s="1444"/>
      <c r="P177" s="1444"/>
      <c r="Q177" s="1444"/>
      <c r="R177" s="1920"/>
      <c r="S177" s="1444"/>
      <c r="T177" s="1444"/>
      <c r="U177" s="828"/>
      <c r="V177" s="1444"/>
      <c r="W177" s="1444"/>
      <c r="X177" s="1444"/>
      <c r="Y177" s="1444"/>
      <c r="Z177" s="1444"/>
      <c r="AA177" s="1916"/>
      <c r="AB177" s="850"/>
      <c r="AC177" s="850"/>
      <c r="AD177" s="850"/>
      <c r="AE177" s="850"/>
      <c r="AF177" s="1925">
        <v>11</v>
      </c>
    </row>
    <row s="31261" customFormat="1" customHeight="1" ht="11.549999999999999">
      <c r="A178" s="1271"/>
      <c r="B178" s="1920"/>
      <c r="C178" s="1920"/>
      <c r="D178" s="635"/>
      <c r="K178" s="1444"/>
      <c r="L178" s="1920"/>
      <c r="M178" s="1920"/>
      <c r="N178" s="1444"/>
      <c r="O178" s="1444"/>
      <c r="P178" s="1444"/>
      <c r="Q178" s="1444"/>
      <c r="R178" s="1920"/>
      <c r="S178" s="1444"/>
      <c r="T178" s="1444"/>
      <c r="U178" s="828"/>
      <c r="V178" s="1444"/>
      <c r="W178" s="1444"/>
      <c r="X178" s="1444"/>
      <c r="Y178" s="1444"/>
      <c r="Z178" s="1444"/>
      <c r="AA178" s="1916"/>
      <c r="AB178" s="850"/>
      <c r="AC178" s="850"/>
      <c r="AD178" s="850"/>
      <c r="AE178" s="850"/>
      <c r="AF178" s="1925">
        <v>11</v>
      </c>
    </row>
    <row s="31261" customFormat="1" customHeight="1" ht="11.549999999999999">
      <c r="A179" s="1271"/>
      <c r="B179" s="1920"/>
      <c r="C179" s="1920"/>
      <c r="D179" s="635"/>
      <c r="K179" s="1444"/>
      <c r="L179" s="1920"/>
      <c r="M179" s="1920"/>
      <c r="N179" s="1444"/>
      <c r="O179" s="1444"/>
      <c r="P179" s="1444"/>
      <c r="Q179" s="1444"/>
      <c r="R179" s="1920"/>
      <c r="S179" s="1444"/>
      <c r="T179" s="1444"/>
      <c r="U179" s="828"/>
      <c r="V179" s="1444"/>
      <c r="W179" s="1444"/>
      <c r="X179" s="1444"/>
      <c r="Y179" s="1444"/>
      <c r="Z179" s="1444"/>
      <c r="AA179" s="1916"/>
      <c r="AB179" s="850"/>
      <c r="AC179" s="850"/>
      <c r="AD179" s="850"/>
      <c r="AE179" s="850"/>
      <c r="AF179" s="1925">
        <v>11</v>
      </c>
    </row>
    <row s="31261" customFormat="1" customHeight="1" ht="11.549999999999999">
      <c r="A180" s="1271"/>
      <c r="B180" s="1920"/>
      <c r="C180" s="1920"/>
      <c r="D180" s="635"/>
      <c r="K180" s="1444"/>
      <c r="L180" s="1920"/>
      <c r="M180" s="1920"/>
      <c r="N180" s="1444"/>
      <c r="O180" s="1444"/>
      <c r="P180" s="1444"/>
      <c r="Q180" s="1444"/>
      <c r="R180" s="1920"/>
      <c r="S180" s="1444"/>
      <c r="T180" s="1444"/>
      <c r="U180" s="828"/>
      <c r="V180" s="1444"/>
      <c r="W180" s="1444"/>
      <c r="X180" s="1444"/>
      <c r="Y180" s="1444"/>
      <c r="Z180" s="1444"/>
      <c r="AA180" s="1916"/>
      <c r="AB180" s="850"/>
      <c r="AC180" s="850"/>
      <c r="AD180" s="850"/>
      <c r="AE180" s="850"/>
      <c r="AF180" s="1925">
        <v>11</v>
      </c>
    </row>
    <row s="31261" customFormat="1" customHeight="1" ht="11.549999999999999">
      <c r="A181" s="1271"/>
      <c r="B181" s="1920"/>
      <c r="C181" s="1920"/>
      <c r="D181" s="635"/>
      <c r="K181" s="1444"/>
      <c r="L181" s="1920"/>
      <c r="M181" s="1920"/>
      <c r="N181" s="1444"/>
      <c r="O181" s="1444"/>
      <c r="P181" s="1444"/>
      <c r="Q181" s="1444"/>
      <c r="R181" s="1920"/>
      <c r="S181" s="1444"/>
      <c r="T181" s="1444"/>
      <c r="U181" s="828"/>
      <c r="V181" s="1444"/>
      <c r="W181" s="1444"/>
      <c r="X181" s="1444"/>
      <c r="Y181" s="1444"/>
      <c r="Z181" s="1444"/>
      <c r="AA181" s="1916"/>
      <c r="AB181" s="850"/>
      <c r="AC181" s="850"/>
      <c r="AD181" s="850"/>
      <c r="AE181" s="850"/>
      <c r="AF181" s="1925">
        <v>11</v>
      </c>
    </row>
    <row s="31261" customFormat="1" customHeight="1" ht="11.549999999999999">
      <c r="A182" s="1271"/>
      <c r="B182" s="1920"/>
      <c r="C182" s="1920"/>
      <c r="D182" s="635"/>
      <c r="K182" s="1444"/>
      <c r="L182" s="1920"/>
      <c r="M182" s="1920"/>
      <c r="N182" s="1444"/>
      <c r="O182" s="1444"/>
      <c r="P182" s="1444"/>
      <c r="Q182" s="1444"/>
      <c r="R182" s="1920"/>
      <c r="S182" s="1444"/>
      <c r="T182" s="1444"/>
      <c r="U182" s="828"/>
      <c r="V182" s="1444"/>
      <c r="W182" s="1444"/>
      <c r="X182" s="1444"/>
      <c r="Y182" s="1444"/>
      <c r="Z182" s="1444"/>
      <c r="AA182" s="1916"/>
      <c r="AB182" s="850"/>
      <c r="AC182" s="850"/>
      <c r="AD182" s="850"/>
      <c r="AE182" s="850"/>
      <c r="AF182" s="1925">
        <v>11</v>
      </c>
    </row>
    <row s="31261" customFormat="1" customHeight="1" ht="11.549999999999999">
      <c r="A183" s="1271"/>
      <c r="B183" s="1920"/>
      <c r="C183" s="1920"/>
      <c r="D183" s="635"/>
      <c r="K183" s="1444"/>
      <c r="L183" s="1920"/>
      <c r="M183" s="1920"/>
      <c r="N183" s="1444"/>
      <c r="O183" s="1444"/>
      <c r="P183" s="1444"/>
      <c r="Q183" s="1444"/>
      <c r="R183" s="1920"/>
      <c r="S183" s="1444"/>
      <c r="T183" s="1444"/>
      <c r="U183" s="828"/>
      <c r="V183" s="1444"/>
      <c r="W183" s="1444"/>
      <c r="X183" s="1444"/>
      <c r="Y183" s="1444"/>
      <c r="Z183" s="1444"/>
      <c r="AA183" s="1916"/>
      <c r="AB183" s="850"/>
      <c r="AC183" s="850"/>
      <c r="AD183" s="850"/>
      <c r="AE183" s="850"/>
      <c r="AF183" s="1925">
        <v>11</v>
      </c>
    </row>
    <row s="31261" customFormat="1" customHeight="1" ht="11.549999999999999">
      <c r="A184" s="1271"/>
      <c r="B184" s="1920"/>
      <c r="C184" s="1920"/>
      <c r="D184" s="635"/>
      <c r="K184" s="1444"/>
      <c r="L184" s="1920"/>
      <c r="M184" s="1920"/>
      <c r="N184" s="1444"/>
      <c r="O184" s="1444"/>
      <c r="P184" s="1444"/>
      <c r="Q184" s="1444"/>
      <c r="R184" s="1920"/>
      <c r="S184" s="1444"/>
      <c r="T184" s="1444"/>
      <c r="U184" s="828"/>
      <c r="V184" s="1444"/>
      <c r="W184" s="1444"/>
      <c r="X184" s="1444"/>
      <c r="Y184" s="1444"/>
      <c r="Z184" s="1444"/>
      <c r="AA184" s="1916"/>
      <c r="AB184" s="850"/>
      <c r="AC184" s="850"/>
      <c r="AD184" s="850"/>
      <c r="AE184" s="850"/>
      <c r="AF184" s="1925">
        <v>11</v>
      </c>
    </row>
    <row s="31261" customFormat="1" customHeight="1" ht="11.549999999999999">
      <c r="A185" s="1271"/>
      <c r="B185" s="1920"/>
      <c r="C185" s="1920"/>
      <c r="D185" s="635"/>
      <c r="K185" s="1444"/>
      <c r="L185" s="1920"/>
      <c r="M185" s="1920"/>
      <c r="N185" s="1444"/>
      <c r="O185" s="1444"/>
      <c r="P185" s="1444"/>
      <c r="Q185" s="1444"/>
      <c r="R185" s="1920"/>
      <c r="S185" s="1444"/>
      <c r="T185" s="1444"/>
      <c r="U185" s="828"/>
      <c r="V185" s="1444"/>
      <c r="W185" s="1444"/>
      <c r="X185" s="1444"/>
      <c r="Y185" s="1444"/>
      <c r="Z185" s="1444"/>
      <c r="AA185" s="1916"/>
      <c r="AB185" s="850"/>
      <c r="AC185" s="850"/>
      <c r="AD185" s="850"/>
      <c r="AE185" s="850"/>
      <c r="AF185" s="1925">
        <v>11</v>
      </c>
    </row>
    <row s="31261" customFormat="1" customHeight="1" ht="11.549999999999999">
      <c r="A186" s="1271"/>
      <c r="B186" s="1920"/>
      <c r="C186" s="1920"/>
      <c r="D186" s="635"/>
      <c r="K186" s="1444"/>
      <c r="L186" s="1920"/>
      <c r="M186" s="1920"/>
      <c r="N186" s="1444"/>
      <c r="O186" s="1444"/>
      <c r="P186" s="1444"/>
      <c r="Q186" s="1444"/>
      <c r="R186" s="1920"/>
      <c r="S186" s="1444"/>
      <c r="T186" s="1444"/>
      <c r="U186" s="828"/>
      <c r="V186" s="1444"/>
      <c r="W186" s="1444"/>
      <c r="X186" s="1444"/>
      <c r="Y186" s="1444"/>
      <c r="Z186" s="1444"/>
      <c r="AA186" s="1916"/>
      <c r="AB186" s="850"/>
      <c r="AC186" s="850"/>
      <c r="AD186" s="850"/>
      <c r="AE186" s="850"/>
      <c r="AF186" s="1925">
        <v>11</v>
      </c>
    </row>
    <row s="31261" customFormat="1" customHeight="1" ht="11.549999999999999">
      <c r="A187" s="1271"/>
      <c r="B187" s="1920"/>
      <c r="C187" s="1920"/>
      <c r="D187" s="635"/>
      <c r="K187" s="1444"/>
      <c r="L187" s="1920"/>
      <c r="M187" s="1920"/>
      <c r="N187" s="1444"/>
      <c r="O187" s="1444"/>
      <c r="P187" s="1444"/>
      <c r="Q187" s="1444"/>
      <c r="R187" s="1920"/>
      <c r="S187" s="1444"/>
      <c r="T187" s="1444"/>
      <c r="U187" s="828"/>
      <c r="V187" s="1444"/>
      <c r="W187" s="1444"/>
      <c r="X187" s="1444"/>
      <c r="Y187" s="1444"/>
      <c r="Z187" s="1444"/>
      <c r="AA187" s="1916"/>
      <c r="AB187" s="850"/>
      <c r="AC187" s="850"/>
      <c r="AD187" s="850"/>
      <c r="AE187" s="850"/>
      <c r="AF187" s="1925">
        <v>11</v>
      </c>
    </row>
    <row s="31261" customFormat="1" customHeight="1" ht="11.549999999999999">
      <c r="A188" s="1271"/>
      <c r="B188" s="1920"/>
      <c r="C188" s="1920"/>
      <c r="D188" s="635"/>
      <c r="K188" s="1444"/>
      <c r="L188" s="1920"/>
      <c r="M188" s="1920"/>
      <c r="N188" s="1444"/>
      <c r="O188" s="1444"/>
      <c r="P188" s="1444"/>
      <c r="Q188" s="1444"/>
      <c r="R188" s="1920"/>
      <c r="S188" s="1444"/>
      <c r="T188" s="1444"/>
      <c r="U188" s="828"/>
      <c r="V188" s="1444"/>
      <c r="W188" s="1444"/>
      <c r="X188" s="1444"/>
      <c r="Y188" s="1444"/>
      <c r="Z188" s="1444"/>
      <c r="AA188" s="1916"/>
      <c r="AB188" s="850"/>
      <c r="AC188" s="850"/>
      <c r="AD188" s="850"/>
      <c r="AE188" s="850"/>
      <c r="AF188" s="1925">
        <v>11</v>
      </c>
    </row>
    <row s="31261" customFormat="1" customHeight="1" ht="11.549999999999999">
      <c r="A189" s="1271"/>
      <c r="B189" s="1920"/>
      <c r="C189" s="1920"/>
      <c r="D189" s="635"/>
      <c r="K189" s="1444"/>
      <c r="L189" s="1920"/>
      <c r="M189" s="1920"/>
      <c r="N189" s="1444"/>
      <c r="O189" s="1444"/>
      <c r="P189" s="1444"/>
      <c r="Q189" s="1444"/>
      <c r="R189" s="1920"/>
      <c r="S189" s="1444"/>
      <c r="T189" s="1444"/>
      <c r="U189" s="828"/>
      <c r="V189" s="1444"/>
      <c r="W189" s="1444"/>
      <c r="X189" s="1444"/>
      <c r="Y189" s="1444"/>
      <c r="Z189" s="1444"/>
      <c r="AA189" s="1916"/>
      <c r="AB189" s="850"/>
      <c r="AC189" s="850"/>
      <c r="AD189" s="850"/>
      <c r="AE189" s="850"/>
      <c r="AF189" s="1925">
        <v>11</v>
      </c>
    </row>
    <row s="31261" customFormat="1" customHeight="1" ht="11.549999999999999">
      <c r="A190" s="1271"/>
      <c r="B190" s="1920"/>
      <c r="C190" s="1920"/>
      <c r="D190" s="635"/>
      <c r="K190" s="1444"/>
      <c r="L190" s="1920"/>
      <c r="M190" s="1920"/>
      <c r="N190" s="1444"/>
      <c r="O190" s="1444"/>
      <c r="P190" s="1444"/>
      <c r="Q190" s="1444"/>
      <c r="R190" s="1920"/>
      <c r="S190" s="1444"/>
      <c r="T190" s="1444"/>
      <c r="U190" s="828"/>
      <c r="V190" s="1444"/>
      <c r="W190" s="1444"/>
      <c r="X190" s="1444"/>
      <c r="Y190" s="1444"/>
      <c r="Z190" s="1444"/>
      <c r="AA190" s="1916"/>
      <c r="AB190" s="850"/>
      <c r="AC190" s="850"/>
      <c r="AD190" s="850"/>
      <c r="AE190" s="850"/>
      <c r="AF190" s="1925">
        <v>11</v>
      </c>
    </row>
    <row s="31261" customFormat="1" customHeight="1" ht="11.549999999999999">
      <c r="A191" s="1271"/>
      <c r="B191" s="1920"/>
      <c r="C191" s="1920"/>
      <c r="D191" s="635"/>
      <c r="K191" s="1444"/>
      <c r="L191" s="1920"/>
      <c r="M191" s="1920"/>
      <c r="N191" s="1444"/>
      <c r="O191" s="1444"/>
      <c r="P191" s="1444"/>
      <c r="Q191" s="1444"/>
      <c r="R191" s="1920"/>
      <c r="S191" s="1444"/>
      <c r="T191" s="1444"/>
      <c r="U191" s="828"/>
      <c r="V191" s="1444"/>
      <c r="W191" s="1444"/>
      <c r="X191" s="1444"/>
      <c r="Y191" s="1444"/>
      <c r="Z191" s="1444"/>
      <c r="AA191" s="1916"/>
      <c r="AB191" s="850"/>
      <c r="AC191" s="850"/>
      <c r="AD191" s="850"/>
      <c r="AE191" s="850"/>
      <c r="AF191" s="1925">
        <v>11</v>
      </c>
    </row>
    <row s="31261" customFormat="1" customHeight="1" ht="11.549999999999999">
      <c r="A192" s="1271"/>
      <c r="B192" s="1920"/>
      <c r="C192" s="1920"/>
      <c r="D192" s="635"/>
      <c r="K192" s="1444"/>
      <c r="L192" s="1920"/>
      <c r="M192" s="1920"/>
      <c r="N192" s="1444"/>
      <c r="O192" s="1444"/>
      <c r="P192" s="1444"/>
      <c r="Q192" s="1444"/>
      <c r="R192" s="1920"/>
      <c r="S192" s="1444"/>
      <c r="T192" s="1444"/>
      <c r="U192" s="828"/>
      <c r="V192" s="1444"/>
      <c r="W192" s="1444"/>
      <c r="X192" s="1444"/>
      <c r="Y192" s="1444"/>
      <c r="Z192" s="1444"/>
      <c r="AA192" s="1916"/>
      <c r="AB192" s="850"/>
      <c r="AC192" s="850"/>
      <c r="AD192" s="850"/>
      <c r="AE192" s="850"/>
      <c r="AF192" s="1925">
        <v>11</v>
      </c>
    </row>
    <row s="31261" customFormat="1" customHeight="1" ht="11.549999999999999">
      <c r="A193" s="1271"/>
      <c r="B193" s="1920"/>
      <c r="C193" s="1920"/>
      <c r="D193" s="635"/>
      <c r="K193" s="1444"/>
      <c r="L193" s="1920"/>
      <c r="M193" s="1920"/>
      <c r="N193" s="1444"/>
      <c r="O193" s="1444"/>
      <c r="P193" s="1444"/>
      <c r="Q193" s="1444"/>
      <c r="R193" s="1920"/>
      <c r="S193" s="1444"/>
      <c r="T193" s="1444"/>
      <c r="U193" s="828"/>
      <c r="V193" s="1444"/>
      <c r="W193" s="1444"/>
      <c r="X193" s="1444"/>
      <c r="Y193" s="1444"/>
      <c r="Z193" s="1444"/>
      <c r="AA193" s="1916"/>
      <c r="AB193" s="850"/>
      <c r="AC193" s="850"/>
      <c r="AD193" s="850"/>
      <c r="AE193" s="850"/>
      <c r="AF193" s="1925">
        <v>11</v>
      </c>
    </row>
    <row s="31261" customFormat="1" customHeight="1" ht="11.549999999999999">
      <c r="A194" s="1271"/>
      <c r="B194" s="1920"/>
      <c r="C194" s="1920"/>
      <c r="D194" s="635"/>
      <c r="K194" s="1444"/>
      <c r="L194" s="1920"/>
      <c r="M194" s="1920"/>
      <c r="N194" s="1444"/>
      <c r="O194" s="1444"/>
      <c r="P194" s="1444"/>
      <c r="Q194" s="1444"/>
      <c r="R194" s="1920"/>
      <c r="S194" s="1444"/>
      <c r="T194" s="1444"/>
      <c r="U194" s="828"/>
      <c r="V194" s="1444"/>
      <c r="W194" s="1444"/>
      <c r="X194" s="1444"/>
      <c r="Y194" s="1444"/>
      <c r="Z194" s="1444"/>
      <c r="AA194" s="1916"/>
      <c r="AB194" s="850"/>
      <c r="AC194" s="850"/>
      <c r="AD194" s="850"/>
      <c r="AE194" s="850"/>
      <c r="AF194" s="1925">
        <v>11</v>
      </c>
    </row>
    <row s="31261" customFormat="1" customHeight="1" ht="11.549999999999999">
      <c r="A195" s="1271"/>
      <c r="B195" s="1920"/>
      <c r="C195" s="1920"/>
      <c r="D195" s="635"/>
      <c r="K195" s="1444"/>
      <c r="L195" s="1920"/>
      <c r="M195" s="1920"/>
      <c r="N195" s="1444"/>
      <c r="O195" s="1444"/>
      <c r="P195" s="1444"/>
      <c r="Q195" s="1444"/>
      <c r="R195" s="1920"/>
      <c r="S195" s="1444"/>
      <c r="T195" s="1444"/>
      <c r="U195" s="828"/>
      <c r="V195" s="1444"/>
      <c r="W195" s="1444"/>
      <c r="X195" s="1444"/>
      <c r="Y195" s="1444"/>
      <c r="Z195" s="1444"/>
      <c r="AA195" s="1916"/>
      <c r="AB195" s="850"/>
      <c r="AC195" s="850"/>
      <c r="AD195" s="850"/>
      <c r="AE195" s="850"/>
      <c r="AF195" s="1925">
        <v>11</v>
      </c>
    </row>
    <row s="31261" customFormat="1" customHeight="1" ht="11.549999999999999">
      <c r="A196" s="1271"/>
      <c r="B196" s="1920"/>
      <c r="C196" s="1920"/>
      <c r="D196" s="635"/>
      <c r="K196" s="1444"/>
      <c r="L196" s="1920"/>
      <c r="M196" s="1920"/>
      <c r="N196" s="1444"/>
      <c r="O196" s="1444"/>
      <c r="P196" s="1444"/>
      <c r="Q196" s="1444"/>
      <c r="R196" s="1920"/>
      <c r="S196" s="1444"/>
      <c r="T196" s="1444"/>
      <c r="U196" s="828"/>
      <c r="V196" s="1444"/>
      <c r="W196" s="1444"/>
      <c r="X196" s="1444"/>
      <c r="Y196" s="1444"/>
      <c r="Z196" s="1444"/>
      <c r="AA196" s="1916"/>
      <c r="AB196" s="850"/>
      <c r="AC196" s="850"/>
      <c r="AD196" s="850"/>
      <c r="AE196" s="850"/>
      <c r="AF196" s="1925">
        <v>11</v>
      </c>
    </row>
    <row s="31261" customFormat="1" customHeight="1" ht="11.549999999999999">
      <c r="A197" s="1271"/>
      <c r="B197" s="1920"/>
      <c r="C197" s="1920"/>
      <c r="D197" s="635"/>
      <c r="K197" s="1444"/>
      <c r="L197" s="1920"/>
      <c r="M197" s="1920"/>
      <c r="N197" s="1444"/>
      <c r="O197" s="1444"/>
      <c r="P197" s="1444"/>
      <c r="Q197" s="1444"/>
      <c r="R197" s="1920"/>
      <c r="S197" s="1444"/>
      <c r="T197" s="1444"/>
      <c r="U197" s="828"/>
      <c r="V197" s="1444"/>
      <c r="W197" s="1444"/>
      <c r="X197" s="1444"/>
      <c r="Y197" s="1444"/>
      <c r="Z197" s="1444"/>
      <c r="AA197" s="1916"/>
      <c r="AB197" s="850"/>
      <c r="AC197" s="850"/>
      <c r="AD197" s="850"/>
      <c r="AE197" s="850"/>
      <c r="AF197" s="1925">
        <v>11</v>
      </c>
    </row>
    <row s="31261" customFormat="1" customHeight="1" ht="11.549999999999999">
      <c r="A198" s="1271"/>
      <c r="B198" s="1920"/>
      <c r="C198" s="1920"/>
      <c r="D198" s="635"/>
      <c r="K198" s="1444"/>
      <c r="L198" s="1920"/>
      <c r="M198" s="1920"/>
      <c r="N198" s="1444"/>
      <c r="O198" s="1444"/>
      <c r="P198" s="1444"/>
      <c r="Q198" s="1444"/>
      <c r="R198" s="1920"/>
      <c r="S198" s="1444"/>
      <c r="T198" s="1444"/>
      <c r="U198" s="828"/>
      <c r="V198" s="1444"/>
      <c r="W198" s="1444"/>
      <c r="X198" s="1444"/>
      <c r="Y198" s="1444"/>
      <c r="Z198" s="1444"/>
      <c r="AA198" s="1916"/>
      <c r="AB198" s="850"/>
      <c r="AC198" s="850"/>
      <c r="AD198" s="850"/>
      <c r="AE198" s="850"/>
      <c r="AF198" s="1925">
        <v>11</v>
      </c>
    </row>
    <row s="31261" customFormat="1" customHeight="1" ht="11.549999999999999">
      <c r="A199" s="1271"/>
      <c r="B199" s="1920"/>
      <c r="C199" s="1920"/>
      <c r="D199" s="635"/>
      <c r="K199" s="1444"/>
      <c r="L199" s="1920"/>
      <c r="M199" s="1920"/>
      <c r="N199" s="1444"/>
      <c r="O199" s="1444"/>
      <c r="P199" s="1444"/>
      <c r="Q199" s="1444"/>
      <c r="R199" s="1920"/>
      <c r="S199" s="1444"/>
      <c r="T199" s="1444"/>
      <c r="U199" s="828"/>
      <c r="V199" s="1444"/>
      <c r="W199" s="1444"/>
      <c r="X199" s="1444"/>
      <c r="Y199" s="1444"/>
      <c r="Z199" s="1444"/>
      <c r="AA199" s="1916"/>
      <c r="AB199" s="850"/>
      <c r="AC199" s="850"/>
      <c r="AD199" s="850"/>
      <c r="AE199" s="850"/>
      <c r="AF199" s="1925">
        <v>11</v>
      </c>
    </row>
    <row s="31261" customFormat="1" customHeight="1" ht="11.549999999999999">
      <c r="A200" s="1271"/>
      <c r="B200" s="1920"/>
      <c r="C200" s="1920"/>
      <c r="D200" s="635"/>
      <c r="K200" s="1444"/>
      <c r="L200" s="1920"/>
      <c r="M200" s="1920"/>
      <c r="N200" s="1444"/>
      <c r="O200" s="1444"/>
      <c r="P200" s="1444"/>
      <c r="Q200" s="1444"/>
      <c r="R200" s="1920"/>
      <c r="S200" s="1444"/>
      <c r="T200" s="1444"/>
      <c r="U200" s="828"/>
      <c r="V200" s="1444"/>
      <c r="W200" s="1444"/>
      <c r="X200" s="1444"/>
      <c r="Y200" s="1444"/>
      <c r="Z200" s="1444"/>
      <c r="AA200" s="1916"/>
      <c r="AB200" s="850"/>
      <c r="AC200" s="850"/>
      <c r="AD200" s="850"/>
      <c r="AE200" s="850"/>
      <c r="AF200" s="1925">
        <v>11</v>
      </c>
    </row>
    <row s="31261" customFormat="1" customHeight="1" ht="11.549999999999999">
      <c r="A201" s="1271"/>
      <c r="B201" s="1920"/>
      <c r="C201" s="1920"/>
      <c r="D201" s="635"/>
      <c r="K201" s="1444"/>
      <c r="L201" s="1920"/>
      <c r="M201" s="1920"/>
      <c r="N201" s="1444"/>
      <c r="O201" s="1444"/>
      <c r="P201" s="1444"/>
      <c r="Q201" s="1444"/>
      <c r="R201" s="1920"/>
      <c r="S201" s="1444"/>
      <c r="T201" s="1444"/>
      <c r="U201" s="828"/>
      <c r="V201" s="1444"/>
      <c r="W201" s="1444"/>
      <c r="X201" s="1444"/>
      <c r="Y201" s="1444"/>
      <c r="Z201" s="1444"/>
      <c r="AA201" s="1916"/>
      <c r="AB201" s="850"/>
      <c r="AC201" s="850"/>
      <c r="AD201" s="850"/>
      <c r="AE201" s="850"/>
      <c r="AF201" s="1925">
        <v>11</v>
      </c>
    </row>
    <row s="31261" customFormat="1" customHeight="1" ht="11.549999999999999">
      <c r="A202" s="1271"/>
      <c r="B202" s="1920"/>
      <c r="C202" s="1920"/>
      <c r="D202" s="635"/>
      <c r="K202" s="1444"/>
      <c r="L202" s="1920"/>
      <c r="M202" s="1920"/>
      <c r="N202" s="1444"/>
      <c r="O202" s="1444"/>
      <c r="P202" s="1444"/>
      <c r="Q202" s="1444"/>
      <c r="R202" s="1920"/>
      <c r="S202" s="1444"/>
      <c r="T202" s="1444"/>
      <c r="U202" s="828"/>
      <c r="V202" s="1444"/>
      <c r="W202" s="1444"/>
      <c r="X202" s="1444"/>
      <c r="Y202" s="1444"/>
      <c r="Z202" s="1444"/>
      <c r="AA202" s="1916"/>
      <c r="AB202" s="850"/>
      <c r="AC202" s="850"/>
      <c r="AD202" s="850"/>
      <c r="AE202" s="850"/>
      <c r="AF202" s="1925">
        <v>11</v>
      </c>
    </row>
    <row s="31261" customFormat="1" customHeight="1" ht="11.549999999999999">
      <c r="A203" s="1271"/>
      <c r="B203" s="1920"/>
      <c r="C203" s="1920"/>
      <c r="D203" s="635"/>
      <c r="K203" s="1444"/>
      <c r="L203" s="1920"/>
      <c r="M203" s="1920"/>
      <c r="N203" s="1444"/>
      <c r="O203" s="1444"/>
      <c r="P203" s="1444"/>
      <c r="Q203" s="1444"/>
      <c r="R203" s="1920"/>
      <c r="S203" s="1444"/>
      <c r="T203" s="1444"/>
      <c r="U203" s="828"/>
      <c r="V203" s="1444"/>
      <c r="W203" s="1444"/>
      <c r="X203" s="1444"/>
      <c r="Y203" s="1444"/>
      <c r="Z203" s="1444"/>
      <c r="AA203" s="1916"/>
      <c r="AB203" s="850"/>
      <c r="AC203" s="850"/>
      <c r="AD203" s="850"/>
      <c r="AE203" s="850"/>
      <c r="AF203" s="1925">
        <v>11</v>
      </c>
    </row>
    <row s="31261" customFormat="1" customHeight="1" ht="11.549999999999999">
      <c r="A204" s="1271"/>
      <c r="B204" s="1920"/>
      <c r="C204" s="1920"/>
      <c r="D204" s="635"/>
      <c r="K204" s="1444"/>
      <c r="L204" s="1920"/>
      <c r="M204" s="1920"/>
      <c r="N204" s="1444"/>
      <c r="O204" s="1444"/>
      <c r="P204" s="1444"/>
      <c r="Q204" s="1444"/>
      <c r="R204" s="1920"/>
      <c r="S204" s="1444"/>
      <c r="T204" s="1444"/>
      <c r="U204" s="828"/>
      <c r="V204" s="1444"/>
      <c r="W204" s="1444"/>
      <c r="X204" s="1444"/>
      <c r="Y204" s="1444"/>
      <c r="Z204" s="1444"/>
      <c r="AA204" s="1916"/>
      <c r="AB204" s="850"/>
      <c r="AC204" s="850"/>
      <c r="AD204" s="850"/>
      <c r="AE204" s="850"/>
      <c r="AF204" s="1925">
        <v>11</v>
      </c>
    </row>
    <row s="31261" customFormat="1" customHeight="1" ht="11.549999999999999">
      <c r="A205" s="1271"/>
      <c r="B205" s="1920"/>
      <c r="C205" s="1920"/>
      <c r="D205" s="635"/>
      <c r="K205" s="1444"/>
      <c r="L205" s="1920"/>
      <c r="M205" s="1920"/>
      <c r="N205" s="1444"/>
      <c r="O205" s="1444"/>
      <c r="P205" s="1444"/>
      <c r="Q205" s="1444"/>
      <c r="R205" s="1920"/>
      <c r="S205" s="1444"/>
      <c r="T205" s="1444"/>
      <c r="U205" s="828"/>
      <c r="V205" s="1444"/>
      <c r="W205" s="1444"/>
      <c r="X205" s="1444"/>
      <c r="Y205" s="1444"/>
      <c r="Z205" s="1444"/>
      <c r="AA205" s="1916"/>
      <c r="AB205" s="850"/>
      <c r="AC205" s="850"/>
      <c r="AD205" s="850"/>
      <c r="AE205" s="850"/>
      <c r="AF205" s="1925">
        <v>11</v>
      </c>
    </row>
    <row s="31261" customFormat="1" customHeight="1" ht="11.549999999999999">
      <c r="A206" s="1271"/>
      <c r="B206" s="1920"/>
      <c r="C206" s="1920"/>
      <c r="D206" s="635"/>
      <c r="K206" s="1444"/>
      <c r="L206" s="1920"/>
      <c r="M206" s="1920"/>
      <c r="N206" s="1444"/>
      <c r="O206" s="1444"/>
      <c r="P206" s="1444"/>
      <c r="Q206" s="1444"/>
      <c r="R206" s="1920"/>
      <c r="S206" s="1444"/>
      <c r="T206" s="1444"/>
      <c r="U206" s="828"/>
      <c r="V206" s="1444"/>
      <c r="W206" s="1444"/>
      <c r="X206" s="1444"/>
      <c r="Y206" s="1444"/>
      <c r="Z206" s="1444"/>
      <c r="AA206" s="1916"/>
      <c r="AB206" s="850"/>
      <c r="AC206" s="850"/>
      <c r="AD206" s="850"/>
      <c r="AE206" s="850"/>
      <c r="AF206" s="1925">
        <v>11</v>
      </c>
    </row>
    <row s="31261" customFormat="1" customHeight="1" ht="11.549999999999999">
      <c r="A207" s="1271"/>
      <c r="B207" s="1920"/>
      <c r="C207" s="1920"/>
      <c r="D207" s="635"/>
      <c r="K207" s="1444"/>
      <c r="L207" s="1920"/>
      <c r="M207" s="1920"/>
      <c r="N207" s="1444"/>
      <c r="O207" s="1444"/>
      <c r="P207" s="1444"/>
      <c r="Q207" s="1444"/>
      <c r="R207" s="1920"/>
      <c r="S207" s="1444"/>
      <c r="T207" s="1444"/>
      <c r="U207" s="828"/>
      <c r="V207" s="1444"/>
      <c r="W207" s="1444"/>
      <c r="X207" s="1444"/>
      <c r="Y207" s="1444"/>
      <c r="Z207" s="1444"/>
      <c r="AA207" s="1916"/>
      <c r="AB207" s="850"/>
      <c r="AC207" s="850"/>
      <c r="AD207" s="850"/>
      <c r="AE207" s="850"/>
      <c r="AF207" s="1925">
        <v>11</v>
      </c>
    </row>
    <row s="31261" customFormat="1" customHeight="1" ht="11.549999999999999">
      <c r="A208" s="1271"/>
      <c r="B208" s="1920"/>
      <c r="C208" s="1920"/>
      <c r="D208" s="635"/>
      <c r="K208" s="1444"/>
      <c r="L208" s="1920"/>
      <c r="M208" s="1920"/>
      <c r="N208" s="1444"/>
      <c r="O208" s="1444"/>
      <c r="P208" s="1444"/>
      <c r="Q208" s="1444"/>
      <c r="R208" s="1920"/>
      <c r="S208" s="1444"/>
      <c r="T208" s="1444"/>
      <c r="U208" s="828"/>
      <c r="V208" s="1444"/>
      <c r="W208" s="1444"/>
      <c r="X208" s="1444"/>
      <c r="Y208" s="1444"/>
      <c r="Z208" s="1444"/>
      <c r="AA208" s="1916"/>
      <c r="AB208" s="850"/>
      <c r="AC208" s="850"/>
      <c r="AD208" s="850"/>
      <c r="AE208" s="850"/>
      <c r="AF208" s="1925">
        <v>11</v>
      </c>
    </row>
    <row s="31261" customFormat="1" customHeight="1" ht="11.549999999999999">
      <c r="A209" s="1271"/>
      <c r="B209" s="1920"/>
      <c r="C209" s="1920"/>
      <c r="D209" s="635"/>
      <c r="K209" s="1444"/>
      <c r="L209" s="1920"/>
      <c r="M209" s="1920"/>
      <c r="N209" s="1444"/>
      <c r="O209" s="1444"/>
      <c r="P209" s="1444"/>
      <c r="Q209" s="1444"/>
      <c r="R209" s="1920"/>
      <c r="S209" s="1444"/>
      <c r="T209" s="1444"/>
      <c r="U209" s="828"/>
      <c r="V209" s="1444"/>
      <c r="W209" s="1444"/>
      <c r="X209" s="1444"/>
      <c r="Y209" s="1444"/>
      <c r="Z209" s="1444"/>
      <c r="AA209" s="1916"/>
      <c r="AB209" s="850"/>
      <c r="AC209" s="850"/>
      <c r="AD209" s="850"/>
      <c r="AE209" s="850"/>
      <c r="AF209" s="1925">
        <v>11</v>
      </c>
    </row>
    <row s="31261" customFormat="1" customHeight="1" ht="11.549999999999999">
      <c r="A210" s="1271"/>
      <c r="B210" s="1920"/>
      <c r="C210" s="1920"/>
      <c r="D210" s="635"/>
      <c r="K210" s="1444"/>
      <c r="L210" s="1920"/>
      <c r="M210" s="1920"/>
      <c r="N210" s="1444"/>
      <c r="O210" s="1444"/>
      <c r="P210" s="1444"/>
      <c r="Q210" s="1444"/>
      <c r="R210" s="1920"/>
      <c r="S210" s="1444"/>
      <c r="T210" s="1444"/>
      <c r="U210" s="828"/>
      <c r="V210" s="1444"/>
      <c r="W210" s="1444"/>
      <c r="X210" s="1444"/>
      <c r="Y210" s="1444"/>
      <c r="Z210" s="1444"/>
      <c r="AA210" s="1916"/>
      <c r="AB210" s="850"/>
      <c r="AC210" s="850"/>
      <c r="AD210" s="850"/>
      <c r="AE210" s="850"/>
      <c r="AF210" s="1925">
        <v>11</v>
      </c>
    </row>
    <row s="31261" customFormat="1" customHeight="1" ht="11.549999999999999">
      <c r="A211" s="1271"/>
      <c r="B211" s="1920"/>
      <c r="C211" s="1920"/>
      <c r="D211" s="635"/>
      <c r="K211" s="1444"/>
      <c r="L211" s="1920"/>
      <c r="M211" s="1920"/>
      <c r="N211" s="1444"/>
      <c r="O211" s="1444"/>
      <c r="P211" s="1444"/>
      <c r="Q211" s="1444"/>
      <c r="R211" s="1920"/>
      <c r="S211" s="1444"/>
      <c r="T211" s="1444"/>
      <c r="U211" s="828"/>
      <c r="V211" s="1444"/>
      <c r="W211" s="1444"/>
      <c r="X211" s="1444"/>
      <c r="Y211" s="1444"/>
      <c r="Z211" s="1444"/>
      <c r="AA211" s="1916"/>
      <c r="AB211" s="850"/>
      <c r="AC211" s="850"/>
      <c r="AD211" s="850"/>
      <c r="AE211" s="850"/>
      <c r="AF211" s="1925">
        <v>11</v>
      </c>
    </row>
    <row s="31261" customFormat="1" customHeight="1" ht="11.549999999999999">
      <c r="A212" s="1271"/>
      <c r="B212" s="1920"/>
      <c r="C212" s="1920"/>
      <c r="D212" s="635"/>
      <c r="K212" s="1444"/>
      <c r="L212" s="1920"/>
      <c r="M212" s="1920"/>
      <c r="N212" s="1444"/>
      <c r="O212" s="1444"/>
      <c r="P212" s="1444"/>
      <c r="Q212" s="1444"/>
      <c r="R212" s="1920"/>
      <c r="S212" s="1444"/>
      <c r="T212" s="1444"/>
      <c r="U212" s="828"/>
      <c r="V212" s="1444"/>
      <c r="W212" s="1444"/>
      <c r="X212" s="1444"/>
      <c r="Y212" s="1444"/>
      <c r="Z212" s="1444"/>
      <c r="AA212" s="1916"/>
      <c r="AB212" s="850"/>
      <c r="AC212" s="850"/>
      <c r="AD212" s="850"/>
      <c r="AE212" s="850"/>
      <c r="AF212" s="1925">
        <v>11</v>
      </c>
    </row>
    <row s="31261" customFormat="1" customHeight="1" ht="11.549999999999999">
      <c r="A213" s="1271"/>
      <c r="B213" s="1920"/>
      <c r="C213" s="1920"/>
      <c r="D213" s="635"/>
      <c r="K213" s="1444"/>
      <c r="L213" s="1920"/>
      <c r="M213" s="1920"/>
      <c r="N213" s="1444"/>
      <c r="O213" s="1444"/>
      <c r="P213" s="1444"/>
      <c r="Q213" s="1444"/>
      <c r="R213" s="1920"/>
      <c r="S213" s="1444"/>
      <c r="T213" s="1444"/>
      <c r="U213" s="828"/>
      <c r="V213" s="1444"/>
      <c r="W213" s="1444"/>
      <c r="X213" s="1444"/>
      <c r="Y213" s="1444"/>
      <c r="Z213" s="1444"/>
      <c r="AA213" s="1916"/>
      <c r="AB213" s="850"/>
      <c r="AC213" s="850"/>
      <c r="AD213" s="850"/>
      <c r="AE213" s="850"/>
      <c r="AF213" s="1925">
        <v>11</v>
      </c>
    </row>
    <row s="31261" customFormat="1" customHeight="1" ht="11.549999999999999">
      <c r="A214" s="1271"/>
      <c r="B214" s="1920"/>
      <c r="C214" s="1920"/>
      <c r="D214" s="635"/>
      <c r="K214" s="1444"/>
      <c r="L214" s="1920"/>
      <c r="M214" s="1920"/>
      <c r="N214" s="1444"/>
      <c r="O214" s="1444"/>
      <c r="P214" s="1444"/>
      <c r="Q214" s="1444"/>
      <c r="R214" s="1920"/>
      <c r="S214" s="1444"/>
      <c r="T214" s="1444"/>
      <c r="U214" s="828"/>
      <c r="V214" s="1444"/>
      <c r="W214" s="1444"/>
      <c r="X214" s="1444"/>
      <c r="Y214" s="1444"/>
      <c r="Z214" s="1444"/>
      <c r="AA214" s="1916"/>
      <c r="AB214" s="850"/>
      <c r="AC214" s="850"/>
      <c r="AD214" s="850"/>
      <c r="AE214" s="850"/>
      <c r="AF214" s="1925">
        <v>11</v>
      </c>
    </row>
    <row s="31261" customFormat="1" customHeight="1" ht="11.549999999999999">
      <c r="A215" s="1271"/>
      <c r="B215" s="1920"/>
      <c r="C215" s="1920"/>
      <c r="D215" s="635"/>
      <c r="K215" s="1444"/>
      <c r="L215" s="1920"/>
      <c r="M215" s="1920"/>
      <c r="N215" s="1444"/>
      <c r="O215" s="1444"/>
      <c r="P215" s="1444"/>
      <c r="Q215" s="1444"/>
      <c r="R215" s="1920"/>
      <c r="S215" s="1444"/>
      <c r="T215" s="1444"/>
      <c r="U215" s="828"/>
      <c r="V215" s="1444"/>
      <c r="W215" s="1444"/>
      <c r="X215" s="1444"/>
      <c r="Y215" s="1444"/>
      <c r="Z215" s="1444"/>
      <c r="AA215" s="1916"/>
      <c r="AB215" s="850"/>
      <c r="AC215" s="850"/>
      <c r="AD215" s="850"/>
      <c r="AE215" s="850"/>
      <c r="AF215" s="1925">
        <v>11</v>
      </c>
    </row>
    <row s="31261" customFormat="1" customHeight="1" ht="11.549999999999999">
      <c r="A216" s="1271"/>
      <c r="B216" s="1920"/>
      <c r="C216" s="1920"/>
      <c r="D216" s="635"/>
      <c r="K216" s="1444"/>
      <c r="L216" s="1920"/>
      <c r="M216" s="1920"/>
      <c r="N216" s="1444"/>
      <c r="O216" s="1444"/>
      <c r="P216" s="1444"/>
      <c r="Q216" s="1444"/>
      <c r="R216" s="1920"/>
      <c r="S216" s="1444"/>
      <c r="T216" s="1444"/>
      <c r="U216" s="828"/>
      <c r="V216" s="1444"/>
      <c r="W216" s="1444"/>
      <c r="X216" s="1444"/>
      <c r="Y216" s="1444"/>
      <c r="Z216" s="1444"/>
      <c r="AA216" s="1916"/>
      <c r="AB216" s="850"/>
      <c r="AC216" s="850"/>
      <c r="AD216" s="850"/>
      <c r="AE216" s="850"/>
      <c r="AF216" s="1925">
        <v>11</v>
      </c>
    </row>
    <row s="31261" customFormat="1" customHeight="1" ht="11.549999999999999">
      <c r="A217" s="1271"/>
      <c r="B217" s="1920"/>
      <c r="C217" s="1920"/>
      <c r="D217" s="635"/>
      <c r="K217" s="1444"/>
      <c r="L217" s="1920"/>
      <c r="M217" s="1920"/>
      <c r="N217" s="1444"/>
      <c r="O217" s="1444"/>
      <c r="P217" s="1444"/>
      <c r="Q217" s="1444"/>
      <c r="R217" s="1920"/>
      <c r="S217" s="1444"/>
      <c r="T217" s="1444"/>
      <c r="U217" s="828"/>
      <c r="V217" s="1444"/>
      <c r="W217" s="1444"/>
      <c r="X217" s="1444"/>
      <c r="Y217" s="1444"/>
      <c r="Z217" s="1444"/>
      <c r="AA217" s="1916"/>
      <c r="AB217" s="850"/>
      <c r="AC217" s="850"/>
      <c r="AD217" s="850"/>
      <c r="AE217" s="850"/>
      <c r="AF217" s="1925">
        <v>11</v>
      </c>
    </row>
    <row s="31261" customFormat="1" customHeight="1" ht="11.549999999999999">
      <c r="A218" s="1271"/>
      <c r="B218" s="1920"/>
      <c r="C218" s="1920"/>
      <c r="D218" s="635"/>
      <c r="K218" s="1444"/>
      <c r="L218" s="1920"/>
      <c r="M218" s="1920"/>
      <c r="N218" s="1444"/>
      <c r="O218" s="1444"/>
      <c r="P218" s="1444"/>
      <c r="Q218" s="1444"/>
      <c r="R218" s="1920"/>
      <c r="S218" s="1444"/>
      <c r="T218" s="1444"/>
      <c r="U218" s="828"/>
      <c r="V218" s="1444"/>
      <c r="W218" s="1444"/>
      <c r="X218" s="1444"/>
      <c r="Y218" s="1444"/>
      <c r="Z218" s="1444"/>
      <c r="AA218" s="1916"/>
      <c r="AB218" s="850"/>
      <c r="AC218" s="850"/>
      <c r="AD218" s="850"/>
      <c r="AE218" s="850"/>
      <c r="AF218" s="1925">
        <v>11</v>
      </c>
    </row>
    <row s="31261" customFormat="1" customHeight="1" ht="11.549999999999999">
      <c r="A219" s="1271"/>
      <c r="B219" s="1920"/>
      <c r="C219" s="1920"/>
      <c r="D219" s="635"/>
      <c r="K219" s="1444"/>
      <c r="L219" s="1920"/>
      <c r="M219" s="1920"/>
      <c r="N219" s="1444"/>
      <c r="O219" s="1444"/>
      <c r="P219" s="1444"/>
      <c r="Q219" s="1444"/>
      <c r="R219" s="1920"/>
      <c r="S219" s="1444"/>
      <c r="T219" s="1444"/>
      <c r="U219" s="828"/>
      <c r="V219" s="1444"/>
      <c r="W219" s="1444"/>
      <c r="X219" s="1444"/>
      <c r="Y219" s="1444"/>
      <c r="Z219" s="1444"/>
      <c r="AA219" s="1916"/>
      <c r="AB219" s="850"/>
      <c r="AC219" s="850"/>
      <c r="AD219" s="850"/>
      <c r="AE219" s="850"/>
      <c r="AF219" s="1925">
        <v>11</v>
      </c>
    </row>
    <row s="31261" customFormat="1" customHeight="1" ht="11.549999999999999">
      <c r="A220" s="1271"/>
      <c r="B220" s="1920"/>
      <c r="C220" s="1920"/>
      <c r="D220" s="635"/>
      <c r="K220" s="1444"/>
      <c r="L220" s="1920"/>
      <c r="M220" s="1920"/>
      <c r="N220" s="1444"/>
      <c r="O220" s="1444"/>
      <c r="P220" s="1444"/>
      <c r="Q220" s="1444"/>
      <c r="R220" s="1920"/>
      <c r="S220" s="1444"/>
      <c r="T220" s="1444"/>
      <c r="U220" s="828"/>
      <c r="V220" s="1444"/>
      <c r="W220" s="1444"/>
      <c r="X220" s="1444"/>
      <c r="Y220" s="1444"/>
      <c r="Z220" s="1444"/>
      <c r="AA220" s="1916"/>
      <c r="AB220" s="850"/>
      <c r="AC220" s="850"/>
      <c r="AD220" s="850"/>
      <c r="AE220" s="850"/>
      <c r="AF220" s="1925">
        <v>11</v>
      </c>
    </row>
    <row s="31261" customFormat="1" customHeight="1" ht="11.549999999999999">
      <c r="A221" s="1271"/>
      <c r="B221" s="1920"/>
      <c r="C221" s="1920"/>
      <c r="D221" s="635"/>
      <c r="K221" s="1444"/>
      <c r="L221" s="1920"/>
      <c r="M221" s="1920"/>
      <c r="N221" s="1444"/>
      <c r="O221" s="1444"/>
      <c r="P221" s="1444"/>
      <c r="Q221" s="1444"/>
      <c r="R221" s="1920"/>
      <c r="S221" s="1444"/>
      <c r="T221" s="1444"/>
      <c r="U221" s="828"/>
      <c r="V221" s="1444"/>
      <c r="W221" s="1444"/>
      <c r="X221" s="1444"/>
      <c r="Y221" s="1444"/>
      <c r="Z221" s="1444"/>
      <c r="AA221" s="1916"/>
      <c r="AB221" s="850"/>
      <c r="AC221" s="850"/>
      <c r="AD221" s="850"/>
      <c r="AE221" s="850"/>
      <c r="AF221" s="1925">
        <v>11</v>
      </c>
    </row>
    <row s="31261" customFormat="1" customHeight="1" ht="11.549999999999999">
      <c r="A222" s="1271"/>
      <c r="B222" s="1920"/>
      <c r="C222" s="1920"/>
      <c r="D222" s="635"/>
      <c r="K222" s="1444"/>
      <c r="L222" s="1920"/>
      <c r="M222" s="1920"/>
      <c r="N222" s="1444"/>
      <c r="O222" s="1444"/>
      <c r="P222" s="1444"/>
      <c r="Q222" s="1444"/>
      <c r="R222" s="1920"/>
      <c r="S222" s="1444"/>
      <c r="T222" s="1444"/>
      <c r="U222" s="828"/>
      <c r="V222" s="1444"/>
      <c r="W222" s="1444"/>
      <c r="X222" s="1444"/>
      <c r="Y222" s="1444"/>
      <c r="Z222" s="1444"/>
      <c r="AA222" s="1916"/>
      <c r="AB222" s="850"/>
      <c r="AC222" s="850"/>
      <c r="AD222" s="850"/>
      <c r="AE222" s="850"/>
      <c r="AF222" s="1925">
        <v>11</v>
      </c>
    </row>
    <row s="31261" customFormat="1" customHeight="1" ht="11.549999999999999">
      <c r="A223" s="1271"/>
      <c r="B223" s="1920"/>
      <c r="C223" s="1920"/>
      <c r="D223" s="635"/>
      <c r="K223" s="1444"/>
      <c r="L223" s="1920"/>
      <c r="M223" s="1920"/>
      <c r="N223" s="1444"/>
      <c r="O223" s="1444"/>
      <c r="P223" s="1444"/>
      <c r="Q223" s="1444"/>
      <c r="R223" s="1920"/>
      <c r="S223" s="1444"/>
      <c r="T223" s="1444"/>
      <c r="U223" s="828"/>
      <c r="V223" s="1444"/>
      <c r="W223" s="1444"/>
      <c r="X223" s="1444"/>
      <c r="Y223" s="1444"/>
      <c r="Z223" s="1444"/>
      <c r="AA223" s="1916"/>
      <c r="AB223" s="850"/>
      <c r="AC223" s="850"/>
      <c r="AD223" s="850"/>
      <c r="AE223" s="850"/>
      <c r="AF223" s="1925">
        <v>11</v>
      </c>
    </row>
    <row s="31261" customFormat="1" customHeight="1" ht="11.549999999999999">
      <c r="A224" s="1271"/>
      <c r="B224" s="1920"/>
      <c r="C224" s="1920"/>
      <c r="D224" s="635"/>
      <c r="K224" s="1444"/>
      <c r="L224" s="1920"/>
      <c r="M224" s="1920"/>
      <c r="N224" s="1444"/>
      <c r="O224" s="1444"/>
      <c r="P224" s="1444"/>
      <c r="Q224" s="1444"/>
      <c r="R224" s="1920"/>
      <c r="S224" s="1444"/>
      <c r="T224" s="1444"/>
      <c r="U224" s="828"/>
      <c r="V224" s="1444"/>
      <c r="W224" s="1444"/>
      <c r="X224" s="1444"/>
      <c r="Y224" s="1444"/>
      <c r="Z224" s="1444"/>
      <c r="AA224" s="1916"/>
      <c r="AB224" s="850"/>
      <c r="AC224" s="850"/>
      <c r="AD224" s="850"/>
      <c r="AE224" s="850"/>
      <c r="AF224" s="1925">
        <v>11</v>
      </c>
    </row>
    <row s="31261" customFormat="1" customHeight="1" ht="11.549999999999999">
      <c r="A225" s="1271"/>
      <c r="B225" s="1920"/>
      <c r="C225" s="1920"/>
      <c r="D225" s="635"/>
      <c r="K225" s="1444"/>
      <c r="L225" s="1920"/>
      <c r="M225" s="1920"/>
      <c r="N225" s="1444"/>
      <c r="O225" s="1444"/>
      <c r="P225" s="1444"/>
      <c r="Q225" s="1444"/>
      <c r="R225" s="1920"/>
      <c r="S225" s="1444"/>
      <c r="T225" s="1444"/>
      <c r="U225" s="828"/>
      <c r="V225" s="1444"/>
      <c r="W225" s="1444"/>
      <c r="X225" s="1444"/>
      <c r="Y225" s="1444"/>
      <c r="Z225" s="1444"/>
      <c r="AA225" s="1916"/>
      <c r="AB225" s="850"/>
      <c r="AC225" s="850"/>
      <c r="AD225" s="850"/>
      <c r="AE225" s="850"/>
      <c r="AF225" s="1925">
        <v>11</v>
      </c>
    </row>
    <row s="31261" customFormat="1" customHeight="1" ht="11.549999999999999">
      <c r="A226" s="1271"/>
      <c r="B226" s="1920"/>
      <c r="C226" s="1920"/>
      <c r="D226" s="635"/>
      <c r="K226" s="1444"/>
      <c r="L226" s="1920"/>
      <c r="M226" s="1920"/>
      <c r="N226" s="1444"/>
      <c r="O226" s="1444"/>
      <c r="P226" s="1444"/>
      <c r="Q226" s="1444"/>
      <c r="R226" s="1920"/>
      <c r="S226" s="1444"/>
      <c r="T226" s="1444"/>
      <c r="U226" s="828"/>
      <c r="V226" s="1444"/>
      <c r="W226" s="1444"/>
      <c r="X226" s="1444"/>
      <c r="Y226" s="1444"/>
      <c r="Z226" s="1444"/>
      <c r="AA226" s="1916"/>
      <c r="AB226" s="850"/>
      <c r="AC226" s="850"/>
      <c r="AD226" s="850"/>
      <c r="AE226" s="850"/>
      <c r="AF226" s="1925">
        <v>11</v>
      </c>
    </row>
    <row s="31261" customFormat="1" customHeight="1" ht="11.549999999999999">
      <c r="A227" s="1271"/>
      <c r="B227" s="1920"/>
      <c r="C227" s="1920"/>
      <c r="D227" s="635"/>
      <c r="K227" s="1444"/>
      <c r="L227" s="1920"/>
      <c r="M227" s="1920"/>
      <c r="N227" s="1444"/>
      <c r="O227" s="1444"/>
      <c r="P227" s="1444"/>
      <c r="Q227" s="1444"/>
      <c r="R227" s="1920"/>
      <c r="S227" s="1444"/>
      <c r="T227" s="1444"/>
      <c r="U227" s="828"/>
      <c r="V227" s="1444"/>
      <c r="W227" s="1444"/>
      <c r="X227" s="1444"/>
      <c r="Y227" s="1444"/>
      <c r="Z227" s="1444"/>
      <c r="AA227" s="1916"/>
      <c r="AB227" s="850"/>
      <c r="AC227" s="850"/>
      <c r="AD227" s="850"/>
      <c r="AE227" s="850"/>
      <c r="AF227" s="1925">
        <v>11</v>
      </c>
    </row>
    <row s="31261" customFormat="1" customHeight="1" ht="11.549999999999999">
      <c r="A228" s="1271"/>
      <c r="B228" s="1920"/>
      <c r="C228" s="1920"/>
      <c r="D228" s="635"/>
      <c r="K228" s="1444"/>
      <c r="L228" s="1920"/>
      <c r="M228" s="1920"/>
      <c r="N228" s="1444"/>
      <c r="O228" s="1444"/>
      <c r="P228" s="1444"/>
      <c r="Q228" s="1444"/>
      <c r="R228" s="1920"/>
      <c r="S228" s="1444"/>
      <c r="T228" s="1444"/>
      <c r="U228" s="828"/>
      <c r="V228" s="1444"/>
      <c r="W228" s="1444"/>
      <c r="X228" s="1444"/>
      <c r="Y228" s="1444"/>
      <c r="Z228" s="1444"/>
      <c r="AA228" s="1916"/>
      <c r="AB228" s="850"/>
      <c r="AC228" s="850"/>
      <c r="AD228" s="850"/>
      <c r="AE228" s="850"/>
      <c r="AF228" s="1925">
        <v>11</v>
      </c>
    </row>
    <row s="31261" customFormat="1" customHeight="1" ht="11.549999999999999">
      <c r="A229" s="1271"/>
      <c r="B229" s="1920"/>
      <c r="C229" s="1920"/>
      <c r="D229" s="635"/>
      <c r="K229" s="1444"/>
      <c r="L229" s="1920"/>
      <c r="M229" s="1920"/>
      <c r="N229" s="1444"/>
      <c r="O229" s="1444"/>
      <c r="P229" s="1444"/>
      <c r="Q229" s="1444"/>
      <c r="R229" s="1920"/>
      <c r="S229" s="1444"/>
      <c r="T229" s="1444"/>
      <c r="U229" s="828"/>
      <c r="V229" s="1444"/>
      <c r="W229" s="1444"/>
      <c r="X229" s="1444"/>
      <c r="Y229" s="1444"/>
      <c r="Z229" s="1444"/>
      <c r="AA229" s="1916"/>
      <c r="AB229" s="850"/>
      <c r="AC229" s="850"/>
      <c r="AD229" s="850"/>
      <c r="AE229" s="850"/>
      <c r="AF229" s="1925">
        <v>11</v>
      </c>
    </row>
    <row s="31261" customFormat="1" customHeight="1" ht="11.549999999999999">
      <c r="A230" s="1271"/>
      <c r="B230" s="1920"/>
      <c r="C230" s="1920"/>
      <c r="D230" s="635"/>
      <c r="K230" s="1444"/>
      <c r="L230" s="1920"/>
      <c r="M230" s="1920"/>
      <c r="N230" s="1444"/>
      <c r="O230" s="1444"/>
      <c r="P230" s="1444"/>
      <c r="Q230" s="1444"/>
      <c r="R230" s="1920"/>
      <c r="S230" s="1444"/>
      <c r="T230" s="1444"/>
      <c r="U230" s="828"/>
      <c r="V230" s="1444"/>
      <c r="W230" s="1444"/>
      <c r="X230" s="1444"/>
      <c r="Y230" s="1444"/>
      <c r="Z230" s="1444"/>
      <c r="AA230" s="1916"/>
      <c r="AB230" s="850"/>
      <c r="AC230" s="850"/>
      <c r="AD230" s="850"/>
      <c r="AE230" s="850"/>
      <c r="AF230" s="1925">
        <v>11</v>
      </c>
    </row>
    <row s="31261" customFormat="1" customHeight="1" ht="11.549999999999999">
      <c r="A231" s="1271"/>
      <c r="B231" s="1920"/>
      <c r="C231" s="1920"/>
      <c r="D231" s="635"/>
      <c r="K231" s="1444"/>
      <c r="L231" s="1920"/>
      <c r="M231" s="1920"/>
      <c r="N231" s="1444"/>
      <c r="O231" s="1444"/>
      <c r="P231" s="1444"/>
      <c r="Q231" s="1444"/>
      <c r="R231" s="1920"/>
      <c r="S231" s="1444"/>
      <c r="T231" s="1444"/>
      <c r="U231" s="828"/>
      <c r="V231" s="1444"/>
      <c r="W231" s="1444"/>
      <c r="X231" s="1444"/>
      <c r="Y231" s="1444"/>
      <c r="Z231" s="1444"/>
      <c r="AA231" s="1916"/>
      <c r="AB231" s="850"/>
      <c r="AC231" s="850"/>
      <c r="AD231" s="850"/>
      <c r="AE231" s="850"/>
      <c r="AF231" s="1925">
        <v>11</v>
      </c>
    </row>
    <row s="31261" customFormat="1" customHeight="1" ht="11.549999999999999">
      <c r="A232" s="1271"/>
      <c r="B232" s="1920"/>
      <c r="C232" s="1920"/>
      <c r="D232" s="635"/>
      <c r="K232" s="1444"/>
      <c r="L232" s="1920"/>
      <c r="M232" s="1920"/>
      <c r="N232" s="1444"/>
      <c r="O232" s="1444"/>
      <c r="P232" s="1444"/>
      <c r="Q232" s="1444"/>
      <c r="R232" s="1920"/>
      <c r="S232" s="1444"/>
      <c r="T232" s="1444"/>
      <c r="U232" s="828"/>
      <c r="V232" s="1444"/>
      <c r="W232" s="1444"/>
      <c r="X232" s="1444"/>
      <c r="Y232" s="1444"/>
      <c r="Z232" s="1444"/>
      <c r="AA232" s="1916"/>
      <c r="AB232" s="850"/>
      <c r="AC232" s="850"/>
      <c r="AD232" s="850"/>
      <c r="AE232" s="850"/>
      <c r="AF232" s="1925">
        <v>11</v>
      </c>
    </row>
    <row s="31261" customFormat="1" customHeight="1" ht="11.549999999999999">
      <c r="A233" s="1271"/>
      <c r="B233" s="1920"/>
      <c r="C233" s="1920"/>
      <c r="D233" s="635"/>
      <c r="K233" s="1444"/>
      <c r="L233" s="1920"/>
      <c r="M233" s="1920"/>
      <c r="N233" s="1444"/>
      <c r="O233" s="1444"/>
      <c r="P233" s="1444"/>
      <c r="Q233" s="1444"/>
      <c r="R233" s="1920"/>
      <c r="S233" s="1444"/>
      <c r="T233" s="1444"/>
      <c r="U233" s="828"/>
      <c r="V233" s="1444"/>
      <c r="W233" s="1444"/>
      <c r="X233" s="1444"/>
      <c r="Y233" s="1444"/>
      <c r="Z233" s="1444"/>
      <c r="AA233" s="1916"/>
      <c r="AB233" s="850"/>
      <c r="AC233" s="850"/>
      <c r="AD233" s="850"/>
      <c r="AE233" s="850"/>
      <c r="AF233" s="1925">
        <v>11</v>
      </c>
    </row>
    <row s="31261" customFormat="1" customHeight="1" ht="11.549999999999999">
      <c r="A234" s="1271"/>
      <c r="B234" s="1920"/>
      <c r="C234" s="1920"/>
      <c r="D234" s="635"/>
      <c r="K234" s="1444"/>
      <c r="L234" s="1920"/>
      <c r="M234" s="1920"/>
      <c r="N234" s="1444"/>
      <c r="O234" s="1444"/>
      <c r="P234" s="1444"/>
      <c r="Q234" s="1444"/>
      <c r="R234" s="1920"/>
      <c r="S234" s="1444"/>
      <c r="T234" s="1444"/>
      <c r="U234" s="828"/>
      <c r="V234" s="1444"/>
      <c r="W234" s="1444"/>
      <c r="X234" s="1444"/>
      <c r="Y234" s="1444"/>
      <c r="Z234" s="1444"/>
      <c r="AA234" s="1916"/>
      <c r="AB234" s="850"/>
      <c r="AC234" s="850"/>
      <c r="AD234" s="850"/>
      <c r="AE234" s="850"/>
      <c r="AF234" s="1925">
        <v>11</v>
      </c>
    </row>
    <row s="31261" customFormat="1" customHeight="1" ht="11.549999999999999">
      <c r="A235" s="1271"/>
      <c r="B235" s="1920"/>
      <c r="C235" s="1920"/>
      <c r="D235" s="635"/>
      <c r="K235" s="1444"/>
      <c r="L235" s="1920"/>
      <c r="M235" s="1920"/>
      <c r="N235" s="1444"/>
      <c r="O235" s="1444"/>
      <c r="P235" s="1444"/>
      <c r="Q235" s="1444"/>
      <c r="R235" s="1920"/>
      <c r="S235" s="1444"/>
      <c r="T235" s="1444"/>
      <c r="U235" s="828"/>
      <c r="V235" s="1444"/>
      <c r="W235" s="1444"/>
      <c r="X235" s="1444"/>
      <c r="Y235" s="1444"/>
      <c r="Z235" s="1444"/>
      <c r="AA235" s="1916"/>
      <c r="AB235" s="850"/>
      <c r="AC235" s="850"/>
      <c r="AD235" s="850"/>
      <c r="AE235" s="850"/>
      <c r="AF235" s="1925">
        <v>11</v>
      </c>
    </row>
    <row s="31261" customFormat="1" customHeight="1" ht="11.549999999999999">
      <c r="A236" s="1271"/>
      <c r="B236" s="1920"/>
      <c r="C236" s="1920"/>
      <c r="D236" s="635"/>
      <c r="K236" s="1444"/>
      <c r="L236" s="1920"/>
      <c r="M236" s="1920"/>
      <c r="N236" s="1444"/>
      <c r="O236" s="1444"/>
      <c r="P236" s="1444"/>
      <c r="Q236" s="1444"/>
      <c r="R236" s="1920"/>
      <c r="S236" s="1444"/>
      <c r="T236" s="1444"/>
      <c r="U236" s="828"/>
      <c r="V236" s="1444"/>
      <c r="W236" s="1444"/>
      <c r="X236" s="1444"/>
      <c r="Y236" s="1444"/>
      <c r="Z236" s="1444"/>
      <c r="AA236" s="1916"/>
      <c r="AB236" s="850"/>
      <c r="AC236" s="850"/>
      <c r="AD236" s="850"/>
      <c r="AE236" s="850"/>
      <c r="AF236" s="1925">
        <v>11</v>
      </c>
    </row>
    <row s="31261" customFormat="1" customHeight="1" ht="11.549999999999999">
      <c r="A237" s="1271"/>
      <c r="B237" s="1920"/>
      <c r="C237" s="1920"/>
      <c r="D237" s="635"/>
      <c r="K237" s="1444"/>
      <c r="L237" s="1920"/>
      <c r="M237" s="1920"/>
      <c r="N237" s="1444"/>
      <c r="O237" s="1444"/>
      <c r="P237" s="1444"/>
      <c r="Q237" s="1444"/>
      <c r="R237" s="1920"/>
      <c r="S237" s="1444"/>
      <c r="T237" s="1444"/>
      <c r="U237" s="828"/>
      <c r="V237" s="1444"/>
      <c r="W237" s="1444"/>
      <c r="X237" s="1444"/>
      <c r="Y237" s="1444"/>
      <c r="Z237" s="1444"/>
      <c r="AA237" s="1916"/>
      <c r="AB237" s="850"/>
      <c r="AC237" s="850"/>
      <c r="AD237" s="850"/>
      <c r="AE237" s="850"/>
      <c r="AF237" s="1925">
        <v>11</v>
      </c>
    </row>
    <row s="31261" customFormat="1" customHeight="1" ht="11.549999999999999">
      <c r="A238" s="1271"/>
      <c r="B238" s="1920"/>
      <c r="C238" s="1920"/>
      <c r="D238" s="635"/>
      <c r="K238" s="1444"/>
      <c r="L238" s="1920"/>
      <c r="M238" s="1920"/>
      <c r="N238" s="1444"/>
      <c r="O238" s="1444"/>
      <c r="P238" s="1444"/>
      <c r="Q238" s="1444"/>
      <c r="R238" s="1920"/>
      <c r="S238" s="1444"/>
      <c r="T238" s="1444"/>
      <c r="U238" s="828"/>
      <c r="V238" s="1444"/>
      <c r="W238" s="1444"/>
      <c r="X238" s="1444"/>
      <c r="Y238" s="1444"/>
      <c r="Z238" s="1444"/>
      <c r="AA238" s="1916"/>
      <c r="AB238" s="850"/>
      <c r="AC238" s="850"/>
      <c r="AD238" s="850"/>
      <c r="AE238" s="850"/>
      <c r="AF238" s="1925">
        <v>11</v>
      </c>
    </row>
    <row s="31261" customFormat="1" customHeight="1" ht="11.549999999999999">
      <c r="A239" s="1271"/>
      <c r="B239" s="1920"/>
      <c r="C239" s="1920"/>
      <c r="D239" s="635"/>
      <c r="K239" s="1444"/>
      <c r="L239" s="1920"/>
      <c r="M239" s="1920"/>
      <c r="N239" s="1444"/>
      <c r="O239" s="1444"/>
      <c r="P239" s="1444"/>
      <c r="Q239" s="1444"/>
      <c r="R239" s="1920"/>
      <c r="S239" s="1444"/>
      <c r="T239" s="1444"/>
      <c r="U239" s="828"/>
      <c r="V239" s="1444"/>
      <c r="W239" s="1444"/>
      <c r="X239" s="1444"/>
      <c r="Y239" s="1444"/>
      <c r="Z239" s="1444"/>
      <c r="AA239" s="1916"/>
      <c r="AB239" s="850"/>
      <c r="AC239" s="850"/>
      <c r="AD239" s="850"/>
      <c r="AE239" s="850"/>
      <c r="AF239" s="1925">
        <v>11</v>
      </c>
    </row>
    <row s="31261" customFormat="1" customHeight="1" ht="11.549999999999999">
      <c r="A240" s="1271"/>
      <c r="B240" s="1920"/>
      <c r="C240" s="1920"/>
      <c r="D240" s="635"/>
      <c r="K240" s="1444"/>
      <c r="L240" s="1920"/>
      <c r="M240" s="1920"/>
      <c r="N240" s="1444"/>
      <c r="O240" s="1444"/>
      <c r="P240" s="1444"/>
      <c r="Q240" s="1444"/>
      <c r="R240" s="1920"/>
      <c r="S240" s="1444"/>
      <c r="T240" s="1444"/>
      <c r="U240" s="828"/>
      <c r="V240" s="1444"/>
      <c r="W240" s="1444"/>
      <c r="X240" s="1444"/>
      <c r="Y240" s="1444"/>
      <c r="Z240" s="1444"/>
      <c r="AA240" s="1916"/>
      <c r="AB240" s="850"/>
      <c r="AC240" s="850"/>
      <c r="AD240" s="850"/>
      <c r="AE240" s="850"/>
      <c r="AF240" s="1925">
        <v>11</v>
      </c>
    </row>
    <row s="31261" customFormat="1" customHeight="1" ht="11.549999999999999">
      <c r="A241" s="1271"/>
      <c r="B241" s="1920"/>
      <c r="C241" s="1920"/>
      <c r="D241" s="635"/>
      <c r="K241" s="1444"/>
      <c r="L241" s="1920"/>
      <c r="M241" s="1920"/>
      <c r="N241" s="1444"/>
      <c r="O241" s="1444"/>
      <c r="P241" s="1444"/>
      <c r="Q241" s="1444"/>
      <c r="R241" s="1920"/>
      <c r="S241" s="1444"/>
      <c r="T241" s="1444"/>
      <c r="U241" s="828"/>
      <c r="V241" s="1444"/>
      <c r="W241" s="1444"/>
      <c r="X241" s="1444"/>
      <c r="Y241" s="1444"/>
      <c r="Z241" s="1444"/>
      <c r="AA241" s="1916"/>
      <c r="AB241" s="850"/>
      <c r="AC241" s="850"/>
      <c r="AD241" s="850"/>
      <c r="AE241" s="850"/>
      <c r="AF241" s="1925">
        <v>11</v>
      </c>
    </row>
    <row s="31261" customFormat="1" customHeight="1" ht="11.549999999999999">
      <c r="A242" s="1271"/>
      <c r="B242" s="1920"/>
      <c r="C242" s="1920"/>
      <c r="D242" s="635"/>
      <c r="K242" s="1444"/>
      <c r="L242" s="1920"/>
      <c r="M242" s="1920"/>
      <c r="N242" s="1444"/>
      <c r="O242" s="1444"/>
      <c r="P242" s="1444"/>
      <c r="Q242" s="1444"/>
      <c r="R242" s="1920"/>
      <c r="S242" s="1444"/>
      <c r="T242" s="1444"/>
      <c r="U242" s="828"/>
      <c r="V242" s="1444"/>
      <c r="W242" s="1444"/>
      <c r="X242" s="1444"/>
      <c r="Y242" s="1444"/>
      <c r="Z242" s="1444"/>
      <c r="AA242" s="1916"/>
      <c r="AB242" s="850"/>
      <c r="AC242" s="850"/>
      <c r="AD242" s="850"/>
      <c r="AE242" s="850"/>
      <c r="AF242" s="1925">
        <v>11</v>
      </c>
    </row>
    <row s="31261" customFormat="1" customHeight="1" ht="11.549999999999999">
      <c r="A243" s="1271"/>
      <c r="B243" s="1920"/>
      <c r="C243" s="1920"/>
      <c r="D243" s="635"/>
      <c r="K243" s="1444"/>
      <c r="L243" s="1920"/>
      <c r="M243" s="1920"/>
      <c r="N243" s="1444"/>
      <c r="O243" s="1444"/>
      <c r="P243" s="1444"/>
      <c r="Q243" s="1444"/>
      <c r="R243" s="1920"/>
      <c r="S243" s="1444"/>
      <c r="T243" s="1444"/>
      <c r="U243" s="828"/>
      <c r="V243" s="1444"/>
      <c r="W243" s="1444"/>
      <c r="X243" s="1444"/>
      <c r="Y243" s="1444"/>
      <c r="Z243" s="1444"/>
      <c r="AA243" s="1916"/>
      <c r="AB243" s="850"/>
      <c r="AC243" s="850"/>
      <c r="AD243" s="850"/>
      <c r="AE243" s="850"/>
      <c r="AF243" s="1925">
        <v>11</v>
      </c>
    </row>
    <row s="31261" customFormat="1" customHeight="1" ht="11.549999999999999">
      <c r="A244" s="1271"/>
      <c r="B244" s="1920"/>
      <c r="C244" s="1920"/>
      <c r="D244" s="635"/>
      <c r="K244" s="1444"/>
      <c r="L244" s="1920"/>
      <c r="M244" s="1920"/>
      <c r="N244" s="1444"/>
      <c r="O244" s="1444"/>
      <c r="P244" s="1444"/>
      <c r="Q244" s="1444"/>
      <c r="R244" s="1920"/>
      <c r="S244" s="1444"/>
      <c r="T244" s="1444"/>
      <c r="U244" s="828"/>
      <c r="V244" s="1444"/>
      <c r="W244" s="1444"/>
      <c r="X244" s="1444"/>
      <c r="Y244" s="1444"/>
      <c r="Z244" s="1444"/>
      <c r="AA244" s="1916"/>
      <c r="AB244" s="850"/>
      <c r="AC244" s="850"/>
      <c r="AD244" s="850"/>
      <c r="AE244" s="850"/>
      <c r="AF244" s="1925">
        <v>11</v>
      </c>
    </row>
    <row s="31261" customFormat="1" customHeight="1" ht="11.549999999999999">
      <c r="A245" s="1271"/>
      <c r="B245" s="1920"/>
      <c r="C245" s="1920"/>
      <c r="D245" s="635"/>
      <c r="K245" s="1444"/>
      <c r="L245" s="1920"/>
      <c r="M245" s="1920"/>
      <c r="N245" s="1444"/>
      <c r="O245" s="1444"/>
      <c r="P245" s="1444"/>
      <c r="Q245" s="1444"/>
      <c r="R245" s="1920"/>
      <c r="S245" s="1444"/>
      <c r="T245" s="1444"/>
      <c r="U245" s="828"/>
      <c r="V245" s="1444"/>
      <c r="W245" s="1444"/>
      <c r="X245" s="1444"/>
      <c r="Y245" s="1444"/>
      <c r="Z245" s="1444"/>
      <c r="AA245" s="1916"/>
      <c r="AB245" s="850"/>
      <c r="AC245" s="850"/>
      <c r="AD245" s="850"/>
      <c r="AE245" s="850"/>
      <c r="AF245" s="1925">
        <v>11</v>
      </c>
    </row>
    <row s="31261" customFormat="1" customHeight="1" ht="11.549999999999999">
      <c r="A246" s="1271"/>
      <c r="B246" s="1920"/>
      <c r="C246" s="1920"/>
      <c r="D246" s="635"/>
      <c r="K246" s="1444"/>
      <c r="L246" s="1920"/>
      <c r="M246" s="1920"/>
      <c r="N246" s="1444"/>
      <c r="O246" s="1444"/>
      <c r="P246" s="1444"/>
      <c r="Q246" s="1444"/>
      <c r="R246" s="1920"/>
      <c r="S246" s="1444"/>
      <c r="T246" s="1444"/>
      <c r="U246" s="828"/>
      <c r="V246" s="1444"/>
      <c r="W246" s="1444"/>
      <c r="X246" s="1444"/>
      <c r="Y246" s="1444"/>
      <c r="Z246" s="1444"/>
      <c r="AA246" s="1916"/>
      <c r="AB246" s="850"/>
      <c r="AC246" s="850"/>
      <c r="AD246" s="850"/>
      <c r="AE246" s="850"/>
      <c r="AF246" s="1925">
        <v>11</v>
      </c>
    </row>
    <row s="31261" customFormat="1" customHeight="1" ht="11.549999999999999">
      <c r="A247" s="1271"/>
      <c r="B247" s="1920"/>
      <c r="C247" s="1920"/>
      <c r="D247" s="635"/>
      <c r="K247" s="1444"/>
      <c r="L247" s="1920"/>
      <c r="M247" s="1920"/>
      <c r="N247" s="1444"/>
      <c r="O247" s="1444"/>
      <c r="P247" s="1444"/>
      <c r="Q247" s="1444"/>
      <c r="R247" s="1920"/>
      <c r="S247" s="1444"/>
      <c r="T247" s="1444"/>
      <c r="U247" s="828"/>
      <c r="V247" s="1444"/>
      <c r="W247" s="1444"/>
      <c r="X247" s="1444"/>
      <c r="Y247" s="1444"/>
      <c r="Z247" s="1444"/>
      <c r="AA247" s="1916"/>
      <c r="AB247" s="850"/>
      <c r="AC247" s="850"/>
      <c r="AD247" s="850"/>
      <c r="AE247" s="850"/>
      <c r="AF247" s="1925">
        <v>11</v>
      </c>
    </row>
    <row s="31261" customFormat="1" customHeight="1" ht="11.549999999999999">
      <c r="A248" s="1271"/>
      <c r="B248" s="1920"/>
      <c r="C248" s="1920"/>
      <c r="D248" s="635"/>
      <c r="K248" s="1444"/>
      <c r="L248" s="1920"/>
      <c r="M248" s="1920"/>
      <c r="N248" s="1444"/>
      <c r="O248" s="1444"/>
      <c r="P248" s="1444"/>
      <c r="Q248" s="1444"/>
      <c r="R248" s="1920"/>
      <c r="S248" s="1444"/>
      <c r="T248" s="1444"/>
      <c r="U248" s="828"/>
      <c r="V248" s="1444"/>
      <c r="W248" s="1444"/>
      <c r="X248" s="1444"/>
      <c r="Y248" s="1444"/>
      <c r="Z248" s="1444"/>
      <c r="AA248" s="1916"/>
      <c r="AB248" s="850"/>
      <c r="AC248" s="850"/>
      <c r="AD248" s="850"/>
      <c r="AE248" s="850"/>
      <c r="AF248" s="1925">
        <v>11</v>
      </c>
    </row>
    <row s="31261" customFormat="1" customHeight="1" ht="11.549999999999999">
      <c r="A249" s="1271"/>
      <c r="B249" s="1920"/>
      <c r="C249" s="1920"/>
      <c r="D249" s="635"/>
      <c r="K249" s="1444"/>
      <c r="L249" s="1920"/>
      <c r="M249" s="1920"/>
      <c r="N249" s="1444"/>
      <c r="O249" s="1444"/>
      <c r="P249" s="1444"/>
      <c r="Q249" s="1444"/>
      <c r="R249" s="1920"/>
      <c r="S249" s="1444"/>
      <c r="T249" s="1444"/>
      <c r="U249" s="828"/>
      <c r="V249" s="1444"/>
      <c r="W249" s="1444"/>
      <c r="X249" s="1444"/>
      <c r="Y249" s="1444"/>
      <c r="Z249" s="1444"/>
      <c r="AA249" s="1916"/>
      <c r="AB249" s="850"/>
      <c r="AC249" s="850"/>
      <c r="AD249" s="850"/>
      <c r="AE249" s="850"/>
      <c r="AF249" s="1925">
        <v>11</v>
      </c>
    </row>
    <row s="31261" customFormat="1" customHeight="1" ht="11.549999999999999">
      <c r="A250" s="1271"/>
      <c r="B250" s="1920"/>
      <c r="C250" s="1920"/>
      <c r="D250" s="635"/>
      <c r="K250" s="1444"/>
      <c r="L250" s="1920"/>
      <c r="M250" s="1920"/>
      <c r="N250" s="1444"/>
      <c r="O250" s="1444"/>
      <c r="P250" s="1444"/>
      <c r="Q250" s="1444"/>
      <c r="R250" s="1920"/>
      <c r="S250" s="1444"/>
      <c r="T250" s="1444"/>
      <c r="U250" s="828"/>
      <c r="V250" s="1444"/>
      <c r="W250" s="1444"/>
      <c r="X250" s="1444"/>
      <c r="Y250" s="1444"/>
      <c r="Z250" s="1444"/>
      <c r="AA250" s="1916"/>
      <c r="AB250" s="850"/>
      <c r="AC250" s="850"/>
      <c r="AD250" s="850"/>
      <c r="AE250" s="850"/>
      <c r="AF250" s="1925">
        <v>11</v>
      </c>
    </row>
    <row s="31261" customFormat="1" customHeight="1" ht="11.549999999999999">
      <c r="A251" s="1271"/>
      <c r="B251" s="1920"/>
      <c r="C251" s="1920"/>
      <c r="D251" s="635"/>
      <c r="K251" s="1444"/>
      <c r="L251" s="1920"/>
      <c r="M251" s="1920"/>
      <c r="N251" s="1444"/>
      <c r="O251" s="1444"/>
      <c r="P251" s="1444"/>
      <c r="Q251" s="1444"/>
      <c r="R251" s="1920"/>
      <c r="S251" s="1444"/>
      <c r="T251" s="1444"/>
      <c r="U251" s="828"/>
      <c r="V251" s="1444"/>
      <c r="W251" s="1444"/>
      <c r="X251" s="1444"/>
      <c r="Y251" s="1444"/>
      <c r="Z251" s="1444"/>
      <c r="AA251" s="1916"/>
      <c r="AB251" s="850"/>
      <c r="AC251" s="850"/>
      <c r="AD251" s="850"/>
      <c r="AE251" s="850"/>
      <c r="AF251" s="1925">
        <v>11</v>
      </c>
    </row>
    <row s="31261" customFormat="1" customHeight="1" ht="11.549999999999999">
      <c r="A252" s="1271"/>
      <c r="B252" s="1920"/>
      <c r="C252" s="1920"/>
      <c r="D252" s="635"/>
      <c r="K252" s="1444"/>
      <c r="L252" s="1920"/>
      <c r="M252" s="1920"/>
      <c r="N252" s="1444"/>
      <c r="O252" s="1444"/>
      <c r="P252" s="1444"/>
      <c r="Q252" s="1444"/>
      <c r="R252" s="1920"/>
      <c r="S252" s="1444"/>
      <c r="T252" s="1444"/>
      <c r="U252" s="828"/>
      <c r="V252" s="1444"/>
      <c r="W252" s="1444"/>
      <c r="X252" s="1444"/>
      <c r="Y252" s="1444"/>
      <c r="Z252" s="1444"/>
      <c r="AA252" s="1916"/>
      <c r="AB252" s="850"/>
      <c r="AC252" s="850"/>
      <c r="AD252" s="850"/>
      <c r="AE252" s="850"/>
      <c r="AF252" s="1925">
        <v>11</v>
      </c>
    </row>
    <row s="31261" customFormat="1" customHeight="1" ht="11.549999999999999">
      <c r="A253" s="1271"/>
      <c r="B253" s="1920"/>
      <c r="C253" s="1920"/>
      <c r="D253" s="635"/>
      <c r="K253" s="1444"/>
      <c r="L253" s="1920"/>
      <c r="M253" s="1920"/>
      <c r="N253" s="1444"/>
      <c r="O253" s="1444"/>
      <c r="P253" s="1444"/>
      <c r="Q253" s="1444"/>
      <c r="R253" s="1920"/>
      <c r="S253" s="1444"/>
      <c r="T253" s="1444"/>
      <c r="U253" s="828"/>
      <c r="V253" s="1444"/>
      <c r="W253" s="1444"/>
      <c r="X253" s="1444"/>
      <c r="Y253" s="1444"/>
      <c r="Z253" s="1444"/>
      <c r="AA253" s="1916"/>
      <c r="AB253" s="850"/>
      <c r="AC253" s="850"/>
      <c r="AD253" s="850"/>
      <c r="AE253" s="850"/>
      <c r="AF253" s="1925">
        <v>11</v>
      </c>
    </row>
    <row s="31261" customFormat="1" customHeight="1" ht="11.549999999999999">
      <c r="A254" s="1271"/>
      <c r="B254" s="1920"/>
      <c r="C254" s="1920"/>
      <c r="D254" s="635"/>
      <c r="K254" s="1444"/>
      <c r="L254" s="1920"/>
      <c r="M254" s="1920"/>
      <c r="N254" s="1444"/>
      <c r="O254" s="1444"/>
      <c r="P254" s="1444"/>
      <c r="Q254" s="1444"/>
      <c r="R254" s="1920"/>
      <c r="S254" s="1444"/>
      <c r="T254" s="1444"/>
      <c r="U254" s="828"/>
      <c r="V254" s="1444"/>
      <c r="W254" s="1444"/>
      <c r="X254" s="1444"/>
      <c r="Y254" s="1444"/>
      <c r="Z254" s="1444"/>
      <c r="AA254" s="1916"/>
      <c r="AB254" s="850"/>
      <c r="AC254" s="850"/>
      <c r="AD254" s="850"/>
      <c r="AE254" s="850"/>
      <c r="AF254" s="1925">
        <v>11</v>
      </c>
    </row>
    <row s="31261" customFormat="1" customHeight="1" ht="11.549999999999999">
      <c r="A255" s="1271"/>
      <c r="B255" s="1920"/>
      <c r="C255" s="1920"/>
      <c r="D255" s="635"/>
      <c r="K255" s="1444"/>
      <c r="L255" s="1920"/>
      <c r="M255" s="1920"/>
      <c r="N255" s="1444"/>
      <c r="O255" s="1444"/>
      <c r="P255" s="1444"/>
      <c r="Q255" s="1444"/>
      <c r="R255" s="1920"/>
      <c r="S255" s="1444"/>
      <c r="T255" s="1444"/>
      <c r="U255" s="828"/>
      <c r="V255" s="1444"/>
      <c r="W255" s="1444"/>
      <c r="X255" s="1444"/>
      <c r="Y255" s="1444"/>
      <c r="Z255" s="1444"/>
      <c r="AA255" s="1916"/>
      <c r="AB255" s="850"/>
      <c r="AC255" s="850"/>
      <c r="AD255" s="850"/>
      <c r="AE255" s="850"/>
      <c r="AF255" s="1925">
        <v>11</v>
      </c>
    </row>
    <row s="31261" customFormat="1" customHeight="1" ht="11.549999999999999">
      <c r="A256" s="1271"/>
      <c r="B256" s="1920"/>
      <c r="C256" s="1920"/>
      <c r="D256" s="635"/>
      <c r="K256" s="1444"/>
      <c r="L256" s="1920"/>
      <c r="M256" s="1920"/>
      <c r="N256" s="1444"/>
      <c r="O256" s="1444"/>
      <c r="P256" s="1444"/>
      <c r="Q256" s="1444"/>
      <c r="R256" s="1920"/>
      <c r="S256" s="1444"/>
      <c r="T256" s="1444"/>
      <c r="U256" s="828"/>
      <c r="V256" s="1444"/>
      <c r="W256" s="1444"/>
      <c r="X256" s="1444"/>
      <c r="Y256" s="1444"/>
      <c r="Z256" s="1444"/>
      <c r="AA256" s="1916"/>
      <c r="AB256" s="850"/>
      <c r="AC256" s="850"/>
      <c r="AD256" s="850"/>
      <c r="AE256" s="850"/>
      <c r="AF256" s="1925">
        <v>11</v>
      </c>
    </row>
    <row s="31261" customFormat="1" customHeight="1" ht="11.549999999999999">
      <c r="A257" s="1271"/>
      <c r="B257" s="1920"/>
      <c r="C257" s="1920"/>
      <c r="D257" s="635"/>
      <c r="K257" s="1444"/>
      <c r="L257" s="1920"/>
      <c r="M257" s="1920"/>
      <c r="N257" s="1444"/>
      <c r="O257" s="1444"/>
      <c r="P257" s="1444"/>
      <c r="Q257" s="1444"/>
      <c r="R257" s="1920"/>
      <c r="S257" s="1444"/>
      <c r="T257" s="1444"/>
      <c r="U257" s="828"/>
      <c r="V257" s="1444"/>
      <c r="W257" s="1444"/>
      <c r="X257" s="1444"/>
      <c r="Y257" s="1444"/>
      <c r="Z257" s="1444"/>
      <c r="AA257" s="1916"/>
      <c r="AB257" s="850"/>
      <c r="AC257" s="850"/>
      <c r="AD257" s="850"/>
      <c r="AE257" s="850"/>
      <c r="AF257" s="1925">
        <v>11</v>
      </c>
    </row>
    <row s="31261" customFormat="1" customHeight="1" ht="11.549999999999999">
      <c r="A258" s="1271"/>
      <c r="B258" s="1920"/>
      <c r="C258" s="1920"/>
      <c r="D258" s="635"/>
      <c r="K258" s="1444"/>
      <c r="L258" s="1920"/>
      <c r="M258" s="1920"/>
      <c r="N258" s="1444"/>
      <c r="O258" s="1444"/>
      <c r="P258" s="1444"/>
      <c r="Q258" s="1444"/>
      <c r="R258" s="1920"/>
      <c r="S258" s="1444"/>
      <c r="T258" s="1444"/>
      <c r="U258" s="828"/>
      <c r="V258" s="1444"/>
      <c r="W258" s="1444"/>
      <c r="X258" s="1444"/>
      <c r="Y258" s="1444"/>
      <c r="Z258" s="1444"/>
      <c r="AA258" s="1916"/>
      <c r="AB258" s="850"/>
      <c r="AC258" s="850"/>
      <c r="AD258" s="850"/>
      <c r="AE258" s="850"/>
      <c r="AF258" s="1925">
        <v>11</v>
      </c>
    </row>
    <row s="31261" customFormat="1" customHeight="1" ht="11.549999999999999">
      <c r="A259" s="1271"/>
      <c r="B259" s="1920"/>
      <c r="C259" s="1920"/>
      <c r="D259" s="635"/>
      <c r="K259" s="1444"/>
      <c r="L259" s="1920"/>
      <c r="M259" s="1920"/>
      <c r="N259" s="1444"/>
      <c r="O259" s="1444"/>
      <c r="P259" s="1444"/>
      <c r="Q259" s="1444"/>
      <c r="R259" s="1920"/>
      <c r="S259" s="1444"/>
      <c r="T259" s="1444"/>
      <c r="U259" s="828"/>
      <c r="V259" s="1444"/>
      <c r="W259" s="1444"/>
      <c r="X259" s="1444"/>
      <c r="Y259" s="1444"/>
      <c r="Z259" s="1444"/>
      <c r="AA259" s="1916"/>
      <c r="AB259" s="850"/>
      <c r="AC259" s="850"/>
      <c r="AD259" s="850"/>
      <c r="AE259" s="850"/>
      <c r="AF259" s="1925">
        <v>11</v>
      </c>
    </row>
    <row s="31261" customFormat="1" customHeight="1" ht="11.549999999999999">
      <c r="A260" s="1271"/>
      <c r="B260" s="1920"/>
      <c r="C260" s="1920"/>
      <c r="D260" s="635"/>
      <c r="K260" s="1444"/>
      <c r="L260" s="1920"/>
      <c r="M260" s="1920"/>
      <c r="N260" s="1444"/>
      <c r="O260" s="1444"/>
      <c r="P260" s="1444"/>
      <c r="Q260" s="1444"/>
      <c r="R260" s="1920"/>
      <c r="S260" s="1444"/>
      <c r="T260" s="1444"/>
      <c r="U260" s="828"/>
      <c r="V260" s="1444"/>
      <c r="W260" s="1444"/>
      <c r="X260" s="1444"/>
      <c r="Y260" s="1444"/>
      <c r="Z260" s="1444"/>
      <c r="AA260" s="1916"/>
      <c r="AB260" s="850"/>
      <c r="AC260" s="850"/>
      <c r="AD260" s="850"/>
      <c r="AE260" s="850"/>
      <c r="AF260" s="1925">
        <v>11</v>
      </c>
    </row>
    <row s="31261" customFormat="1" customHeight="1" ht="11.549999999999999">
      <c r="A261" s="1271"/>
      <c r="B261" s="1920"/>
      <c r="C261" s="1920"/>
      <c r="D261" s="635"/>
      <c r="K261" s="1444"/>
      <c r="L261" s="1920"/>
      <c r="M261" s="1920"/>
      <c r="N261" s="1444"/>
      <c r="O261" s="1444"/>
      <c r="P261" s="1444"/>
      <c r="Q261" s="1444"/>
      <c r="R261" s="1920"/>
      <c r="S261" s="1444"/>
      <c r="T261" s="1444"/>
      <c r="U261" s="828"/>
      <c r="V261" s="1444"/>
      <c r="W261" s="1444"/>
      <c r="X261" s="1444"/>
      <c r="Y261" s="1444"/>
      <c r="Z261" s="1444"/>
      <c r="AA261" s="1916"/>
      <c r="AB261" s="850"/>
      <c r="AC261" s="850"/>
      <c r="AD261" s="850"/>
      <c r="AE261" s="850"/>
      <c r="AF261" s="1925">
        <v>11</v>
      </c>
    </row>
    <row s="31261" customFormat="1" customHeight="1" ht="11.549999999999999">
      <c r="A262" s="1271"/>
      <c r="B262" s="1920"/>
      <c r="C262" s="1920"/>
      <c r="D262" s="635"/>
      <c r="K262" s="1444"/>
      <c r="L262" s="1920"/>
      <c r="M262" s="1920"/>
      <c r="N262" s="1444"/>
      <c r="O262" s="1444"/>
      <c r="P262" s="1444"/>
      <c r="Q262" s="1444"/>
      <c r="R262" s="1920"/>
      <c r="S262" s="1444"/>
      <c r="T262" s="1444"/>
      <c r="U262" s="828"/>
      <c r="V262" s="1444"/>
      <c r="W262" s="1444"/>
      <c r="X262" s="1444"/>
      <c r="Y262" s="1444"/>
      <c r="Z262" s="1444"/>
      <c r="AA262" s="1916"/>
      <c r="AB262" s="850"/>
      <c r="AC262" s="850"/>
      <c r="AD262" s="850"/>
      <c r="AE262" s="850"/>
      <c r="AF262" s="1925">
        <v>11</v>
      </c>
    </row>
    <row s="31261" customFormat="1" customHeight="1" ht="11.549999999999999">
      <c r="A263" s="1271"/>
      <c r="B263" s="1920"/>
      <c r="C263" s="1920"/>
      <c r="D263" s="635"/>
      <c r="K263" s="1444"/>
      <c r="L263" s="1920"/>
      <c r="M263" s="1920"/>
      <c r="N263" s="1444"/>
      <c r="O263" s="1444"/>
      <c r="P263" s="1444"/>
      <c r="Q263" s="1444"/>
      <c r="R263" s="1920"/>
      <c r="S263" s="1444"/>
      <c r="T263" s="1444"/>
      <c r="U263" s="828"/>
      <c r="V263" s="1444"/>
      <c r="W263" s="1444"/>
      <c r="X263" s="1444"/>
      <c r="Y263" s="1444"/>
      <c r="Z263" s="1444"/>
      <c r="AA263" s="1916"/>
      <c r="AB263" s="850"/>
      <c r="AC263" s="850"/>
      <c r="AD263" s="850"/>
      <c r="AE263" s="850"/>
      <c r="AF263" s="1925">
        <v>11</v>
      </c>
    </row>
    <row s="31261" customFormat="1" customHeight="1" ht="11.549999999999999">
      <c r="A264" s="1271"/>
      <c r="B264" s="1920"/>
      <c r="C264" s="1920"/>
      <c r="D264" s="635"/>
      <c r="K264" s="1444"/>
      <c r="L264" s="1920"/>
      <c r="M264" s="1920"/>
      <c r="N264" s="1444"/>
      <c r="O264" s="1444"/>
      <c r="P264" s="1444"/>
      <c r="Q264" s="1444"/>
      <c r="R264" s="1920"/>
      <c r="S264" s="1444"/>
      <c r="T264" s="1444"/>
      <c r="U264" s="828"/>
      <c r="V264" s="1444"/>
      <c r="W264" s="1444"/>
      <c r="X264" s="1444"/>
      <c r="Y264" s="1444"/>
      <c r="Z264" s="1444"/>
      <c r="AA264" s="1916"/>
      <c r="AB264" s="850"/>
      <c r="AC264" s="850"/>
      <c r="AD264" s="850"/>
      <c r="AE264" s="850"/>
      <c r="AF264" s="1925">
        <v>11</v>
      </c>
    </row>
    <row s="31261" customFormat="1" customHeight="1" ht="11.549999999999999">
      <c r="A265" s="1271"/>
      <c r="B265" s="1920"/>
      <c r="C265" s="1920"/>
      <c r="D265" s="635"/>
      <c r="K265" s="1444"/>
      <c r="L265" s="1920"/>
      <c r="M265" s="1920"/>
      <c r="N265" s="1444"/>
      <c r="O265" s="1444"/>
      <c r="P265" s="1444"/>
      <c r="Q265" s="1444"/>
      <c r="R265" s="1920"/>
      <c r="S265" s="1444"/>
      <c r="T265" s="1444"/>
      <c r="U265" s="828"/>
      <c r="V265" s="1444"/>
      <c r="W265" s="1444"/>
      <c r="X265" s="1444"/>
      <c r="Y265" s="1444"/>
      <c r="Z265" s="1444"/>
      <c r="AA265" s="1916"/>
      <c r="AB265" s="850"/>
      <c r="AC265" s="850"/>
      <c r="AD265" s="850"/>
      <c r="AE265" s="850"/>
      <c r="AF265" s="1925">
        <v>11</v>
      </c>
    </row>
    <row s="31261" customFormat="1" customHeight="1" ht="11.549999999999999">
      <c r="A266" s="1271"/>
      <c r="B266" s="1920"/>
      <c r="C266" s="1920"/>
      <c r="D266" s="635"/>
      <c r="K266" s="1444"/>
      <c r="L266" s="1920"/>
      <c r="M266" s="1920"/>
      <c r="N266" s="1444"/>
      <c r="O266" s="1444"/>
      <c r="P266" s="1444"/>
      <c r="Q266" s="1444"/>
      <c r="R266" s="1920"/>
      <c r="S266" s="1444"/>
      <c r="T266" s="1444"/>
      <c r="U266" s="828"/>
      <c r="V266" s="1444"/>
      <c r="W266" s="1444"/>
      <c r="X266" s="1444"/>
      <c r="Y266" s="1444"/>
      <c r="Z266" s="1444"/>
      <c r="AA266" s="1916"/>
      <c r="AB266" s="850"/>
      <c r="AC266" s="850"/>
      <c r="AD266" s="850"/>
      <c r="AE266" s="850"/>
      <c r="AF266" s="1925">
        <v>11</v>
      </c>
    </row>
    <row s="31261" customFormat="1" customHeight="1" ht="11.549999999999999">
      <c r="A267" s="1271"/>
      <c r="B267" s="1920"/>
      <c r="C267" s="1920"/>
      <c r="D267" s="635"/>
      <c r="K267" s="1444"/>
      <c r="L267" s="1920"/>
      <c r="M267" s="1920"/>
      <c r="N267" s="1444"/>
      <c r="O267" s="1444"/>
      <c r="P267" s="1444"/>
      <c r="Q267" s="1444"/>
      <c r="R267" s="1920"/>
      <c r="S267" s="1444"/>
      <c r="T267" s="1444"/>
      <c r="U267" s="828"/>
      <c r="V267" s="1444"/>
      <c r="W267" s="1444"/>
      <c r="X267" s="1444"/>
      <c r="Y267" s="1444"/>
      <c r="Z267" s="1444"/>
      <c r="AA267" s="1916"/>
      <c r="AB267" s="850"/>
      <c r="AC267" s="850"/>
      <c r="AD267" s="850"/>
      <c r="AE267" s="850"/>
      <c r="AF267" s="1925">
        <v>11</v>
      </c>
    </row>
    <row s="31261" customFormat="1" customHeight="1" ht="11.549999999999999">
      <c r="A268" s="1271"/>
      <c r="B268" s="1920"/>
      <c r="C268" s="1920"/>
      <c r="D268" s="635"/>
      <c r="K268" s="1444"/>
      <c r="L268" s="1920"/>
      <c r="M268" s="1920"/>
      <c r="N268" s="1444"/>
      <c r="O268" s="1444"/>
      <c r="P268" s="1444"/>
      <c r="Q268" s="1444"/>
      <c r="R268" s="1920"/>
      <c r="S268" s="1444"/>
      <c r="T268" s="1444"/>
      <c r="U268" s="828"/>
      <c r="V268" s="1444"/>
      <c r="W268" s="1444"/>
      <c r="X268" s="1444"/>
      <c r="Y268" s="1444"/>
      <c r="Z268" s="1444"/>
      <c r="AA268" s="1916"/>
      <c r="AB268" s="850"/>
      <c r="AC268" s="850"/>
      <c r="AD268" s="850"/>
      <c r="AE268" s="850"/>
      <c r="AF268" s="1925">
        <v>11</v>
      </c>
    </row>
    <row s="31261" customFormat="1" customHeight="1" ht="11.549999999999999">
      <c r="A269" s="1271"/>
      <c r="B269" s="1920"/>
      <c r="C269" s="1920"/>
      <c r="D269" s="635"/>
      <c r="K269" s="1444"/>
      <c r="L269" s="1920"/>
      <c r="M269" s="1920"/>
      <c r="N269" s="1444"/>
      <c r="O269" s="1444"/>
      <c r="P269" s="1444"/>
      <c r="Q269" s="1444"/>
      <c r="R269" s="1920"/>
      <c r="S269" s="1444"/>
      <c r="T269" s="1444"/>
      <c r="U269" s="828"/>
      <c r="V269" s="1444"/>
      <c r="W269" s="1444"/>
      <c r="X269" s="1444"/>
      <c r="Y269" s="1444"/>
      <c r="Z269" s="1444"/>
      <c r="AA269" s="1916"/>
      <c r="AB269" s="850"/>
      <c r="AC269" s="850"/>
      <c r="AD269" s="850"/>
      <c r="AE269" s="850"/>
      <c r="AF269" s="1925">
        <v>11</v>
      </c>
    </row>
    <row s="31261" customFormat="1" customHeight="1" ht="11.549999999999999">
      <c r="A270" s="1271"/>
      <c r="B270" s="1920"/>
      <c r="C270" s="1920"/>
      <c r="D270" s="635"/>
      <c r="K270" s="1444"/>
      <c r="L270" s="1920"/>
      <c r="M270" s="1920"/>
      <c r="N270" s="1444"/>
      <c r="O270" s="1444"/>
      <c r="P270" s="1444"/>
      <c r="Q270" s="1444"/>
      <c r="R270" s="1920"/>
      <c r="S270" s="1444"/>
      <c r="T270" s="1444"/>
      <c r="U270" s="828"/>
      <c r="V270" s="1444"/>
      <c r="W270" s="1444"/>
      <c r="X270" s="1444"/>
      <c r="Y270" s="1444"/>
      <c r="Z270" s="1444"/>
      <c r="AA270" s="1916"/>
      <c r="AB270" s="850"/>
      <c r="AC270" s="850"/>
      <c r="AD270" s="850"/>
      <c r="AE270" s="850"/>
      <c r="AF270" s="1925">
        <v>11</v>
      </c>
    </row>
    <row s="31261" customFormat="1" customHeight="1" ht="11.549999999999999">
      <c r="A271" s="1271"/>
      <c r="B271" s="1920"/>
      <c r="C271" s="1920"/>
      <c r="D271" s="635"/>
      <c r="K271" s="1444"/>
      <c r="L271" s="1920"/>
      <c r="M271" s="1920"/>
      <c r="N271" s="1444"/>
      <c r="O271" s="1444"/>
      <c r="P271" s="1444"/>
      <c r="Q271" s="1444"/>
      <c r="R271" s="1920"/>
      <c r="S271" s="1444"/>
      <c r="T271" s="1444"/>
      <c r="U271" s="828"/>
      <c r="V271" s="1444"/>
      <c r="W271" s="1444"/>
      <c r="X271" s="1444"/>
      <c r="Y271" s="1444"/>
      <c r="Z271" s="1444"/>
      <c r="AA271" s="1916"/>
      <c r="AB271" s="850"/>
      <c r="AC271" s="850"/>
      <c r="AD271" s="850"/>
      <c r="AE271" s="850"/>
      <c r="AF271" s="1925">
        <v>11</v>
      </c>
    </row>
    <row s="31261" customFormat="1" customHeight="1" ht="11.549999999999999">
      <c r="A272" s="1271"/>
      <c r="B272" s="1920"/>
      <c r="C272" s="1920"/>
      <c r="D272" s="635"/>
      <c r="K272" s="1444"/>
      <c r="L272" s="1920"/>
      <c r="M272" s="1920"/>
      <c r="N272" s="1444"/>
      <c r="O272" s="1444"/>
      <c r="P272" s="1444"/>
      <c r="Q272" s="1444"/>
      <c r="R272" s="1920"/>
      <c r="S272" s="1444"/>
      <c r="T272" s="1444"/>
      <c r="U272" s="828"/>
      <c r="V272" s="1444"/>
      <c r="W272" s="1444"/>
      <c r="X272" s="1444"/>
      <c r="Y272" s="1444"/>
      <c r="Z272" s="1444"/>
      <c r="AA272" s="1916"/>
      <c r="AB272" s="850"/>
      <c r="AC272" s="850"/>
      <c r="AD272" s="850"/>
      <c r="AE272" s="850"/>
      <c r="AF272" s="1925">
        <v>11</v>
      </c>
    </row>
    <row s="31261" customFormat="1" customHeight="1" ht="11.549999999999999">
      <c r="A273" s="1271"/>
      <c r="B273" s="1920"/>
      <c r="C273" s="1920"/>
      <c r="D273" s="635"/>
      <c r="K273" s="1444"/>
      <c r="L273" s="1920"/>
      <c r="M273" s="1920"/>
      <c r="N273" s="1444"/>
      <c r="O273" s="1444"/>
      <c r="P273" s="1444"/>
      <c r="Q273" s="1444"/>
      <c r="R273" s="1920"/>
      <c r="S273" s="1444"/>
      <c r="T273" s="1444"/>
      <c r="U273" s="828"/>
      <c r="V273" s="1444"/>
      <c r="W273" s="1444"/>
      <c r="X273" s="1444"/>
      <c r="Y273" s="1444"/>
      <c r="Z273" s="1444"/>
      <c r="AA273" s="1916"/>
      <c r="AB273" s="850"/>
      <c r="AC273" s="850"/>
      <c r="AD273" s="850"/>
      <c r="AE273" s="850"/>
      <c r="AF273" s="1925">
        <v>11</v>
      </c>
    </row>
    <row s="31261" customFormat="1" customHeight="1" ht="11.549999999999999">
      <c r="A274" s="1271"/>
      <c r="B274" s="1920"/>
      <c r="C274" s="1920"/>
      <c r="D274" s="635"/>
      <c r="K274" s="1444"/>
      <c r="L274" s="1920"/>
      <c r="M274" s="1920"/>
      <c r="N274" s="1444"/>
      <c r="O274" s="1444"/>
      <c r="P274" s="1444"/>
      <c r="Q274" s="1444"/>
      <c r="R274" s="1920"/>
      <c r="S274" s="1444"/>
      <c r="T274" s="1444"/>
      <c r="U274" s="828"/>
      <c r="V274" s="1444"/>
      <c r="W274" s="1444"/>
      <c r="X274" s="1444"/>
      <c r="Y274" s="1444"/>
      <c r="Z274" s="1444"/>
      <c r="AA274" s="1916"/>
      <c r="AB274" s="850"/>
      <c r="AC274" s="850"/>
      <c r="AD274" s="850"/>
      <c r="AE274" s="850"/>
      <c r="AF274" s="1925">
        <v>11</v>
      </c>
    </row>
    <row s="31261" customFormat="1" customHeight="1" ht="11.549999999999999">
      <c r="A275" s="1271"/>
      <c r="B275" s="1920"/>
      <c r="C275" s="1920"/>
      <c r="D275" s="635"/>
      <c r="K275" s="1444"/>
      <c r="L275" s="1920"/>
      <c r="M275" s="1920"/>
      <c r="N275" s="1444"/>
      <c r="O275" s="1444"/>
      <c r="P275" s="1444"/>
      <c r="Q275" s="1444"/>
      <c r="R275" s="1920"/>
      <c r="S275" s="1444"/>
      <c r="T275" s="1444"/>
      <c r="U275" s="828"/>
      <c r="V275" s="1444"/>
      <c r="W275" s="1444"/>
      <c r="X275" s="1444"/>
      <c r="Y275" s="1444"/>
      <c r="Z275" s="1444"/>
      <c r="AA275" s="1916"/>
      <c r="AB275" s="850"/>
      <c r="AC275" s="850"/>
      <c r="AD275" s="850"/>
      <c r="AE275" s="850"/>
      <c r="AF275" s="1925">
        <v>11</v>
      </c>
    </row>
    <row s="31261" customFormat="1" customHeight="1" ht="11.549999999999999">
      <c r="A276" s="1271"/>
      <c r="B276" s="1920"/>
      <c r="C276" s="1920"/>
      <c r="D276" s="635"/>
      <c r="K276" s="1444"/>
      <c r="L276" s="1920"/>
      <c r="M276" s="1920"/>
      <c r="N276" s="1444"/>
      <c r="O276" s="1444"/>
      <c r="P276" s="1444"/>
      <c r="Q276" s="1444"/>
      <c r="R276" s="1920"/>
      <c r="S276" s="1444"/>
      <c r="T276" s="1444"/>
      <c r="U276" s="828"/>
      <c r="V276" s="1444"/>
      <c r="W276" s="1444"/>
      <c r="X276" s="1444"/>
      <c r="Y276" s="1444"/>
      <c r="Z276" s="1444"/>
      <c r="AA276" s="1916"/>
      <c r="AB276" s="850"/>
      <c r="AC276" s="850"/>
      <c r="AD276" s="850"/>
      <c r="AE276" s="850"/>
      <c r="AF276" s="1925">
        <v>11</v>
      </c>
    </row>
    <row s="31261" customFormat="1" customHeight="1" ht="11.549999999999999">
      <c r="A277" s="1271"/>
      <c r="B277" s="1920"/>
      <c r="C277" s="1920"/>
      <c r="D277" s="635"/>
      <c r="K277" s="1444"/>
      <c r="L277" s="1920"/>
      <c r="M277" s="1920"/>
      <c r="N277" s="1444"/>
      <c r="O277" s="1444"/>
      <c r="P277" s="1444"/>
      <c r="Q277" s="1444"/>
      <c r="R277" s="1920"/>
      <c r="S277" s="1444"/>
      <c r="T277" s="1444"/>
      <c r="U277" s="828"/>
      <c r="V277" s="1444"/>
      <c r="W277" s="1444"/>
      <c r="X277" s="1444"/>
      <c r="Y277" s="1444"/>
      <c r="Z277" s="1444"/>
      <c r="AA277" s="1916"/>
      <c r="AB277" s="850"/>
      <c r="AC277" s="850"/>
      <c r="AD277" s="850"/>
      <c r="AE277" s="850"/>
      <c r="AF277" s="1925">
        <v>11</v>
      </c>
    </row>
    <row s="31261" customFormat="1" customHeight="1" ht="11.549999999999999">
      <c r="A278" s="1271"/>
      <c r="B278" s="1920"/>
      <c r="C278" s="1920"/>
      <c r="D278" s="635"/>
      <c r="K278" s="1444"/>
      <c r="L278" s="1920"/>
      <c r="M278" s="1920"/>
      <c r="N278" s="1444"/>
      <c r="O278" s="1444"/>
      <c r="P278" s="1444"/>
      <c r="Q278" s="1444"/>
      <c r="R278" s="1920"/>
      <c r="S278" s="1444"/>
      <c r="T278" s="1444"/>
      <c r="U278" s="828"/>
      <c r="V278" s="1444"/>
      <c r="W278" s="1444"/>
      <c r="X278" s="1444"/>
      <c r="Y278" s="1444"/>
      <c r="Z278" s="1444"/>
      <c r="AA278" s="1916"/>
      <c r="AB278" s="850"/>
      <c r="AC278" s="850"/>
      <c r="AD278" s="850"/>
      <c r="AE278" s="850"/>
      <c r="AF278" s="1925">
        <v>11</v>
      </c>
    </row>
    <row s="31261" customFormat="1" customHeight="1" ht="11.549999999999999">
      <c r="A279" s="1271"/>
      <c r="B279" s="1920"/>
      <c r="C279" s="1920"/>
      <c r="D279" s="635"/>
      <c r="K279" s="1444"/>
      <c r="L279" s="1920"/>
      <c r="M279" s="1920"/>
      <c r="N279" s="1444"/>
      <c r="O279" s="1444"/>
      <c r="P279" s="1444"/>
      <c r="Q279" s="1444"/>
      <c r="R279" s="1920"/>
      <c r="S279" s="1444"/>
      <c r="T279" s="1444"/>
      <c r="U279" s="828"/>
      <c r="V279" s="1444"/>
      <c r="W279" s="1444"/>
      <c r="X279" s="1444"/>
      <c r="Y279" s="1444"/>
      <c r="Z279" s="1444"/>
      <c r="AA279" s="1916"/>
      <c r="AB279" s="850"/>
      <c r="AC279" s="850"/>
      <c r="AD279" s="850"/>
      <c r="AE279" s="850"/>
      <c r="AF279" s="1925">
        <v>11</v>
      </c>
    </row>
    <row s="31261" customFormat="1" customHeight="1" ht="11.549999999999999">
      <c r="A280" s="1271"/>
      <c r="B280" s="1920"/>
      <c r="C280" s="1920"/>
      <c r="D280" s="635"/>
      <c r="K280" s="1444"/>
      <c r="L280" s="1920"/>
      <c r="M280" s="1920"/>
      <c r="N280" s="1444"/>
      <c r="O280" s="1444"/>
      <c r="P280" s="1444"/>
      <c r="Q280" s="1444"/>
      <c r="R280" s="1920"/>
      <c r="S280" s="1444"/>
      <c r="T280" s="1444"/>
      <c r="U280" s="828"/>
      <c r="V280" s="1444"/>
      <c r="W280" s="1444"/>
      <c r="X280" s="1444"/>
      <c r="Y280" s="1444"/>
      <c r="Z280" s="1444"/>
      <c r="AA280" s="1916"/>
      <c r="AB280" s="850"/>
      <c r="AC280" s="850"/>
      <c r="AD280" s="850"/>
      <c r="AE280" s="850"/>
      <c r="AF280" s="1925">
        <v>11</v>
      </c>
    </row>
    <row s="31261" customFormat="1" customHeight="1" ht="11.549999999999999">
      <c r="A281" s="1271"/>
      <c r="B281" s="1920"/>
      <c r="C281" s="1920"/>
      <c r="D281" s="635"/>
      <c r="K281" s="1444"/>
      <c r="L281" s="1920"/>
      <c r="M281" s="1920"/>
      <c r="N281" s="1444"/>
      <c r="O281" s="1444"/>
      <c r="P281" s="1444"/>
      <c r="Q281" s="1444"/>
      <c r="R281" s="1920"/>
      <c r="S281" s="1444"/>
      <c r="T281" s="1444"/>
      <c r="U281" s="828"/>
      <c r="V281" s="1444"/>
      <c r="W281" s="1444"/>
      <c r="X281" s="1444"/>
      <c r="Y281" s="1444"/>
      <c r="Z281" s="1444"/>
      <c r="AA281" s="1916"/>
      <c r="AB281" s="850"/>
      <c r="AC281" s="850"/>
      <c r="AD281" s="850"/>
      <c r="AE281" s="850"/>
      <c r="AF281" s="1925">
        <v>11</v>
      </c>
    </row>
    <row s="31261" customFormat="1" customHeight="1" ht="11.549999999999999">
      <c r="A282" s="1271"/>
      <c r="B282" s="1920"/>
      <c r="C282" s="1920"/>
      <c r="D282" s="635"/>
      <c r="K282" s="1444"/>
      <c r="L282" s="1920"/>
      <c r="M282" s="1920"/>
      <c r="N282" s="1444"/>
      <c r="O282" s="1444"/>
      <c r="P282" s="1444"/>
      <c r="Q282" s="1444"/>
      <c r="R282" s="1920"/>
      <c r="S282" s="1444"/>
      <c r="T282" s="1444"/>
      <c r="U282" s="828"/>
      <c r="V282" s="1444"/>
      <c r="W282" s="1444"/>
      <c r="X282" s="1444"/>
      <c r="Y282" s="1444"/>
      <c r="Z282" s="1444"/>
      <c r="AA282" s="1916"/>
      <c r="AB282" s="850"/>
      <c r="AC282" s="850"/>
      <c r="AD282" s="850"/>
      <c r="AE282" s="850"/>
      <c r="AF282" s="1925">
        <v>11</v>
      </c>
    </row>
    <row s="31261" customFormat="1" customHeight="1" ht="11.549999999999999">
      <c r="A283" s="1271"/>
      <c r="B283" s="1920"/>
      <c r="C283" s="1920"/>
      <c r="D283" s="635"/>
      <c r="K283" s="1444"/>
      <c r="L283" s="1920"/>
      <c r="M283" s="1920"/>
      <c r="N283" s="1444"/>
      <c r="O283" s="1444"/>
      <c r="P283" s="1444"/>
      <c r="Q283" s="1444"/>
      <c r="R283" s="1920"/>
      <c r="S283" s="1444"/>
      <c r="T283" s="1444"/>
      <c r="U283" s="828"/>
      <c r="V283" s="1444"/>
      <c r="W283" s="1444"/>
      <c r="X283" s="1444"/>
      <c r="Y283" s="1444"/>
      <c r="Z283" s="1444"/>
      <c r="AA283" s="1916"/>
      <c r="AB283" s="850"/>
      <c r="AC283" s="850"/>
      <c r="AD283" s="850"/>
      <c r="AE283" s="850"/>
      <c r="AF283" s="1925">
        <v>11</v>
      </c>
    </row>
    <row s="31261" customFormat="1" customHeight="1" ht="11.549999999999999">
      <c r="A284" s="1271"/>
      <c r="B284" s="1920"/>
      <c r="C284" s="1920"/>
      <c r="D284" s="635"/>
      <c r="K284" s="1444"/>
      <c r="L284" s="1920"/>
      <c r="M284" s="1920"/>
      <c r="N284" s="1444"/>
      <c r="O284" s="1444"/>
      <c r="P284" s="1444"/>
      <c r="Q284" s="1444"/>
      <c r="R284" s="1920"/>
      <c r="S284" s="1444"/>
      <c r="T284" s="1444"/>
      <c r="U284" s="828"/>
      <c r="V284" s="1444"/>
      <c r="W284" s="1444"/>
      <c r="X284" s="1444"/>
      <c r="Y284" s="1444"/>
      <c r="Z284" s="1444"/>
      <c r="AA284" s="1916"/>
      <c r="AB284" s="850"/>
      <c r="AC284" s="850"/>
      <c r="AD284" s="850"/>
      <c r="AE284" s="850"/>
      <c r="AF284" s="1925">
        <v>11</v>
      </c>
    </row>
    <row s="31261" customFormat="1" customHeight="1" ht="11.549999999999999">
      <c r="A285" s="1271"/>
      <c r="B285" s="1920"/>
      <c r="C285" s="1920"/>
      <c r="D285" s="635"/>
      <c r="K285" s="1444"/>
      <c r="L285" s="1920"/>
      <c r="M285" s="1920"/>
      <c r="N285" s="1444"/>
      <c r="O285" s="1444"/>
      <c r="P285" s="1444"/>
      <c r="Q285" s="1444"/>
      <c r="R285" s="1920"/>
      <c r="S285" s="1444"/>
      <c r="T285" s="1444"/>
      <c r="U285" s="828"/>
      <c r="V285" s="1444"/>
      <c r="W285" s="1444"/>
      <c r="X285" s="1444"/>
      <c r="Y285" s="1444"/>
      <c r="Z285" s="1444"/>
      <c r="AA285" s="1916"/>
      <c r="AB285" s="850"/>
      <c r="AC285" s="850"/>
      <c r="AD285" s="850"/>
      <c r="AE285" s="850"/>
      <c r="AF285" s="1925">
        <v>11</v>
      </c>
    </row>
    <row s="31261" customFormat="1" customHeight="1" ht="11.549999999999999">
      <c r="A286" s="1271"/>
      <c r="B286" s="1920"/>
      <c r="C286" s="1920"/>
      <c r="D286" s="635"/>
      <c r="K286" s="1444"/>
      <c r="L286" s="1920"/>
      <c r="M286" s="1920"/>
      <c r="N286" s="1444"/>
      <c r="O286" s="1444"/>
      <c r="P286" s="1444"/>
      <c r="Q286" s="1444"/>
      <c r="R286" s="1920"/>
      <c r="S286" s="1444"/>
      <c r="T286" s="1444"/>
      <c r="U286" s="828"/>
      <c r="V286" s="1444"/>
      <c r="W286" s="1444"/>
      <c r="X286" s="1444"/>
      <c r="Y286" s="1444"/>
      <c r="Z286" s="1444"/>
      <c r="AA286" s="1916"/>
      <c r="AB286" s="850"/>
      <c r="AC286" s="850"/>
      <c r="AD286" s="850"/>
      <c r="AE286" s="850"/>
      <c r="AF286" s="1925">
        <v>11</v>
      </c>
    </row>
    <row s="31261" customFormat="1" customHeight="1" ht="11.549999999999999">
      <c r="A287" s="1271"/>
      <c r="B287" s="1920"/>
      <c r="C287" s="1920"/>
      <c r="D287" s="635"/>
      <c r="K287" s="1444"/>
      <c r="L287" s="1920"/>
      <c r="M287" s="1920"/>
      <c r="N287" s="1444"/>
      <c r="O287" s="1444"/>
      <c r="P287" s="1444"/>
      <c r="Q287" s="1444"/>
      <c r="R287" s="1920"/>
      <c r="S287" s="1444"/>
      <c r="T287" s="1444"/>
      <c r="U287" s="828"/>
      <c r="V287" s="1444"/>
      <c r="W287" s="1444"/>
      <c r="X287" s="1444"/>
      <c r="Y287" s="1444"/>
      <c r="Z287" s="1444"/>
      <c r="AA287" s="1916"/>
      <c r="AB287" s="850"/>
      <c r="AC287" s="850"/>
      <c r="AD287" s="850"/>
      <c r="AE287" s="850"/>
      <c r="AF287" s="1925">
        <v>11</v>
      </c>
    </row>
    <row s="31261" customFormat="1" customHeight="1" ht="11.549999999999999">
      <c r="A288" s="1271"/>
      <c r="B288" s="1920"/>
      <c r="C288" s="1920"/>
      <c r="D288" s="635"/>
      <c r="K288" s="1444"/>
      <c r="L288" s="1920"/>
      <c r="M288" s="1920"/>
      <c r="N288" s="1444"/>
      <c r="O288" s="1444"/>
      <c r="P288" s="1444"/>
      <c r="Q288" s="1444"/>
      <c r="R288" s="1920"/>
      <c r="S288" s="1444"/>
      <c r="T288" s="1444"/>
      <c r="U288" s="828"/>
      <c r="V288" s="1444"/>
      <c r="W288" s="1444"/>
      <c r="X288" s="1444"/>
      <c r="Y288" s="1444"/>
      <c r="Z288" s="1444"/>
      <c r="AA288" s="1916"/>
      <c r="AB288" s="850"/>
      <c r="AC288" s="850"/>
      <c r="AD288" s="850"/>
      <c r="AE288" s="850"/>
      <c r="AF288" s="1925">
        <v>11</v>
      </c>
    </row>
    <row customHeight="1" ht="11.549999999999999">
      <c r="AF289" s="1915">
        <v>11</v>
      </c>
    </row>
    <row customHeight="1" ht="11.549999999999999">
      <c r="AF290" s="1915">
        <v>11</v>
      </c>
    </row>
    <row customHeight="1" ht="11.549999999999999">
      <c r="AF291" s="1915">
        <v>11</v>
      </c>
    </row>
    <row customHeight="1" ht="11.549999999999999">
      <c r="A292" s="1274"/>
      <c r="B292" s="1915"/>
      <c r="D292" s="1915"/>
      <c r="K292" s="1915"/>
      <c r="N292" s="1915"/>
      <c r="O292" s="1915"/>
      <c r="P292" s="1915"/>
      <c r="Q292" s="1915"/>
      <c r="S292" s="1915"/>
      <c r="T292" s="1915"/>
      <c r="U292" s="1915"/>
      <c r="V292" s="1915"/>
      <c r="W292" s="1915"/>
      <c r="X292" s="1915"/>
      <c r="Y292" s="1915"/>
      <c r="Z292" s="1915"/>
      <c r="AA292" s="1915"/>
      <c r="AB292" s="1915"/>
      <c r="AC292" s="1915"/>
      <c r="AD292" s="1915"/>
      <c r="AE292" s="1915"/>
      <c r="AF292" s="1915">
        <v>11</v>
      </c>
    </row>
    <row customHeight="1" ht="11.549999999999999">
      <c r="A293" s="1274"/>
      <c r="B293" s="1915"/>
      <c r="D293" s="1915"/>
      <c r="K293" s="1915"/>
      <c r="N293" s="1915"/>
      <c r="O293" s="1915"/>
      <c r="P293" s="1915"/>
      <c r="Q293" s="1915"/>
      <c r="S293" s="1915"/>
      <c r="T293" s="1915"/>
      <c r="U293" s="1915"/>
      <c r="V293" s="1915"/>
      <c r="W293" s="1915"/>
      <c r="X293" s="1915"/>
      <c r="Y293" s="1915"/>
      <c r="Z293" s="1915"/>
      <c r="AA293" s="1915"/>
      <c r="AB293" s="1915"/>
      <c r="AC293" s="1915"/>
      <c r="AD293" s="1915"/>
      <c r="AE293" s="1915"/>
      <c r="AF293" s="1915">
        <v>11</v>
      </c>
    </row>
    <row customHeight="1" ht="11.549999999999999">
      <c r="A294" s="1274"/>
      <c r="B294" s="1915"/>
      <c r="D294" s="1915"/>
      <c r="K294" s="1915"/>
      <c r="N294" s="1915"/>
      <c r="O294" s="1915"/>
      <c r="P294" s="1915"/>
      <c r="Q294" s="1915"/>
      <c r="S294" s="1915"/>
      <c r="T294" s="1915"/>
      <c r="U294" s="1915"/>
      <c r="V294" s="1915"/>
      <c r="W294" s="1915"/>
      <c r="X294" s="1915"/>
      <c r="Y294" s="1915"/>
      <c r="Z294" s="1915"/>
      <c r="AA294" s="1915"/>
      <c r="AB294" s="1915"/>
      <c r="AC294" s="1915"/>
      <c r="AD294" s="1915"/>
      <c r="AE294" s="1915"/>
      <c r="AF294" s="1915">
        <v>11</v>
      </c>
    </row>
    <row customHeight="1" ht="11.549999999999999">
      <c r="A295" s="1274"/>
      <c r="B295" s="1915"/>
      <c r="D295" s="1915"/>
      <c r="K295" s="1915"/>
      <c r="N295" s="1915"/>
      <c r="O295" s="1915"/>
      <c r="P295" s="1915"/>
      <c r="Q295" s="1915"/>
      <c r="S295" s="1915"/>
      <c r="T295" s="1915"/>
      <c r="U295" s="1915"/>
      <c r="V295" s="1915"/>
      <c r="W295" s="1915"/>
      <c r="X295" s="1915"/>
      <c r="Y295" s="1915"/>
      <c r="Z295" s="1915"/>
      <c r="AA295" s="1915"/>
      <c r="AB295" s="1915"/>
      <c r="AC295" s="1915"/>
      <c r="AD295" s="1915"/>
      <c r="AE295" s="1915"/>
      <c r="AF295" s="1915">
        <v>11</v>
      </c>
    </row>
    <row customHeight="1" ht="11.549999999999999">
      <c r="A296" s="1274"/>
      <c r="B296" s="1915"/>
      <c r="D296" s="1915"/>
      <c r="K296" s="1915"/>
      <c r="N296" s="1915"/>
      <c r="O296" s="1915"/>
      <c r="P296" s="1915"/>
      <c r="Q296" s="1915"/>
      <c r="S296" s="1915"/>
      <c r="T296" s="1915"/>
      <c r="U296" s="1915"/>
      <c r="V296" s="1915"/>
      <c r="W296" s="1915"/>
      <c r="X296" s="1915"/>
      <c r="Y296" s="1915"/>
      <c r="Z296" s="1915"/>
      <c r="AA296" s="1915"/>
      <c r="AB296" s="1915"/>
      <c r="AC296" s="1915"/>
      <c r="AD296" s="1915"/>
      <c r="AE296" s="1915"/>
      <c r="AF296" s="1915">
        <v>11</v>
      </c>
    </row>
    <row customHeight="1" ht="11.549999999999999">
      <c r="A297" s="1274"/>
      <c r="B297" s="1915"/>
      <c r="D297" s="1915"/>
      <c r="K297" s="1915"/>
      <c r="N297" s="1915"/>
      <c r="O297" s="1915"/>
      <c r="P297" s="1915"/>
      <c r="Q297" s="1915"/>
      <c r="S297" s="1915"/>
      <c r="T297" s="1915"/>
      <c r="U297" s="1915"/>
      <c r="V297" s="1915"/>
      <c r="W297" s="1915"/>
      <c r="X297" s="1915"/>
      <c r="Y297" s="1915"/>
      <c r="Z297" s="1915"/>
      <c r="AA297" s="1915"/>
      <c r="AB297" s="1915"/>
      <c r="AC297" s="1915"/>
      <c r="AD297" s="1915"/>
      <c r="AE297" s="1915"/>
      <c r="AF297" s="1915">
        <v>11</v>
      </c>
    </row>
    <row customHeight="1" ht="11.549999999999999">
      <c r="A298" s="1274"/>
      <c r="B298" s="1915"/>
      <c r="D298" s="1915"/>
      <c r="K298" s="1915"/>
      <c r="N298" s="1915"/>
      <c r="O298" s="1915"/>
      <c r="P298" s="1915"/>
      <c r="Q298" s="1915"/>
      <c r="S298" s="1915"/>
      <c r="T298" s="1915"/>
      <c r="U298" s="1915"/>
      <c r="V298" s="1915"/>
      <c r="W298" s="1915"/>
      <c r="X298" s="1915"/>
      <c r="Y298" s="1915"/>
      <c r="Z298" s="1915"/>
      <c r="AA298" s="1915"/>
      <c r="AB298" s="1915"/>
      <c r="AC298" s="1915"/>
      <c r="AD298" s="1915"/>
      <c r="AE298" s="1915"/>
      <c r="AF298" s="1915">
        <v>11</v>
      </c>
    </row>
    <row customHeight="1" ht="11.549999999999999">
      <c r="A299" s="1274"/>
      <c r="B299" s="1915"/>
      <c r="D299" s="1915"/>
      <c r="K299" s="1915"/>
      <c r="N299" s="1915"/>
      <c r="O299" s="1915"/>
      <c r="P299" s="1915"/>
      <c r="Q299" s="1915"/>
      <c r="S299" s="1915"/>
      <c r="T299" s="1915"/>
      <c r="U299" s="1915"/>
      <c r="V299" s="1915"/>
      <c r="W299" s="1915"/>
      <c r="X299" s="1915"/>
      <c r="Y299" s="1915"/>
      <c r="Z299" s="1915"/>
      <c r="AA299" s="1915"/>
      <c r="AB299" s="1915"/>
      <c r="AC299" s="1915"/>
      <c r="AD299" s="1915"/>
      <c r="AE299" s="1915"/>
      <c r="AF299" s="1915">
        <v>11</v>
      </c>
    </row>
    <row customHeight="1" ht="11.549999999999999">
      <c r="A300" s="1274"/>
      <c r="B300" s="1915"/>
      <c r="D300" s="1915"/>
      <c r="K300" s="1915"/>
      <c r="N300" s="1915"/>
      <c r="O300" s="1915"/>
      <c r="P300" s="1915"/>
      <c r="Q300" s="1915"/>
      <c r="S300" s="1915"/>
      <c r="T300" s="1915"/>
      <c r="U300" s="1915"/>
      <c r="V300" s="1915"/>
      <c r="W300" s="1915"/>
      <c r="X300" s="1915"/>
      <c r="Y300" s="1915"/>
      <c r="Z300" s="1915"/>
      <c r="AA300" s="1915"/>
      <c r="AB300" s="1915"/>
      <c r="AC300" s="1915"/>
      <c r="AD300" s="1915"/>
      <c r="AE300" s="1915"/>
      <c r="AF300" s="1915">
        <v>11</v>
      </c>
    </row>
    <row customHeight="1" ht="11.549999999999999">
      <c r="A301" s="1274"/>
      <c r="B301" s="1915"/>
      <c r="D301" s="1915"/>
      <c r="K301" s="1915"/>
      <c r="N301" s="1915"/>
      <c r="O301" s="1915"/>
      <c r="P301" s="1915"/>
      <c r="Q301" s="1915"/>
      <c r="S301" s="1915"/>
      <c r="T301" s="1915"/>
      <c r="U301" s="1915"/>
      <c r="V301" s="1915"/>
      <c r="W301" s="1915"/>
      <c r="X301" s="1915"/>
      <c r="Y301" s="1915"/>
      <c r="Z301" s="1915"/>
      <c r="AA301" s="1915"/>
      <c r="AB301" s="1915"/>
      <c r="AC301" s="1915"/>
      <c r="AD301" s="1915"/>
      <c r="AE301" s="1915"/>
      <c r="AF301" s="1915">
        <v>11</v>
      </c>
    </row>
    <row customHeight="1" ht="11.549999999999999">
      <c r="A302" s="1274"/>
      <c r="B302" s="1915"/>
      <c r="D302" s="1915"/>
      <c r="K302" s="1915"/>
      <c r="N302" s="1915"/>
      <c r="O302" s="1915"/>
      <c r="P302" s="1915"/>
      <c r="Q302" s="1915"/>
      <c r="S302" s="1915"/>
      <c r="T302" s="1915"/>
      <c r="U302" s="1915"/>
      <c r="V302" s="1915"/>
      <c r="W302" s="1915"/>
      <c r="X302" s="1915"/>
      <c r="Y302" s="1915"/>
      <c r="Z302" s="1915"/>
      <c r="AA302" s="1915"/>
      <c r="AB302" s="1915"/>
      <c r="AC302" s="1915"/>
      <c r="AD302" s="1915"/>
      <c r="AE302" s="1915"/>
      <c r="AF302" s="1915">
        <v>11</v>
      </c>
    </row>
    <row customHeight="1" ht="11.25" hidden="1">
      <c r="A303" s="1271" t="s">
        <v>85</v>
      </c>
      <c r="B303" s="1444">
        <v>0</v>
      </c>
      <c r="C303" s="1920">
        <v>0</v>
      </c>
      <c r="D303" s="1919">
        <v>3</v>
      </c>
      <c r="E303" s="1915">
        <v>7</v>
      </c>
      <c r="F303" s="1915">
        <v>54</v>
      </c>
      <c r="G303" s="1915">
        <v>10</v>
      </c>
      <c r="H303" s="1915">
        <v>0</v>
      </c>
      <c r="I303" s="1915">
        <v>40</v>
      </c>
      <c r="J303" s="1915">
        <v>102</v>
      </c>
      <c r="K303" s="1444">
        <v>9</v>
      </c>
      <c r="L303" s="1920">
        <v>5</v>
      </c>
      <c r="M303" s="1920">
        <v>3</v>
      </c>
      <c r="N303" s="1444">
        <v>3</v>
      </c>
      <c r="O303" s="1444">
        <v>3</v>
      </c>
      <c r="P303" s="1444">
        <v>3</v>
      </c>
      <c r="Q303" s="1444">
        <v>3</v>
      </c>
      <c r="R303" s="1920">
        <v>10</v>
      </c>
      <c r="S303" s="1444">
        <v>34</v>
      </c>
      <c r="T303" s="1444">
        <v>9</v>
      </c>
      <c r="U303" s="828">
        <v>8</v>
      </c>
      <c r="V303" s="1444">
        <v>8</v>
      </c>
      <c r="W303" s="1444">
        <v>8</v>
      </c>
      <c r="X303" s="1444">
        <v>8</v>
      </c>
      <c r="Y303" s="1444">
        <v>8</v>
      </c>
      <c r="Z303" s="1444">
        <v>8</v>
      </c>
      <c r="AA303" s="1916">
        <v>8</v>
      </c>
      <c r="AB303" s="1916">
        <v>8</v>
      </c>
      <c r="AC303" s="1916">
        <v>8</v>
      </c>
      <c r="AD303" s="1916">
        <v>8</v>
      </c>
      <c r="AE303" s="1916">
        <v>8</v>
      </c>
      <c r="AF303" s="1915">
        <v>11</v>
      </c>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DE2943-470A-088C-61E7-0E0803C6CC29}" mc:Ignorable="x14ac xr xr2 xr3">
  <sheetPr>
    <tabColor theme="9" tint="-0.25"/>
  </sheetPr>
  <dimension ref="A1:CF29"/>
  <sheetViews>
    <sheetView topLeftCell="C4" showGridLines="0" zoomScale="90" workbookViewId="0">
      <selection activeCell="A1" sqref="A1"/>
    </sheetView>
  </sheetViews>
  <sheetFormatPr defaultColWidth="9.140625" customHeight="1" defaultRowHeight="11.25"/>
  <cols>
    <col min="1" max="1" style="37600" width="14.7109375" hidden="1" customWidth="1"/>
    <col min="2" max="2" style="30505" width="17.00390625" hidden="1" customWidth="1"/>
    <col min="3" max="3" style="30541" width="3.00390625" customWidth="1"/>
    <col min="4" max="4" style="30541" width="1.8515625" hidden="1" customWidth="1"/>
    <col min="5" max="6" style="30541" width="7.00390625" customWidth="1"/>
    <col min="7" max="7" style="30541" width="29.00390625" customWidth="1"/>
    <col min="8" max="8" style="30541" width="3.7109375" customWidth="1"/>
    <col min="9" max="9" style="30541" width="5.00390625" customWidth="1"/>
    <col min="10" max="11" style="30541" width="24.00390625" customWidth="1"/>
    <col min="12" max="12" style="30541" width="3.00390625" customWidth="1"/>
    <col min="13" max="13" style="30541" width="6.00390625" customWidth="1"/>
    <col min="14" max="14" style="30541" width="25.00390625" customWidth="1"/>
    <col min="15" max="18" style="30541" width="18.00390625" customWidth="1"/>
    <col min="19" max="19" style="30541" width="93.00390625" customWidth="1"/>
    <col min="20" max="20" style="30541" width="10.00390625" customWidth="1"/>
    <col min="21" max="21" style="30621" width="10.00390625" customWidth="1"/>
    <col min="22" max="22" style="30621" width="11.00390625" customWidth="1"/>
    <col min="23" max="27" style="30505" width="10.00390625" customWidth="1"/>
    <col min="28" max="83" style="30541" width="8.00390625" customWidth="1"/>
    <col min="84" max="84" style="30541" width="9.140625" hidden="1"/>
  </cols>
  <sheetData>
    <row customHeight="1" ht="22.5" hidden="1">
      <c r="CF1" s="789" t="s">
        <v>14</v>
      </c>
    </row>
    <row customHeight="1" ht="11.25" hidden="1">
      <c r="CF2" s="789">
        <v>0</v>
      </c>
    </row>
    <row customHeight="1" ht="11.25" hidden="1">
      <c r="CF3" s="789">
        <v>0</v>
      </c>
    </row>
    <row customHeight="1" ht="3">
      <c r="C4" s="793"/>
      <c r="D4" s="793"/>
      <c r="E4" s="793"/>
      <c r="F4" s="793"/>
      <c r="G4" s="793"/>
      <c r="H4" s="793"/>
      <c r="I4" s="793"/>
      <c r="J4" s="793"/>
      <c r="K4" s="450"/>
      <c r="L4" s="450"/>
      <c r="M4" s="450"/>
      <c r="CF4" s="789">
        <v>3</v>
      </c>
    </row>
    <row customHeight="1" ht="29.25">
      <c r="C5" s="793"/>
      <c r="D5" s="1341"/>
      <c r="E5" s="2521" t="str">
        <f>FHD20_NAME_FORM</f>
        <v>Форма 11. Информация о расходах на капитальный и текущий ремонт основных средств</v>
      </c>
      <c r="F5" s="2521"/>
      <c r="G5" s="2521"/>
      <c r="H5" s="2521"/>
      <c r="I5" s="2521"/>
      <c r="J5" s="2521"/>
      <c r="K5" s="2521"/>
      <c r="L5" s="897"/>
      <c r="M5" s="897"/>
      <c r="CF5" s="789">
        <v>28</v>
      </c>
    </row>
    <row s="30541" customFormat="1" customHeight="1" ht="16.8">
      <c r="A6" s="894"/>
      <c r="B6" s="1043"/>
      <c r="C6" s="793"/>
      <c r="D6" s="1342"/>
      <c r="E6" s="2460" t="str">
        <f>IF(org=0,"Не определено",org)</f>
        <v>АО "ДГК"</v>
      </c>
      <c r="F6" s="2460"/>
      <c r="G6" s="2460"/>
      <c r="H6" s="2460"/>
      <c r="I6" s="2460"/>
      <c r="J6" s="2460"/>
      <c r="K6" s="2460"/>
      <c r="L6" s="897"/>
      <c r="M6" s="897"/>
      <c r="U6" s="895"/>
      <c r="V6" s="895"/>
      <c r="W6" s="896"/>
      <c r="X6" s="1043"/>
      <c r="Y6" s="1043"/>
      <c r="Z6" s="1043"/>
      <c r="AA6" s="1043"/>
      <c r="CF6" s="1042">
        <v>16</v>
      </c>
    </row>
    <row customHeight="1" ht="11.549999999999999">
      <c r="C7" s="793"/>
      <c r="D7" s="793"/>
      <c r="E7" s="793"/>
      <c r="F7" s="793"/>
      <c r="G7" s="806"/>
      <c r="H7" s="806"/>
      <c r="I7" s="806"/>
      <c r="J7" s="806"/>
      <c r="K7" s="898"/>
      <c r="L7" s="898"/>
      <c r="M7" s="898"/>
      <c r="R7" s="1036"/>
      <c r="CF7" s="789">
        <v>11</v>
      </c>
    </row>
    <row s="31261" customFormat="1" customHeight="1" ht="4.2">
      <c r="A8" s="905"/>
      <c r="B8" s="850"/>
      <c r="C8" s="635"/>
      <c r="D8" s="635"/>
      <c r="E8" s="635"/>
      <c r="F8" s="635"/>
      <c r="G8" s="1259"/>
      <c r="H8" s="1259"/>
      <c r="I8" s="1259"/>
      <c r="J8" s="1259"/>
      <c r="K8" s="1302"/>
      <c r="L8" s="1302"/>
      <c r="M8" s="1302"/>
      <c r="R8" s="1303"/>
      <c r="U8" s="895"/>
      <c r="V8" s="895"/>
      <c r="W8" s="906"/>
      <c r="X8" s="850"/>
      <c r="Y8" s="850"/>
      <c r="Z8" s="850"/>
      <c r="AA8" s="850"/>
      <c r="CF8" s="780">
        <v>4</v>
      </c>
    </row>
    <row customHeight="1" ht="19.95">
      <c r="D9" s="573"/>
      <c r="E9" s="2385" t="s">
        <v>360</v>
      </c>
      <c r="F9" s="2386"/>
      <c r="G9" s="2386"/>
      <c r="H9" s="2386"/>
      <c r="I9" s="2386"/>
      <c r="J9" s="2386"/>
      <c r="K9" s="2386"/>
      <c r="L9" s="2386"/>
      <c r="M9" s="2386"/>
      <c r="N9" s="2386"/>
      <c r="O9" s="2386"/>
      <c r="P9" s="2386"/>
      <c r="Q9" s="2386"/>
      <c r="R9" s="2387"/>
      <c r="S9" s="2411" t="s">
        <v>361</v>
      </c>
      <c r="T9" s="618"/>
      <c r="CF9" s="789">
        <v>19</v>
      </c>
    </row>
    <row customHeight="1" ht="48.29999999999999">
      <c r="D10" s="835" t="s">
        <v>91</v>
      </c>
      <c r="E10" s="2411" t="s">
        <v>91</v>
      </c>
      <c r="F10" s="2411"/>
      <c r="G10" s="805" t="s">
        <v>362</v>
      </c>
      <c r="H10" s="2411" t="s">
        <v>91</v>
      </c>
      <c r="I10" s="2411"/>
      <c r="J10" s="805" t="s">
        <v>674</v>
      </c>
      <c r="K10" s="805" t="s">
        <v>675</v>
      </c>
      <c r="L10" s="2411" t="s">
        <v>91</v>
      </c>
      <c r="M10" s="2411"/>
      <c r="N10" s="805" t="s">
        <v>676</v>
      </c>
      <c r="O10" s="805" t="s">
        <v>677</v>
      </c>
      <c r="P10" s="805" t="s">
        <v>678</v>
      </c>
      <c r="Q10" s="805" t="s">
        <v>679</v>
      </c>
      <c r="R10" s="805" t="s">
        <v>680</v>
      </c>
      <c r="S10" s="2411"/>
      <c r="T10" s="618"/>
      <c r="CF10" s="789">
        <v>46</v>
      </c>
    </row>
    <row s="30621" customFormat="1" customHeight="1" ht="15" hidden="1">
      <c r="A11" s="1336"/>
      <c r="D11" s="1309" t="s">
        <v>141</v>
      </c>
      <c r="E11" s="1309"/>
      <c r="F11" s="1309" t="s">
        <v>105</v>
      </c>
      <c r="G11" s="1309" t="s">
        <v>93</v>
      </c>
      <c r="H11" s="1309"/>
      <c r="I11" s="1309" t="s">
        <v>94</v>
      </c>
      <c r="J11" s="1309" t="s">
        <v>124</v>
      </c>
      <c r="K11" s="1309" t="s">
        <v>95</v>
      </c>
      <c r="L11" s="1309"/>
      <c r="M11" s="1309" t="s">
        <v>96</v>
      </c>
      <c r="N11" s="1309" t="s">
        <v>142</v>
      </c>
      <c r="O11" s="1309" t="s">
        <v>178</v>
      </c>
      <c r="P11" s="1309" t="s">
        <v>179</v>
      </c>
      <c r="Q11" s="1309" t="s">
        <v>180</v>
      </c>
      <c r="R11" s="1309" t="s">
        <v>181</v>
      </c>
      <c r="S11" s="1309" t="s">
        <v>182</v>
      </c>
      <c r="U11" s="895"/>
      <c r="V11" s="895"/>
      <c r="W11" s="895"/>
      <c r="CF11" s="795">
        <v>0</v>
      </c>
    </row>
    <row s="30541" customFormat="1" customHeight="1" ht="1.05">
      <c r="A12" s="899"/>
      <c r="B12" s="646"/>
      <c r="D12" s="832"/>
      <c r="E12" s="630"/>
      <c r="F12" s="630"/>
      <c r="Q12" s="900"/>
      <c r="R12" s="901"/>
      <c r="T12" s="902"/>
      <c r="U12" s="903"/>
      <c r="V12" s="903"/>
      <c r="W12" s="904"/>
      <c r="X12" s="646"/>
      <c r="Y12" s="646"/>
      <c r="Z12" s="646"/>
      <c r="AA12" s="646"/>
      <c r="CF12" s="793">
        <v>1</v>
      </c>
    </row>
    <row s="31261" customFormat="1" customHeight="1" ht="1.05">
      <c r="A13" s="905"/>
      <c r="B13" s="850"/>
      <c r="D13" s="832" t="s">
        <v>436</v>
      </c>
      <c r="E13" s="844"/>
      <c r="F13" s="844"/>
      <c r="G13" s="844"/>
      <c r="H13" s="844"/>
      <c r="I13" s="844"/>
      <c r="J13" s="844"/>
      <c r="K13" s="844"/>
      <c r="L13" s="844"/>
      <c r="M13" s="844"/>
      <c r="N13" s="844"/>
      <c r="O13" s="844"/>
      <c r="P13" s="844"/>
      <c r="Q13" s="844"/>
      <c r="R13" s="844"/>
      <c r="T13" s="618"/>
      <c r="U13" s="895"/>
      <c r="V13" s="895"/>
      <c r="W13" s="906"/>
      <c r="X13" s="850"/>
      <c r="Y13" s="850"/>
      <c r="Z13" s="850"/>
      <c r="AA13" s="850"/>
      <c r="CF13" s="780">
        <v>1</v>
      </c>
    </row>
    <row s="30681" customFormat="1" customHeight="1" ht="15" hidden="1">
      <c r="A14" s="907" t="s">
        <v>147</v>
      </c>
      <c r="B14" s="908"/>
      <c r="C14" s="908"/>
      <c r="D14" s="2664" t="s">
        <v>141</v>
      </c>
      <c r="E14" s="2661" t="s">
        <v>137</v>
      </c>
      <c r="F14" s="2662"/>
      <c r="G14" s="2663"/>
      <c r="H14" s="2667">
        <f>IF(A14="","",INDEX(DIFFERENTIATION_UNMERGE_VD,MATCH(A14,DIFFERENTIATION_ID_DIFF,0)))</f>
        <v>0</v>
      </c>
      <c r="I14" s="2667"/>
      <c r="J14" s="2667"/>
      <c r="K14" s="2667"/>
      <c r="L14" s="2667"/>
      <c r="M14" s="2667"/>
      <c r="N14" s="2667"/>
      <c r="O14" s="2667"/>
      <c r="P14" s="2667"/>
      <c r="Q14" s="2667"/>
      <c r="R14" s="2667"/>
      <c r="S14" s="1003"/>
      <c r="T14" s="1000"/>
      <c r="U14" s="909"/>
      <c r="V14" s="909"/>
      <c r="W14" s="910"/>
      <c r="X14" s="910"/>
      <c r="Y14" s="910"/>
      <c r="Z14" s="910"/>
      <c r="AA14" s="911"/>
      <c r="AB14" s="912"/>
      <c r="AC14" s="2659"/>
      <c r="AD14" s="913"/>
      <c r="AE14" s="914" t="s">
        <v>28</v>
      </c>
      <c r="AF14" s="914"/>
      <c r="AG14" s="915" t="s">
        <v>681</v>
      </c>
      <c r="AH14" s="916">
        <v>3</v>
      </c>
      <c r="AI14" s="909"/>
      <c r="AJ14" s="909"/>
      <c r="AK14" s="909"/>
      <c r="AL14" s="909"/>
      <c r="AM14" s="909"/>
      <c r="AN14" s="909"/>
      <c r="AO14" s="909"/>
      <c r="AP14" s="909"/>
      <c r="AQ14" s="909"/>
      <c r="AR14" s="909"/>
      <c r="AS14" s="909"/>
      <c r="AT14" s="909"/>
      <c r="AU14" s="909"/>
      <c r="AV14" s="909"/>
      <c r="AW14" s="909"/>
      <c r="AX14" s="909"/>
      <c r="AY14" s="909"/>
      <c r="AZ14" s="909"/>
      <c r="BA14" s="909"/>
      <c r="BB14" s="909"/>
      <c r="BC14" s="909"/>
      <c r="BD14" s="909"/>
      <c r="BE14" s="909"/>
      <c r="BF14" s="909"/>
      <c r="BG14" s="909"/>
      <c r="BH14" s="909"/>
      <c r="BI14" s="909"/>
      <c r="BJ14" s="909"/>
      <c r="BK14" s="909"/>
      <c r="BL14" s="909"/>
      <c r="BM14" s="909"/>
      <c r="BN14" s="909"/>
      <c r="BO14" s="909"/>
      <c r="BP14" s="909"/>
      <c r="BQ14" s="909"/>
      <c r="BR14" s="909"/>
      <c r="BS14" s="909"/>
      <c r="BT14" s="909"/>
      <c r="BU14" s="909"/>
      <c r="BV14" s="910"/>
      <c r="BW14" s="910"/>
      <c r="BX14" s="910"/>
      <c r="BY14" s="910"/>
      <c r="BZ14" s="910"/>
      <c r="CA14" s="910"/>
      <c r="CB14" s="910"/>
      <c r="CC14" s="910"/>
      <c r="CD14" s="910"/>
      <c r="CE14" s="910"/>
      <c r="CF14" s="577">
        <v>0</v>
      </c>
    </row>
    <row s="30681" customFormat="1" customHeight="1" ht="15" hidden="1">
      <c r="A15" s="907"/>
      <c r="B15" s="908"/>
      <c r="C15" s="908"/>
      <c r="D15" s="2665"/>
      <c r="E15" s="2661" t="s">
        <v>636</v>
      </c>
      <c r="F15" s="2662"/>
      <c r="G15" s="2663"/>
      <c r="H15" s="2667" t="str">
        <f>IF(A14="","",INDEX(DIFFERENTIATION_UNMERGE_AREA,MATCH(A14,DIFFERENTIATION_ID_DIFF,0)))</f>
        <v/>
      </c>
      <c r="I15" s="2667"/>
      <c r="J15" s="2667"/>
      <c r="K15" s="2667"/>
      <c r="L15" s="2667"/>
      <c r="M15" s="2667"/>
      <c r="N15" s="2667"/>
      <c r="O15" s="2667"/>
      <c r="P15" s="2667"/>
      <c r="Q15" s="2667"/>
      <c r="R15" s="2667"/>
      <c r="S15" s="1003"/>
      <c r="T15" s="1000"/>
      <c r="U15" s="909"/>
      <c r="V15" s="909"/>
      <c r="W15" s="910"/>
      <c r="X15" s="910"/>
      <c r="Y15" s="910"/>
      <c r="Z15" s="910"/>
      <c r="AA15" s="911"/>
      <c r="AB15" s="912"/>
      <c r="AC15" s="2659"/>
      <c r="AD15" s="913"/>
      <c r="AE15" s="914"/>
      <c r="AF15" s="914"/>
      <c r="AG15" s="915"/>
      <c r="AH15" s="916"/>
      <c r="AI15" s="909"/>
      <c r="AJ15" s="909"/>
      <c r="AK15" s="909"/>
      <c r="AL15" s="909"/>
      <c r="AM15" s="909"/>
      <c r="AN15" s="909"/>
      <c r="AO15" s="909"/>
      <c r="AP15" s="909"/>
      <c r="AQ15" s="909"/>
      <c r="AR15" s="909"/>
      <c r="AS15" s="909"/>
      <c r="AT15" s="909"/>
      <c r="AU15" s="909"/>
      <c r="AV15" s="909"/>
      <c r="AW15" s="909"/>
      <c r="AX15" s="909"/>
      <c r="AY15" s="909"/>
      <c r="AZ15" s="909"/>
      <c r="BA15" s="909"/>
      <c r="BB15" s="909"/>
      <c r="BC15" s="909"/>
      <c r="BD15" s="909"/>
      <c r="BE15" s="909"/>
      <c r="BF15" s="909"/>
      <c r="BG15" s="909"/>
      <c r="BH15" s="909"/>
      <c r="BI15" s="909"/>
      <c r="BJ15" s="909"/>
      <c r="BK15" s="909"/>
      <c r="BL15" s="909"/>
      <c r="BM15" s="909"/>
      <c r="BN15" s="909"/>
      <c r="BO15" s="909"/>
      <c r="BP15" s="909"/>
      <c r="BQ15" s="909"/>
      <c r="BR15" s="909"/>
      <c r="BS15" s="909"/>
      <c r="BT15" s="909"/>
      <c r="BU15" s="909"/>
      <c r="BV15" s="910"/>
      <c r="BW15" s="910"/>
      <c r="BX15" s="910"/>
      <c r="BY15" s="910"/>
      <c r="BZ15" s="910"/>
      <c r="CA15" s="910"/>
      <c r="CB15" s="910"/>
      <c r="CC15" s="910"/>
      <c r="CD15" s="910"/>
      <c r="CE15" s="910"/>
      <c r="CF15" s="577">
        <v>0</v>
      </c>
    </row>
    <row s="30681" customFormat="1" customHeight="1" ht="15" hidden="1">
      <c r="A16" s="907"/>
      <c r="B16" s="908"/>
      <c r="C16" s="908"/>
      <c r="D16" s="2665"/>
      <c r="E16" s="2661" t="s">
        <v>637</v>
      </c>
      <c r="F16" s="2662"/>
      <c r="G16" s="2663"/>
      <c r="H16" s="2667" t="str">
        <f>IF(A14="","",INDEX(DIFFERENTIATION_UNMERGE_SYSTEM,MATCH(A14,DIFFERENTIATION_ID_DIFF,0)))</f>
        <v>без дифференциации</v>
      </c>
      <c r="I16" s="2667"/>
      <c r="J16" s="2667"/>
      <c r="K16" s="2667"/>
      <c r="L16" s="2667"/>
      <c r="M16" s="2667"/>
      <c r="N16" s="2667"/>
      <c r="O16" s="2667"/>
      <c r="P16" s="2667"/>
      <c r="Q16" s="2667"/>
      <c r="R16" s="2667"/>
      <c r="S16" s="1003"/>
      <c r="T16" s="1000"/>
      <c r="U16" s="909"/>
      <c r="V16" s="909"/>
      <c r="W16" s="910"/>
      <c r="X16" s="910"/>
      <c r="Y16" s="910"/>
      <c r="Z16" s="910"/>
      <c r="AA16" s="911"/>
      <c r="AB16" s="912"/>
      <c r="AC16" s="2659"/>
      <c r="AD16" s="913"/>
      <c r="AE16" s="914"/>
      <c r="AF16" s="914"/>
      <c r="AG16" s="915"/>
      <c r="AH16" s="916"/>
      <c r="AI16" s="909"/>
      <c r="AJ16" s="909"/>
      <c r="AK16" s="909"/>
      <c r="AL16" s="909"/>
      <c r="AM16" s="909"/>
      <c r="AN16" s="909"/>
      <c r="AO16" s="909"/>
      <c r="AP16" s="909"/>
      <c r="AQ16" s="909"/>
      <c r="AR16" s="909"/>
      <c r="AS16" s="909"/>
      <c r="AT16" s="909"/>
      <c r="AU16" s="909"/>
      <c r="AV16" s="909"/>
      <c r="AW16" s="909"/>
      <c r="AX16" s="909"/>
      <c r="AY16" s="909"/>
      <c r="AZ16" s="909"/>
      <c r="BA16" s="909"/>
      <c r="BB16" s="909"/>
      <c r="BC16" s="909"/>
      <c r="BD16" s="909"/>
      <c r="BE16" s="909"/>
      <c r="BF16" s="909"/>
      <c r="BG16" s="909"/>
      <c r="BH16" s="909"/>
      <c r="BI16" s="909"/>
      <c r="BJ16" s="909"/>
      <c r="BK16" s="909"/>
      <c r="BL16" s="909"/>
      <c r="BM16" s="909"/>
      <c r="BN16" s="909"/>
      <c r="BO16" s="909"/>
      <c r="BP16" s="909"/>
      <c r="BQ16" s="909"/>
      <c r="BR16" s="909"/>
      <c r="BS16" s="909"/>
      <c r="BT16" s="909"/>
      <c r="BU16" s="909"/>
      <c r="BV16" s="910"/>
      <c r="BW16" s="910"/>
      <c r="BX16" s="910"/>
      <c r="BY16" s="910"/>
      <c r="BZ16" s="910"/>
      <c r="CA16" s="910"/>
      <c r="CB16" s="910"/>
      <c r="CC16" s="910"/>
      <c r="CD16" s="910"/>
      <c r="CE16" s="910"/>
      <c r="CF16" s="577">
        <v>0</v>
      </c>
    </row>
    <row s="30681" customFormat="1" customHeight="1" ht="22.5" hidden="1">
      <c r="A17" s="917"/>
      <c r="B17" s="701"/>
      <c r="C17" s="696"/>
      <c r="D17" s="2665"/>
      <c r="E17" s="2660" t="s">
        <v>682</v>
      </c>
      <c r="F17" s="2660"/>
      <c r="G17" s="2660"/>
      <c r="H17" s="2660"/>
      <c r="I17" s="2660"/>
      <c r="J17" s="2660"/>
      <c r="K17" s="2660"/>
      <c r="L17" s="2660"/>
      <c r="M17" s="2660"/>
      <c r="N17" s="2660"/>
      <c r="O17" s="2660"/>
      <c r="P17" s="2660"/>
      <c r="Q17" s="842">
        <f>SUMIF(T18:T19,"i",Q18:Q19)</f>
        <v>0</v>
      </c>
      <c r="R17" s="1301"/>
      <c r="S17" s="1181" t="s">
        <v>683</v>
      </c>
      <c r="T17" s="1001" t="s">
        <v>684</v>
      </c>
      <c r="U17" s="2658">
        <v>1</v>
      </c>
      <c r="V17" s="2658" t="str">
        <f>INDEX(B_FHD_FLAG_INDEX_1,1,MATCH(A14,B_FHD_FLAG_DIFFERENTIATION,0))</f>
        <v>отсутствует</v>
      </c>
      <c r="W17" s="701"/>
      <c r="X17" s="701"/>
      <c r="Y17" s="701"/>
      <c r="Z17" s="701"/>
      <c r="AA17" s="795"/>
      <c r="AB17" s="701"/>
      <c r="AC17" s="2659"/>
      <c r="AD17" s="913"/>
      <c r="AE17" s="701"/>
      <c r="AF17" s="701"/>
      <c r="AG17" s="795"/>
      <c r="AH17" s="795"/>
      <c r="AI17" s="795"/>
      <c r="AJ17" s="795"/>
      <c r="AK17" s="795"/>
      <c r="AL17" s="795"/>
      <c r="AM17" s="795"/>
      <c r="AN17" s="795"/>
      <c r="AO17" s="795"/>
      <c r="AP17" s="795"/>
      <c r="AQ17" s="795"/>
      <c r="AR17" s="795"/>
      <c r="AS17" s="795"/>
      <c r="AT17" s="795"/>
      <c r="AU17" s="795"/>
      <c r="AV17" s="795"/>
      <c r="AW17" s="795"/>
      <c r="AX17" s="795"/>
      <c r="AY17" s="795"/>
      <c r="AZ17" s="795"/>
      <c r="BA17" s="795"/>
      <c r="BB17" s="795"/>
      <c r="BC17" s="795"/>
      <c r="BD17" s="795"/>
      <c r="BE17" s="795"/>
      <c r="BF17" s="795"/>
      <c r="BG17" s="795"/>
      <c r="BH17" s="795"/>
      <c r="BI17" s="795"/>
      <c r="BJ17" s="795"/>
      <c r="BK17" s="795"/>
      <c r="BL17" s="795"/>
      <c r="BM17" s="795"/>
      <c r="BN17" s="795"/>
      <c r="BO17" s="795"/>
      <c r="BP17" s="795"/>
      <c r="BQ17" s="795"/>
      <c r="BR17" s="795"/>
      <c r="BS17" s="795"/>
      <c r="BT17" s="795"/>
      <c r="BU17" s="795"/>
      <c r="BV17" s="701"/>
      <c r="BW17" s="701"/>
      <c r="BX17" s="701"/>
      <c r="BY17" s="701"/>
      <c r="BZ17" s="701"/>
      <c r="CA17" s="701"/>
      <c r="CB17" s="701"/>
      <c r="CC17" s="701"/>
      <c r="CD17" s="701"/>
      <c r="CE17" s="701"/>
      <c r="CF17" s="577">
        <v>0</v>
      </c>
    </row>
    <row s="30681" customFormat="1" customHeight="1" ht="11.25" hidden="1">
      <c r="A18" s="918"/>
      <c r="B18" s="795"/>
      <c r="C18" s="795"/>
      <c r="D18" s="2665"/>
      <c r="E18" s="919"/>
      <c r="F18" s="919">
        <v>0</v>
      </c>
      <c r="G18" s="919"/>
      <c r="H18" s="919"/>
      <c r="I18" s="919"/>
      <c r="J18" s="919"/>
      <c r="K18" s="919"/>
      <c r="L18" s="919"/>
      <c r="M18" s="919"/>
      <c r="N18" s="919"/>
      <c r="O18" s="919"/>
      <c r="P18" s="919"/>
      <c r="Q18" s="919"/>
      <c r="R18" s="919"/>
      <c r="S18" s="920"/>
      <c r="T18" s="1002"/>
      <c r="U18" s="2658"/>
      <c r="V18" s="2658"/>
      <c r="W18" s="795"/>
      <c r="X18" s="795"/>
      <c r="Y18" s="795"/>
      <c r="Z18" s="795"/>
      <c r="AA18" s="795"/>
      <c r="AB18" s="701"/>
      <c r="AC18" s="2659"/>
      <c r="AD18" s="913"/>
      <c r="AE18" s="701"/>
      <c r="AF18" s="701"/>
      <c r="AG18" s="795"/>
      <c r="AH18" s="795"/>
      <c r="AI18" s="795"/>
      <c r="AJ18" s="795"/>
      <c r="AK18" s="795"/>
      <c r="AL18" s="795"/>
      <c r="AM18" s="795"/>
      <c r="AN18" s="795"/>
      <c r="AO18" s="795"/>
      <c r="AP18" s="795"/>
      <c r="AQ18" s="795"/>
      <c r="AR18" s="795"/>
      <c r="AS18" s="795"/>
      <c r="AT18" s="795"/>
      <c r="AU18" s="795"/>
      <c r="AV18" s="795"/>
      <c r="AW18" s="795"/>
      <c r="AX18" s="795"/>
      <c r="AY18" s="795"/>
      <c r="AZ18" s="795"/>
      <c r="BA18" s="795"/>
      <c r="BB18" s="795"/>
      <c r="BC18" s="795"/>
      <c r="BD18" s="795"/>
      <c r="BE18" s="795"/>
      <c r="BF18" s="795"/>
      <c r="BG18" s="795"/>
      <c r="BH18" s="795"/>
      <c r="BI18" s="795"/>
      <c r="BJ18" s="795"/>
      <c r="BK18" s="795"/>
      <c r="BL18" s="795"/>
      <c r="BM18" s="795"/>
      <c r="BN18" s="795"/>
      <c r="BO18" s="795"/>
      <c r="BP18" s="795"/>
      <c r="BQ18" s="795"/>
      <c r="BR18" s="795"/>
      <c r="BS18" s="795"/>
      <c r="BT18" s="795"/>
      <c r="BU18" s="795"/>
      <c r="BV18" s="795"/>
      <c r="BW18" s="795"/>
      <c r="BX18" s="795"/>
      <c r="BY18" s="795"/>
      <c r="BZ18" s="795"/>
      <c r="CA18" s="795"/>
      <c r="CB18" s="795"/>
      <c r="CC18" s="795"/>
      <c r="CD18" s="795"/>
      <c r="CE18" s="795"/>
      <c r="CF18" s="577">
        <v>0</v>
      </c>
    </row>
    <row s="30681" customFormat="1" customHeight="1" ht="11.25" hidden="1">
      <c r="A19" s="917"/>
      <c r="B19" s="701"/>
      <c r="C19" s="696"/>
      <c r="D19" s="2665"/>
      <c r="E19" s="933" t="s">
        <v>28</v>
      </c>
      <c r="F19" s="934" t="s">
        <v>28</v>
      </c>
      <c r="G19" s="934" t="s">
        <v>28</v>
      </c>
      <c r="H19" s="935" t="s">
        <v>28</v>
      </c>
      <c r="I19" s="935"/>
      <c r="J19" s="935"/>
      <c r="K19" s="935"/>
      <c r="L19" s="935"/>
      <c r="M19" s="935"/>
      <c r="N19" s="935"/>
      <c r="O19" s="935"/>
      <c r="P19" s="935"/>
      <c r="Q19" s="935"/>
      <c r="R19" s="936"/>
      <c r="S19" s="1304"/>
      <c r="T19" s="1002"/>
      <c r="U19" s="2658"/>
      <c r="V19" s="2658"/>
      <c r="W19" s="701"/>
      <c r="X19" s="701"/>
      <c r="Y19" s="701"/>
      <c r="Z19" s="701"/>
      <c r="AA19" s="795"/>
      <c r="AB19" s="701"/>
      <c r="AC19" s="2659"/>
      <c r="AD19" s="913"/>
      <c r="AE19" s="701"/>
      <c r="AF19" s="701"/>
      <c r="AG19" s="795"/>
      <c r="AH19" s="795"/>
      <c r="AI19" s="795"/>
      <c r="AJ19" s="795"/>
      <c r="AK19" s="795"/>
      <c r="AL19" s="795"/>
      <c r="AM19" s="795"/>
      <c r="AN19" s="795"/>
      <c r="AO19" s="795"/>
      <c r="AP19" s="795"/>
      <c r="AQ19" s="795"/>
      <c r="AR19" s="795"/>
      <c r="AS19" s="795"/>
      <c r="AT19" s="795"/>
      <c r="AU19" s="795"/>
      <c r="AV19" s="795"/>
      <c r="AW19" s="795"/>
      <c r="AX19" s="795"/>
      <c r="AY19" s="795"/>
      <c r="AZ19" s="795"/>
      <c r="BA19" s="795"/>
      <c r="BB19" s="795"/>
      <c r="BC19" s="795"/>
      <c r="BD19" s="795"/>
      <c r="BE19" s="795"/>
      <c r="BF19" s="795"/>
      <c r="BG19" s="795"/>
      <c r="BH19" s="795"/>
      <c r="BI19" s="795"/>
      <c r="BJ19" s="795"/>
      <c r="BK19" s="795"/>
      <c r="BL19" s="795"/>
      <c r="BM19" s="795"/>
      <c r="BN19" s="795"/>
      <c r="BO19" s="795"/>
      <c r="BP19" s="795"/>
      <c r="BQ19" s="795"/>
      <c r="BR19" s="795"/>
      <c r="BS19" s="795"/>
      <c r="BT19" s="795"/>
      <c r="BU19" s="795"/>
      <c r="BV19" s="701"/>
      <c r="BW19" s="701"/>
      <c r="BX19" s="701"/>
      <c r="BY19" s="701"/>
      <c r="BZ19" s="701"/>
      <c r="CA19" s="701"/>
      <c r="CB19" s="701"/>
      <c r="CC19" s="701"/>
      <c r="CD19" s="701"/>
      <c r="CE19" s="701"/>
      <c r="CF19" s="577">
        <v>0</v>
      </c>
    </row>
    <row s="30681" customFormat="1" customHeight="1" ht="22.5" hidden="1">
      <c r="A20" s="917"/>
      <c r="B20" s="701"/>
      <c r="C20" s="696"/>
      <c r="D20" s="2665"/>
      <c r="E20" s="2660" t="s">
        <v>685</v>
      </c>
      <c r="F20" s="2660"/>
      <c r="G20" s="2660"/>
      <c r="H20" s="2660"/>
      <c r="I20" s="2660"/>
      <c r="J20" s="2660"/>
      <c r="K20" s="2660"/>
      <c r="L20" s="2660"/>
      <c r="M20" s="2660"/>
      <c r="N20" s="2660"/>
      <c r="O20" s="2660"/>
      <c r="P20" s="2660"/>
      <c r="Q20" s="842">
        <f>SUMIF(T21:T22,"i",Q21:Q22)</f>
        <v>0</v>
      </c>
      <c r="R20" s="1301"/>
      <c r="S20" s="993" t="s">
        <v>686</v>
      </c>
      <c r="T20" s="1001" t="s">
        <v>684</v>
      </c>
      <c r="U20" s="2658">
        <v>2</v>
      </c>
      <c r="V20" s="2658" t="str">
        <f>INDEX(B_FHD_FLAG_INDEX_2,1,MATCH(A14,B_FHD_FLAG_DIFFERENTIATION,0))</f>
        <v>отсутствует</v>
      </c>
      <c r="W20" s="701"/>
      <c r="X20" s="701"/>
      <c r="Y20" s="701"/>
      <c r="Z20" s="701"/>
      <c r="AA20" s="795"/>
      <c r="AB20" s="701"/>
      <c r="AC20" s="990"/>
      <c r="AD20" s="913"/>
      <c r="AE20" s="701"/>
      <c r="AF20" s="701"/>
      <c r="AG20" s="795"/>
      <c r="AH20" s="795"/>
      <c r="AI20" s="795"/>
      <c r="AJ20" s="795"/>
      <c r="AK20" s="795"/>
      <c r="AL20" s="795"/>
      <c r="AM20" s="795"/>
      <c r="AN20" s="795"/>
      <c r="AO20" s="795"/>
      <c r="AP20" s="795"/>
      <c r="AQ20" s="795"/>
      <c r="AR20" s="795"/>
      <c r="AS20" s="795"/>
      <c r="AT20" s="795"/>
      <c r="AU20" s="795"/>
      <c r="AV20" s="795"/>
      <c r="AW20" s="795"/>
      <c r="AX20" s="795"/>
      <c r="AY20" s="795"/>
      <c r="AZ20" s="795"/>
      <c r="BA20" s="795"/>
      <c r="BB20" s="795"/>
      <c r="BC20" s="795"/>
      <c r="BD20" s="795"/>
      <c r="BE20" s="795"/>
      <c r="BF20" s="795"/>
      <c r="BG20" s="795"/>
      <c r="BH20" s="795"/>
      <c r="BI20" s="795"/>
      <c r="BJ20" s="795"/>
      <c r="BK20" s="795"/>
      <c r="BL20" s="795"/>
      <c r="BM20" s="795"/>
      <c r="BN20" s="795"/>
      <c r="BO20" s="795"/>
      <c r="BP20" s="795"/>
      <c r="BQ20" s="795"/>
      <c r="BR20" s="795"/>
      <c r="BS20" s="795"/>
      <c r="BT20" s="795"/>
      <c r="BU20" s="795"/>
      <c r="BV20" s="701"/>
      <c r="BW20" s="701"/>
      <c r="BX20" s="701"/>
      <c r="BY20" s="701"/>
      <c r="BZ20" s="701"/>
      <c r="CA20" s="701"/>
      <c r="CB20" s="701"/>
      <c r="CC20" s="701"/>
      <c r="CD20" s="701"/>
      <c r="CE20" s="701"/>
      <c r="CF20" s="577">
        <v>0</v>
      </c>
    </row>
    <row s="30681" customFormat="1" customHeight="1" ht="11.25" hidden="1">
      <c r="A21" s="992"/>
      <c r="B21" s="795"/>
      <c r="C21" s="795"/>
      <c r="D21" s="2665"/>
      <c r="E21" s="919"/>
      <c r="F21" s="919">
        <v>0</v>
      </c>
      <c r="G21" s="919"/>
      <c r="H21" s="919"/>
      <c r="I21" s="919"/>
      <c r="J21" s="919"/>
      <c r="K21" s="919"/>
      <c r="L21" s="919"/>
      <c r="M21" s="919"/>
      <c r="N21" s="919"/>
      <c r="O21" s="919"/>
      <c r="P21" s="919"/>
      <c r="Q21" s="919"/>
      <c r="R21" s="919"/>
      <c r="S21" s="920"/>
      <c r="T21" s="1002"/>
      <c r="U21" s="2658"/>
      <c r="V21" s="2658"/>
      <c r="W21" s="795"/>
      <c r="X21" s="795"/>
      <c r="Y21" s="795"/>
      <c r="Z21" s="795"/>
      <c r="AA21" s="795"/>
      <c r="AB21" s="701"/>
      <c r="AC21" s="990"/>
      <c r="AD21" s="913"/>
      <c r="AE21" s="701"/>
      <c r="AF21" s="701"/>
      <c r="AG21" s="795"/>
      <c r="AH21" s="795"/>
      <c r="AI21" s="795"/>
      <c r="AJ21" s="795"/>
      <c r="AK21" s="795"/>
      <c r="AL21" s="795"/>
      <c r="AM21" s="795"/>
      <c r="AN21" s="795"/>
      <c r="AO21" s="795"/>
      <c r="AP21" s="795"/>
      <c r="AQ21" s="795"/>
      <c r="AR21" s="795"/>
      <c r="AS21" s="795"/>
      <c r="AT21" s="795"/>
      <c r="AU21" s="795"/>
      <c r="AV21" s="795"/>
      <c r="AW21" s="795"/>
      <c r="AX21" s="795"/>
      <c r="AY21" s="795"/>
      <c r="AZ21" s="795"/>
      <c r="BA21" s="795"/>
      <c r="BB21" s="795"/>
      <c r="BC21" s="795"/>
      <c r="BD21" s="795"/>
      <c r="BE21" s="795"/>
      <c r="BF21" s="795"/>
      <c r="BG21" s="795"/>
      <c r="BH21" s="795"/>
      <c r="BI21" s="795"/>
      <c r="BJ21" s="795"/>
      <c r="BK21" s="795"/>
      <c r="BL21" s="795"/>
      <c r="BM21" s="795"/>
      <c r="BN21" s="795"/>
      <c r="BO21" s="795"/>
      <c r="BP21" s="795"/>
      <c r="BQ21" s="795"/>
      <c r="BR21" s="795"/>
      <c r="BS21" s="795"/>
      <c r="BT21" s="795"/>
      <c r="BU21" s="795"/>
      <c r="BV21" s="795"/>
      <c r="BW21" s="795"/>
      <c r="BX21" s="795"/>
      <c r="BY21" s="795"/>
      <c r="BZ21" s="795"/>
      <c r="CA21" s="795"/>
      <c r="CB21" s="795"/>
      <c r="CC21" s="795"/>
      <c r="CD21" s="795"/>
      <c r="CE21" s="795"/>
      <c r="CF21" s="577">
        <v>0</v>
      </c>
    </row>
    <row s="30681" customFormat="1" customHeight="1" ht="11.25" hidden="1">
      <c r="A22" s="917"/>
      <c r="B22" s="701"/>
      <c r="C22" s="696"/>
      <c r="D22" s="2666"/>
      <c r="E22" s="933" t="s">
        <v>28</v>
      </c>
      <c r="F22" s="934" t="s">
        <v>28</v>
      </c>
      <c r="G22" s="934" t="s">
        <v>28</v>
      </c>
      <c r="H22" s="935" t="s">
        <v>28</v>
      </c>
      <c r="I22" s="935"/>
      <c r="J22" s="935"/>
      <c r="K22" s="935"/>
      <c r="L22" s="935"/>
      <c r="M22" s="935"/>
      <c r="N22" s="935"/>
      <c r="O22" s="935"/>
      <c r="P22" s="935"/>
      <c r="Q22" s="935"/>
      <c r="R22" s="936"/>
      <c r="S22" s="1304"/>
      <c r="T22" s="1002"/>
      <c r="U22" s="2658"/>
      <c r="V22" s="2658"/>
      <c r="W22" s="701"/>
      <c r="X22" s="701"/>
      <c r="Y22" s="701"/>
      <c r="Z22" s="701"/>
      <c r="AA22" s="795"/>
      <c r="AB22" s="701"/>
      <c r="AC22" s="990"/>
      <c r="AD22" s="913"/>
      <c r="AE22" s="701"/>
      <c r="AF22" s="701"/>
      <c r="AG22" s="795"/>
      <c r="AH22" s="795"/>
      <c r="AI22" s="795"/>
      <c r="AJ22" s="795"/>
      <c r="AK22" s="795"/>
      <c r="AL22" s="795"/>
      <c r="AM22" s="795"/>
      <c r="AN22" s="795"/>
      <c r="AO22" s="795"/>
      <c r="AP22" s="795"/>
      <c r="AQ22" s="795"/>
      <c r="AR22" s="795"/>
      <c r="AS22" s="795"/>
      <c r="AT22" s="795"/>
      <c r="AU22" s="795"/>
      <c r="AV22" s="795"/>
      <c r="AW22" s="795"/>
      <c r="AX22" s="795"/>
      <c r="AY22" s="795"/>
      <c r="AZ22" s="795"/>
      <c r="BA22" s="795"/>
      <c r="BB22" s="795"/>
      <c r="BC22" s="795"/>
      <c r="BD22" s="795"/>
      <c r="BE22" s="795"/>
      <c r="BF22" s="795"/>
      <c r="BG22" s="795"/>
      <c r="BH22" s="795"/>
      <c r="BI22" s="795"/>
      <c r="BJ22" s="795"/>
      <c r="BK22" s="795"/>
      <c r="BL22" s="795"/>
      <c r="BM22" s="795"/>
      <c r="BN22" s="795"/>
      <c r="BO22" s="795"/>
      <c r="BP22" s="795"/>
      <c r="BQ22" s="795"/>
      <c r="BR22" s="795"/>
      <c r="BS22" s="795"/>
      <c r="BT22" s="795"/>
      <c r="BU22" s="795"/>
      <c r="BV22" s="701"/>
      <c r="BW22" s="701"/>
      <c r="BX22" s="701"/>
      <c r="BY22" s="701"/>
      <c r="BZ22" s="701"/>
      <c r="CA22" s="701"/>
      <c r="CB22" s="701"/>
      <c r="CC22" s="701"/>
      <c r="CD22" s="701"/>
      <c r="CE22" s="701"/>
      <c r="CF22" s="577">
        <v>0</v>
      </c>
    </row>
    <row customHeight="1" ht="19.95">
      <c r="D23" s="1331"/>
      <c r="E23" s="1331"/>
      <c r="F23" s="1331"/>
      <c r="G23" s="1331"/>
      <c r="H23" s="1331"/>
      <c r="I23" s="1331"/>
      <c r="J23" s="1331"/>
      <c r="K23" s="1331"/>
      <c r="L23" s="1331"/>
      <c r="M23" s="1331"/>
      <c r="N23" s="1331"/>
      <c r="O23" s="1331"/>
      <c r="P23" s="1331"/>
      <c r="Q23" s="1331"/>
      <c r="R23" s="1331"/>
      <c r="S23" s="1331"/>
      <c r="T23" s="618"/>
      <c r="CF23" s="789">
        <v>19</v>
      </c>
    </row>
    <row customHeight="1" ht="11.549999999999999">
      <c r="D24" s="793"/>
      <c r="CF24" s="789">
        <v>11</v>
      </c>
    </row>
    <row customHeight="1" ht="11.549999999999999">
      <c r="D25" s="938"/>
      <c r="E25" s="938"/>
      <c r="F25" s="938"/>
      <c r="G25" s="939"/>
      <c r="CF25" s="789">
        <v>11</v>
      </c>
    </row>
    <row customHeight="1" ht="11.549999999999999">
      <c r="CF26" s="789">
        <v>11</v>
      </c>
    </row>
    <row customHeight="1" ht="11.549999999999999">
      <c r="D27" s="940"/>
      <c r="E27" s="2668"/>
      <c r="F27" s="2668"/>
      <c r="G27" s="2668"/>
      <c r="H27" s="2668"/>
      <c r="I27" s="2668"/>
      <c r="J27" s="2668"/>
      <c r="K27" s="2668"/>
      <c r="L27" s="2668"/>
      <c r="M27" s="2668"/>
      <c r="N27" s="2668"/>
      <c r="O27" s="2668"/>
      <c r="P27" s="2668"/>
      <c r="Q27" s="2668"/>
      <c r="R27" s="2668"/>
      <c r="CF27" s="789">
        <v>11</v>
      </c>
    </row>
    <row customHeight="1" ht="11.549999999999999">
      <c r="F28" s="1042"/>
      <c r="G28" s="1042"/>
      <c r="CF28" s="789">
        <v>11</v>
      </c>
    </row>
    <row customHeight="1" ht="11.25" hidden="1">
      <c r="A29" s="894" t="s">
        <v>85</v>
      </c>
      <c r="B29" s="733">
        <v>0</v>
      </c>
      <c r="C29" s="789">
        <v>3</v>
      </c>
      <c r="D29" s="789">
        <v>0</v>
      </c>
      <c r="E29" s="789">
        <v>7</v>
      </c>
      <c r="F29" s="789">
        <v>7</v>
      </c>
      <c r="G29" s="789">
        <v>29</v>
      </c>
      <c r="H29" s="789">
        <v>3</v>
      </c>
      <c r="I29" s="789">
        <v>5</v>
      </c>
      <c r="J29" s="789">
        <v>24</v>
      </c>
      <c r="K29" s="789">
        <v>24</v>
      </c>
      <c r="L29" s="789">
        <v>3</v>
      </c>
      <c r="M29" s="789">
        <v>6</v>
      </c>
      <c r="N29" s="789">
        <v>25</v>
      </c>
      <c r="O29" s="789">
        <v>18</v>
      </c>
      <c r="P29" s="789">
        <v>18</v>
      </c>
      <c r="Q29" s="789">
        <v>18</v>
      </c>
      <c r="R29" s="789">
        <v>18</v>
      </c>
      <c r="S29" s="789">
        <v>93</v>
      </c>
      <c r="T29" s="789">
        <v>10</v>
      </c>
      <c r="U29" s="895">
        <v>10</v>
      </c>
      <c r="V29" s="895">
        <v>11</v>
      </c>
      <c r="W29" s="896">
        <v>10</v>
      </c>
      <c r="X29" s="733">
        <v>10</v>
      </c>
      <c r="Y29" s="733">
        <v>10</v>
      </c>
      <c r="Z29" s="733">
        <v>10</v>
      </c>
      <c r="AA29" s="733">
        <v>10</v>
      </c>
      <c r="AB29" s="789">
        <v>8</v>
      </c>
      <c r="AC29" s="789">
        <v>8</v>
      </c>
      <c r="AD29" s="789">
        <v>8</v>
      </c>
      <c r="AE29" s="789">
        <v>8</v>
      </c>
      <c r="AF29" s="789">
        <v>8</v>
      </c>
      <c r="AG29" s="789">
        <v>8</v>
      </c>
      <c r="AH29" s="789">
        <v>8</v>
      </c>
      <c r="AI29" s="789">
        <v>8</v>
      </c>
      <c r="AJ29" s="789">
        <v>8</v>
      </c>
      <c r="AK29" s="789">
        <v>8</v>
      </c>
      <c r="AL29" s="789">
        <v>8</v>
      </c>
      <c r="AM29" s="789">
        <v>8</v>
      </c>
      <c r="AN29" s="789">
        <v>8</v>
      </c>
      <c r="AO29" s="789">
        <v>8</v>
      </c>
      <c r="AP29" s="789">
        <v>8</v>
      </c>
      <c r="AQ29" s="789">
        <v>8</v>
      </c>
      <c r="AR29" s="789">
        <v>8</v>
      </c>
      <c r="AS29" s="789">
        <v>8</v>
      </c>
      <c r="AT29" s="789">
        <v>8</v>
      </c>
      <c r="AU29" s="789">
        <v>8</v>
      </c>
      <c r="AV29" s="789">
        <v>8</v>
      </c>
      <c r="AW29" s="789">
        <v>8</v>
      </c>
      <c r="AX29" s="789">
        <v>8</v>
      </c>
      <c r="AY29" s="789">
        <v>8</v>
      </c>
      <c r="AZ29" s="789">
        <v>8</v>
      </c>
      <c r="BA29" s="789">
        <v>8</v>
      </c>
      <c r="BB29" s="789">
        <v>8</v>
      </c>
      <c r="BC29" s="789">
        <v>8</v>
      </c>
      <c r="BD29" s="789">
        <v>8</v>
      </c>
      <c r="BE29" s="789">
        <v>8</v>
      </c>
      <c r="BF29" s="789">
        <v>8</v>
      </c>
      <c r="BG29" s="789">
        <v>8</v>
      </c>
      <c r="BH29" s="789">
        <v>8</v>
      </c>
      <c r="BI29" s="789">
        <v>8</v>
      </c>
      <c r="BJ29" s="789">
        <v>8</v>
      </c>
      <c r="BK29" s="789">
        <v>8</v>
      </c>
      <c r="BL29" s="789">
        <v>8</v>
      </c>
      <c r="BM29" s="789">
        <v>8</v>
      </c>
      <c r="BN29" s="789">
        <v>8</v>
      </c>
      <c r="BO29" s="789">
        <v>8</v>
      </c>
      <c r="BP29" s="789">
        <v>8</v>
      </c>
      <c r="BQ29" s="789">
        <v>8</v>
      </c>
      <c r="BR29" s="789">
        <v>8</v>
      </c>
      <c r="BS29" s="789">
        <v>8</v>
      </c>
      <c r="BT29" s="789">
        <v>8</v>
      </c>
      <c r="BU29" s="789">
        <v>8</v>
      </c>
      <c r="BV29" s="789">
        <v>8</v>
      </c>
      <c r="BW29" s="789">
        <v>8</v>
      </c>
      <c r="BX29" s="789">
        <v>8</v>
      </c>
      <c r="BY29" s="789">
        <v>8</v>
      </c>
      <c r="BZ29" s="789">
        <v>8</v>
      </c>
      <c r="CA29" s="789">
        <v>8</v>
      </c>
      <c r="CB29" s="789">
        <v>8</v>
      </c>
      <c r="CC29" s="789">
        <v>8</v>
      </c>
      <c r="CD29" s="789">
        <v>8</v>
      </c>
      <c r="CE29" s="789">
        <v>8</v>
      </c>
      <c r="CF29" s="789">
        <v>11</v>
      </c>
    </row>
  </sheetData>
  <sheetProtection sheet="1" formatColumns="0" formatRows="0" autoFilter="0" sort="1" insertRows="1" insertColumns="1" deleteRows="1" deleteColumns="1"/>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477AF2-1948-1A5D-2EE4-93D9991080CB}" mc:Ignorable="x14ac xr xr2 xr3">
  <sheetPr>
    <tabColor theme="9" tint="-0.25"/>
  </sheetPr>
  <dimension ref="A1:AK204"/>
  <sheetViews>
    <sheetView showGridLines="0" zoomScale="90" workbookViewId="0">
      <pane xSplit="12" ySplit="14" topLeftCell="M15" activePane="bottomRight" state="frozen"/>
      <selection pane="bottomLeft" activeCell="A15" sqref="A15"/>
      <selection pane="topRight" activeCell="M1" sqref="M1"/>
      <selection pane="bottomRight" activeCell="A1" sqref="A1"/>
    </sheetView>
  </sheetViews>
  <sheetFormatPr defaultColWidth="9.140625" customHeight="1" defaultRowHeight="11.25"/>
  <cols>
    <col min="1" max="5" style="37533" width="10.7109375" hidden="1" customWidth="1"/>
    <col min="6" max="6" style="30620" width="16.8515625" hidden="1" customWidth="1"/>
    <col min="7" max="7" style="30621" width="5.57421875" hidden="1" customWidth="1"/>
    <col min="8" max="8" style="30541" width="3.00390625" customWidth="1"/>
    <col min="9" max="9" style="30541" width="7.00390625" customWidth="1"/>
    <col min="10" max="10" style="30541" width="56.00390625" customWidth="1"/>
    <col min="11" max="11" style="30541" width="10.00390625" customWidth="1"/>
    <col min="12" max="12" style="30541" width="40.57421875" hidden="1" customWidth="1"/>
    <col min="13" max="13" style="30541" width="40.7109375" customWidth="1"/>
    <col min="14" max="14" style="30620" width="9.7109375" hidden="1" customWidth="1"/>
    <col min="15" max="15" style="30541" width="102.00390625" customWidth="1"/>
    <col min="16" max="16" style="30620" width="9.00390625" customWidth="1"/>
    <col min="17" max="17" style="30621" width="5.00390625" customWidth="1"/>
    <col min="18" max="18" style="30621" width="3.00390625" customWidth="1"/>
    <col min="19" max="22" style="30620" width="3.00390625" customWidth="1"/>
    <col min="23" max="23" style="30621" width="10.00390625" customWidth="1"/>
    <col min="24" max="24" style="30620" width="34.00390625" customWidth="1"/>
    <col min="25" max="25" style="30620" width="9.00390625" customWidth="1"/>
    <col min="26" max="26" style="37534" width="8.00390625" customWidth="1"/>
    <col min="27" max="31" style="30620" width="8.00390625" customWidth="1"/>
    <col min="32" max="36" style="30505" width="8.00390625" customWidth="1"/>
    <col min="37" max="37" style="30541" width="5.421875" hidden="1" customWidth="1"/>
  </cols>
  <sheetData>
    <row s="30620" customFormat="1" customHeight="1" ht="33.75" hidden="1">
      <c r="A1" s="1271"/>
      <c r="B1" s="1271"/>
      <c r="C1" s="1271"/>
      <c r="D1" s="1271"/>
      <c r="E1" s="1271"/>
      <c r="G1" s="1920"/>
      <c r="H1" s="1162"/>
      <c r="L1" s="1650">
        <v>4</v>
      </c>
      <c r="M1" s="1650">
        <v>4</v>
      </c>
      <c r="Q1" s="1920"/>
      <c r="R1" s="1920"/>
      <c r="W1" s="1920"/>
      <c r="AK1" s="1650" t="s">
        <v>14</v>
      </c>
    </row>
    <row s="30620" customFormat="1" customHeight="1" ht="78.75" hidden="1">
      <c r="A2" s="1271"/>
      <c r="B2" s="2337" t="s">
        <v>687</v>
      </c>
      <c r="C2" s="2337" t="s">
        <v>688</v>
      </c>
      <c r="D2" s="2336" t="s">
        <v>689</v>
      </c>
      <c r="E2" s="2340">
        <f>RIGHT(I2,LEN(I2)-SEARCH("#",SUBSTITUTE(I2,".","#",LEN(I2)-LEN(SUBSTITUTE(I2,".","")))))</f>
      </c>
      <c r="F2" s="2342">
        <f>J2</f>
        <v>0</v>
      </c>
      <c r="G2" s="1920"/>
      <c r="H2" s="2343"/>
      <c r="I2" s="2333"/>
      <c r="J2" s="824"/>
      <c r="K2" s="2303" t="s">
        <v>628</v>
      </c>
      <c r="L2" s="1035"/>
      <c r="M2" s="1035"/>
      <c r="N2" s="827"/>
      <c r="O2" s="1809" t="s">
        <v>629</v>
      </c>
      <c r="P2" s="827"/>
      <c r="Q2" s="1920"/>
      <c r="R2" s="1920"/>
      <c r="W2" s="1920"/>
      <c r="Z2" s="828"/>
      <c r="AF2" s="1916"/>
      <c r="AG2" s="1916"/>
      <c r="AH2" s="1916"/>
      <c r="AI2" s="1916"/>
      <c r="AJ2" s="1916"/>
      <c r="AK2" s="1650">
        <v>0</v>
      </c>
    </row>
    <row customHeight="1" ht="11.25" hidden="1">
      <c r="E3" s="2335" t="s">
        <v>690</v>
      </c>
      <c r="L3" s="1915">
        <f>0</f>
        <v>0</v>
      </c>
      <c r="M3" s="1915">
        <v>1</v>
      </c>
      <c r="AK3" s="1915">
        <v>0</v>
      </c>
    </row>
    <row s="30505" customFormat="1" customHeight="1" ht="11.25" hidden="1">
      <c r="A4" s="1271"/>
      <c r="B4" s="1271"/>
      <c r="C4" s="1271"/>
      <c r="E4" s="1271"/>
      <c r="F4" s="1650"/>
      <c r="G4" s="1920"/>
      <c r="H4" s="904"/>
      <c r="N4" s="1650"/>
      <c r="O4" s="1916">
        <v>4</v>
      </c>
      <c r="P4" s="1650"/>
      <c r="Q4" s="1920"/>
      <c r="R4" s="1920"/>
      <c r="S4" s="1650"/>
      <c r="T4" s="1650"/>
      <c r="U4" s="1650"/>
      <c r="V4" s="1650"/>
      <c r="W4" s="1920"/>
      <c r="X4" s="1650"/>
      <c r="Y4" s="1650"/>
      <c r="Z4" s="828"/>
      <c r="AA4" s="1650"/>
      <c r="AB4" s="1650"/>
      <c r="AC4" s="1650"/>
      <c r="AD4" s="1650"/>
      <c r="AE4" s="1650"/>
      <c r="AK4" s="1916">
        <v>0</v>
      </c>
    </row>
    <row customHeight="1" ht="11.549999999999999">
      <c r="AK5" s="1915">
        <v>11</v>
      </c>
    </row>
    <row customHeight="1" ht="57.75">
      <c r="I6" s="2591" t="s">
        <v>691</v>
      </c>
      <c r="J6" s="2591"/>
      <c r="K6" s="2591"/>
      <c r="L6" s="2591"/>
      <c r="M6" s="2591"/>
      <c r="O6" s="840"/>
      <c r="AK6" s="1915">
        <v>55</v>
      </c>
    </row>
    <row customHeight="1" ht="25.2">
      <c r="I7" s="2533" t="str">
        <f>IF(org=0,"Не определено",org)</f>
        <v>АО "ДГК"</v>
      </c>
      <c r="J7" s="2533"/>
      <c r="K7" s="2533"/>
      <c r="L7" s="2533"/>
      <c r="M7" s="2533"/>
      <c r="AK7" s="1915">
        <v>24</v>
      </c>
    </row>
    <row customHeight="1" ht="11.549999999999999">
      <c r="I8" s="1419"/>
      <c r="J8" s="1419"/>
      <c r="K8" s="1419"/>
      <c r="L8" s="1419"/>
      <c r="M8" s="1419"/>
      <c r="AK8" s="1915">
        <v>11</v>
      </c>
    </row>
    <row s="30621" customFormat="1" customHeight="1" ht="30" hidden="1">
      <c r="A9" s="1451"/>
      <c r="B9" s="1451"/>
      <c r="C9" s="1451"/>
      <c r="E9" s="1451"/>
      <c r="H9" s="1926"/>
      <c r="L9" s="1173"/>
      <c r="M9" s="1173" t="s">
        <v>147</v>
      </c>
      <c r="AK9" s="1920">
        <v>1</v>
      </c>
    </row>
    <row customHeight="1" ht="11.549999999999999">
      <c r="E10" s="2334" t="s">
        <v>692</v>
      </c>
      <c r="I10" s="995"/>
      <c r="J10" s="2651" t="s">
        <v>137</v>
      </c>
      <c r="K10" s="2652"/>
      <c r="L10" s="2313" t="str">
        <f>IF(L9="","",INDEX(DIFFERENTIATION_UNMERGE_VD,MATCH(L9,DIFFERENTIATION_ID_DIFF,0)))</f>
        <v/>
      </c>
      <c r="M10" s="2313">
        <f>IF(M9="","",INDEX(DIFFERENTIATION_UNMERGE_VD,MATCH(M9,DIFFERENTIATION_ID_DIFF,0)))</f>
        <v>0</v>
      </c>
      <c r="O10" s="2411" t="s">
        <v>361</v>
      </c>
      <c r="AK10" s="1915">
        <v>11</v>
      </c>
    </row>
    <row customHeight="1" ht="11.549999999999999">
      <c r="E11" s="2334" t="s">
        <v>693</v>
      </c>
      <c r="I11" s="995"/>
      <c r="J11" s="2651" t="s">
        <v>636</v>
      </c>
      <c r="K11" s="2652"/>
      <c r="L11" s="2313" t="str">
        <f>IF(L9="","",INDEX(DIFFERENTIATION_UNMERGE_AREA,MATCH(L9,DIFFERENTIATION_ID_DIFF,0)))</f>
        <v/>
      </c>
      <c r="M11" s="2313" t="str">
        <f>IF(M9="","",INDEX(DIFFERENTIATION_UNMERGE_AREA,MATCH(M9,DIFFERENTIATION_ID_DIFF,0)))</f>
        <v/>
      </c>
      <c r="O11" s="2411"/>
      <c r="AK11" s="1915">
        <v>11</v>
      </c>
    </row>
    <row customHeight="1" ht="11.549999999999999">
      <c r="E12" s="2334" t="s">
        <v>694</v>
      </c>
      <c r="I12" s="1946"/>
      <c r="J12" s="2651" t="s">
        <v>637</v>
      </c>
      <c r="K12" s="2652"/>
      <c r="L12" s="2313" t="str">
        <f>IF(L9="","",INDEX(DIFFERENTIATION_UNMERGE_SYSTEM,MATCH(L9,DIFFERENTIATION_ID_DIFF,0)))</f>
        <v/>
      </c>
      <c r="M12" s="2313" t="str">
        <f>IF(M9="","",INDEX(DIFFERENTIATION_UNMERGE_SYSTEM,MATCH(M9,DIFFERENTIATION_ID_DIFF,0)))</f>
        <v>без дифференциации</v>
      </c>
      <c r="O12" s="2411"/>
      <c r="AK12" s="1915">
        <v>11</v>
      </c>
    </row>
    <row customHeight="1" ht="11.549999999999999">
      <c r="E13" s="2334" t="s">
        <v>695</v>
      </c>
      <c r="F13" s="2334" t="s">
        <v>696</v>
      </c>
      <c r="I13" s="2653" t="s">
        <v>360</v>
      </c>
      <c r="J13" s="2654"/>
      <c r="K13" s="2654"/>
      <c r="L13" s="2311"/>
      <c r="M13" s="2351"/>
      <c r="O13" s="2411"/>
      <c r="AK13" s="1915">
        <v>11</v>
      </c>
    </row>
    <row customHeight="1" ht="24">
      <c r="I14" s="2304" t="s">
        <v>91</v>
      </c>
      <c r="J14" s="2304" t="s">
        <v>362</v>
      </c>
      <c r="K14" s="2304" t="s">
        <v>638</v>
      </c>
      <c r="L14" s="2344" t="s">
        <v>363</v>
      </c>
      <c r="M14" s="2345" t="s">
        <v>363</v>
      </c>
      <c r="O14" s="2411"/>
      <c r="AK14" s="1915">
        <v>23</v>
      </c>
    </row>
    <row customHeight="1" ht="24">
      <c r="A15" s="2338"/>
      <c r="B15" s="2337" t="s">
        <v>697</v>
      </c>
      <c r="C15" s="2337" t="s">
        <v>698</v>
      </c>
      <c r="D15" s="2336" t="s">
        <v>699</v>
      </c>
      <c r="E15" s="2340" t="s">
        <v>700</v>
      </c>
      <c r="F15" s="2340" t="s">
        <v>700</v>
      </c>
      <c r="G15" s="1920" t="s">
        <v>660</v>
      </c>
      <c r="H15" s="2305"/>
      <c r="I15" s="1914">
        <v>1</v>
      </c>
      <c r="J15" s="2306" t="s">
        <v>701</v>
      </c>
      <c r="K15" s="2304" t="s">
        <v>366</v>
      </c>
      <c r="L15" s="946"/>
      <c r="M15" s="1102"/>
      <c r="N15" s="827" t="s">
        <v>702</v>
      </c>
      <c r="O15" s="1809" t="s">
        <v>703</v>
      </c>
      <c r="P15" s="827" t="s">
        <v>702</v>
      </c>
      <c r="AK15" s="1915">
        <v>23</v>
      </c>
    </row>
    <row customHeight="1" ht="35.699999999999996">
      <c r="A16" s="2338"/>
      <c r="B16" s="2337" t="s">
        <v>704</v>
      </c>
      <c r="C16" s="2337" t="s">
        <v>705</v>
      </c>
      <c r="D16" s="2336" t="s">
        <v>689</v>
      </c>
      <c r="E16" s="2340" t="s">
        <v>700</v>
      </c>
      <c r="F16" s="2340" t="s">
        <v>700</v>
      </c>
      <c r="H16" s="2305"/>
      <c r="I16" s="1913">
        <v>2</v>
      </c>
      <c r="J16" s="2347" t="s">
        <v>706</v>
      </c>
      <c r="K16" s="2346" t="s">
        <v>628</v>
      </c>
      <c r="L16" s="2352"/>
      <c r="M16" s="1960"/>
      <c r="N16" s="827" t="s">
        <v>702</v>
      </c>
      <c r="O16" s="1809" t="s">
        <v>707</v>
      </c>
      <c r="P16" s="827" t="s">
        <v>702</v>
      </c>
      <c r="AK16" s="1915">
        <v>34</v>
      </c>
    </row>
    <row s="30621" customFormat="1" customHeight="1" ht="17.25" hidden="1">
      <c r="A17" s="1451"/>
      <c r="B17" s="1451"/>
      <c r="C17" s="1451"/>
      <c r="D17" s="1451"/>
      <c r="E17" s="1451"/>
      <c r="H17" s="1608"/>
      <c r="I17" s="1297" t="s">
        <v>708</v>
      </c>
      <c r="J17" s="1275"/>
      <c r="K17" s="1297"/>
      <c r="L17" s="1276"/>
      <c r="M17" s="1276"/>
      <c r="O17" s="1669"/>
      <c r="AK17" s="1920">
        <v>1</v>
      </c>
    </row>
    <row s="30620" customFormat="1" customHeight="1" ht="24">
      <c r="A18" s="1271"/>
      <c r="B18" s="1271"/>
      <c r="C18" s="1271"/>
      <c r="D18" s="1271"/>
      <c r="E18" s="1271"/>
      <c r="G18" s="1920"/>
      <c r="H18" s="1917"/>
      <c r="I18" s="854"/>
      <c r="J18" s="855" t="s">
        <v>658</v>
      </c>
      <c r="K18" s="856"/>
      <c r="L18" s="2354"/>
      <c r="M18" s="857"/>
      <c r="N18" s="827"/>
      <c r="O18" s="1809" t="s">
        <v>659</v>
      </c>
      <c r="P18" s="827"/>
      <c r="Q18" s="1920"/>
      <c r="R18" s="1920"/>
      <c r="W18" s="1920"/>
      <c r="Z18" s="828"/>
      <c r="AF18" s="1916"/>
      <c r="AG18" s="1916"/>
      <c r="AH18" s="1916"/>
      <c r="AI18" s="1916"/>
      <c r="AJ18" s="1916"/>
      <c r="AK18" s="1650">
        <v>23</v>
      </c>
    </row>
    <row customHeight="1" ht="19.95">
      <c r="A19" s="2338"/>
      <c r="B19" s="2337" t="s">
        <v>709</v>
      </c>
      <c r="C19" s="2337" t="s">
        <v>710</v>
      </c>
      <c r="D19" s="2336" t="s">
        <v>689</v>
      </c>
      <c r="E19" s="2340" t="s">
        <v>700</v>
      </c>
      <c r="F19" s="2340" t="s">
        <v>700</v>
      </c>
      <c r="H19" s="2305"/>
      <c r="I19" s="1948">
        <v>3</v>
      </c>
      <c r="J19" s="2306" t="s">
        <v>710</v>
      </c>
      <c r="K19" s="2302" t="s">
        <v>628</v>
      </c>
      <c r="L19" s="1011"/>
      <c r="M19" s="841"/>
      <c r="N19" s="827"/>
      <c r="O19" s="1809" t="s">
        <v>711</v>
      </c>
      <c r="P19" s="827"/>
      <c r="AK19" s="1915">
        <v>19</v>
      </c>
    </row>
    <row customHeight="1" ht="77.7">
      <c r="A20" s="2338"/>
      <c r="B20" s="2337" t="s">
        <v>712</v>
      </c>
      <c r="C20" s="2337" t="s">
        <v>713</v>
      </c>
      <c r="D20" s="2336" t="s">
        <v>689</v>
      </c>
      <c r="E20" s="2340" t="s">
        <v>700</v>
      </c>
      <c r="F20" s="2340" t="s">
        <v>700</v>
      </c>
      <c r="H20" s="2305"/>
      <c r="I20" s="1948">
        <v>4</v>
      </c>
      <c r="J20" s="2306" t="s">
        <v>714</v>
      </c>
      <c r="K20" s="2302" t="s">
        <v>655</v>
      </c>
      <c r="L20" s="1011"/>
      <c r="M20" s="841"/>
      <c r="N20" s="827"/>
      <c r="O20" s="1809"/>
      <c r="P20" s="827"/>
      <c r="AK20" s="1915">
        <v>74</v>
      </c>
    </row>
    <row customHeight="1" ht="35.699999999999996">
      <c r="A21" s="2338"/>
      <c r="B21" s="2337" t="s">
        <v>715</v>
      </c>
      <c r="C21" s="2337" t="s">
        <v>716</v>
      </c>
      <c r="D21" s="2336" t="s">
        <v>689</v>
      </c>
      <c r="E21" s="2340" t="s">
        <v>700</v>
      </c>
      <c r="F21" s="2340" t="s">
        <v>700</v>
      </c>
      <c r="H21" s="2305"/>
      <c r="I21" s="1948">
        <v>5</v>
      </c>
      <c r="J21" s="2306" t="s">
        <v>717</v>
      </c>
      <c r="K21" s="2302" t="s">
        <v>655</v>
      </c>
      <c r="L21" s="1011"/>
      <c r="M21" s="841"/>
      <c r="N21" s="827"/>
      <c r="O21" s="1809" t="s">
        <v>711</v>
      </c>
      <c r="P21" s="827"/>
      <c r="AK21" s="1915">
        <v>34</v>
      </c>
    </row>
    <row customHeight="1" ht="48.29999999999999">
      <c r="A22" s="2338"/>
      <c r="B22" s="2337" t="s">
        <v>718</v>
      </c>
      <c r="C22" s="2337" t="s">
        <v>719</v>
      </c>
      <c r="D22" s="2336" t="s">
        <v>689</v>
      </c>
      <c r="E22" s="2340" t="s">
        <v>700</v>
      </c>
      <c r="F22" s="2340" t="s">
        <v>700</v>
      </c>
      <c r="H22" s="2305"/>
      <c r="I22" s="1948">
        <v>6</v>
      </c>
      <c r="J22" s="2306" t="s">
        <v>720</v>
      </c>
      <c r="K22" s="2302" t="s">
        <v>655</v>
      </c>
      <c r="L22" s="1011"/>
      <c r="M22" s="841"/>
      <c r="N22" s="827"/>
      <c r="O22" s="1809" t="s">
        <v>721</v>
      </c>
      <c r="P22" s="827"/>
      <c r="AK22" s="1915">
        <v>46</v>
      </c>
    </row>
    <row customHeight="1" ht="19.95">
      <c r="A23" s="2338"/>
      <c r="B23" s="2337" t="s">
        <v>722</v>
      </c>
      <c r="C23" s="2337" t="s">
        <v>723</v>
      </c>
      <c r="D23" s="2336" t="s">
        <v>689</v>
      </c>
      <c r="E23" s="2340" t="s">
        <v>700</v>
      </c>
      <c r="F23" s="2340" t="s">
        <v>700</v>
      </c>
      <c r="H23" s="2305"/>
      <c r="I23" s="1948" t="s">
        <v>724</v>
      </c>
      <c r="J23" s="1808" t="s">
        <v>725</v>
      </c>
      <c r="K23" s="2302" t="s">
        <v>655</v>
      </c>
      <c r="L23" s="1011"/>
      <c r="M23" s="841"/>
      <c r="N23" s="827"/>
      <c r="O23" s="1809" t="s">
        <v>711</v>
      </c>
      <c r="P23" s="827"/>
      <c r="AK23" s="1915">
        <v>19</v>
      </c>
    </row>
    <row customHeight="1" ht="19.95">
      <c r="A24" s="2338"/>
      <c r="B24" s="2337" t="s">
        <v>726</v>
      </c>
      <c r="C24" s="2337" t="s">
        <v>727</v>
      </c>
      <c r="D24" s="2336" t="s">
        <v>689</v>
      </c>
      <c r="E24" s="2340" t="s">
        <v>700</v>
      </c>
      <c r="F24" s="2340" t="s">
        <v>700</v>
      </c>
      <c r="H24" s="2305"/>
      <c r="I24" s="1948" t="s">
        <v>728</v>
      </c>
      <c r="J24" s="1808" t="s">
        <v>729</v>
      </c>
      <c r="K24" s="2302" t="s">
        <v>655</v>
      </c>
      <c r="L24" s="1011"/>
      <c r="M24" s="841"/>
      <c r="N24" s="827"/>
      <c r="O24" s="1809"/>
      <c r="P24" s="827"/>
      <c r="AK24" s="1915">
        <v>19</v>
      </c>
    </row>
    <row customHeight="1" ht="24">
      <c r="A25" s="2338"/>
      <c r="B25" s="2337" t="s">
        <v>730</v>
      </c>
      <c r="C25" s="2337" t="s">
        <v>731</v>
      </c>
      <c r="D25" s="2336" t="s">
        <v>689</v>
      </c>
      <c r="E25" s="2340" t="s">
        <v>700</v>
      </c>
      <c r="F25" s="2340" t="s">
        <v>700</v>
      </c>
      <c r="H25" s="2305"/>
      <c r="I25" s="1948" t="s">
        <v>732</v>
      </c>
      <c r="J25" s="1808" t="s">
        <v>733</v>
      </c>
      <c r="K25" s="2302" t="s">
        <v>655</v>
      </c>
      <c r="L25" s="1011"/>
      <c r="M25" s="841"/>
      <c r="N25" s="827"/>
      <c r="O25" s="1809"/>
      <c r="P25" s="827"/>
      <c r="AK25" s="1915">
        <v>23</v>
      </c>
    </row>
    <row customHeight="1" ht="24">
      <c r="A26" s="2338"/>
      <c r="B26" s="2337" t="s">
        <v>734</v>
      </c>
      <c r="C26" s="2337" t="s">
        <v>735</v>
      </c>
      <c r="D26" s="2336" t="s">
        <v>689</v>
      </c>
      <c r="E26" s="2340" t="s">
        <v>700</v>
      </c>
      <c r="F26" s="2340" t="s">
        <v>700</v>
      </c>
      <c r="H26" s="2305"/>
      <c r="I26" s="1948">
        <v>7</v>
      </c>
      <c r="J26" s="2306" t="s">
        <v>735</v>
      </c>
      <c r="K26" s="2302" t="s">
        <v>736</v>
      </c>
      <c r="L26" s="1011"/>
      <c r="M26" s="841"/>
      <c r="N26" s="827"/>
      <c r="O26" s="1809"/>
      <c r="P26" s="827"/>
      <c r="AK26" s="1915">
        <v>23</v>
      </c>
    </row>
    <row customHeight="1" ht="24">
      <c r="A27" s="2338"/>
      <c r="B27" s="2337" t="s">
        <v>737</v>
      </c>
      <c r="C27" s="2337" t="s">
        <v>738</v>
      </c>
      <c r="D27" s="2336" t="s">
        <v>689</v>
      </c>
      <c r="E27" s="2340" t="s">
        <v>700</v>
      </c>
      <c r="F27" s="2340" t="s">
        <v>700</v>
      </c>
      <c r="H27" s="2305"/>
      <c r="I27" s="1948">
        <v>8</v>
      </c>
      <c r="J27" s="2306" t="s">
        <v>738</v>
      </c>
      <c r="K27" s="2302" t="s">
        <v>661</v>
      </c>
      <c r="L27" s="1011"/>
      <c r="M27" s="841"/>
      <c r="N27" s="827"/>
      <c r="O27" s="1809"/>
      <c r="P27" s="827"/>
      <c r="AK27" s="1915">
        <v>23</v>
      </c>
    </row>
    <row customHeight="1" ht="35.699999999999996">
      <c r="A28" s="2338"/>
      <c r="B28" s="2337" t="s">
        <v>739</v>
      </c>
      <c r="C28" s="2337" t="s">
        <v>740</v>
      </c>
      <c r="D28" s="2336" t="s">
        <v>689</v>
      </c>
      <c r="E28" s="2340" t="s">
        <v>700</v>
      </c>
      <c r="F28" s="2340" t="s">
        <v>700</v>
      </c>
      <c r="H28" s="2305"/>
      <c r="I28" s="1959">
        <v>9</v>
      </c>
      <c r="J28" s="2306" t="s">
        <v>741</v>
      </c>
      <c r="K28" s="2302" t="s">
        <v>632</v>
      </c>
      <c r="L28" s="1011"/>
      <c r="M28" s="841"/>
      <c r="N28" s="827"/>
      <c r="O28" s="1809"/>
      <c r="P28" s="827"/>
      <c r="AK28" s="1915">
        <v>34</v>
      </c>
    </row>
    <row customHeight="1" ht="35.699999999999996">
      <c r="A29" s="2338"/>
      <c r="B29" s="2337" t="s">
        <v>742</v>
      </c>
      <c r="C29" s="2337" t="s">
        <v>743</v>
      </c>
      <c r="D29" s="2336" t="s">
        <v>689</v>
      </c>
      <c r="E29" s="2340" t="s">
        <v>700</v>
      </c>
      <c r="F29" s="2340" t="s">
        <v>700</v>
      </c>
      <c r="H29" s="2305"/>
      <c r="I29" s="1959">
        <v>10</v>
      </c>
      <c r="J29" s="2306" t="s">
        <v>744</v>
      </c>
      <c r="K29" s="2302" t="s">
        <v>632</v>
      </c>
      <c r="L29" s="1011"/>
      <c r="M29" s="841"/>
      <c r="N29" s="827"/>
      <c r="O29" s="1809"/>
      <c r="P29" s="827"/>
      <c r="AK29" s="1915">
        <v>34</v>
      </c>
    </row>
    <row customHeight="1" ht="24">
      <c r="A30" s="2338"/>
      <c r="B30" s="2337" t="s">
        <v>745</v>
      </c>
      <c r="C30" s="2337" t="s">
        <v>746</v>
      </c>
      <c r="D30" s="2336" t="s">
        <v>689</v>
      </c>
      <c r="E30" s="2340" t="s">
        <v>700</v>
      </c>
      <c r="F30" s="2340" t="s">
        <v>700</v>
      </c>
      <c r="H30" s="2305"/>
      <c r="I30" s="1959">
        <v>11</v>
      </c>
      <c r="J30" s="2306" t="s">
        <v>746</v>
      </c>
      <c r="K30" s="2302" t="s">
        <v>662</v>
      </c>
      <c r="L30" s="2353"/>
      <c r="M30" s="1905"/>
      <c r="N30" s="827"/>
      <c r="O30" s="1809"/>
      <c r="P30" s="827"/>
      <c r="AK30" s="1915">
        <v>23</v>
      </c>
    </row>
    <row customHeight="1" ht="24">
      <c r="A31" s="2338"/>
      <c r="B31" s="2337" t="s">
        <v>747</v>
      </c>
      <c r="C31" s="2337" t="s">
        <v>748</v>
      </c>
      <c r="D31" s="2336" t="s">
        <v>689</v>
      </c>
      <c r="E31" s="2340" t="s">
        <v>700</v>
      </c>
      <c r="F31" s="2340" t="s">
        <v>700</v>
      </c>
      <c r="H31" s="2305"/>
      <c r="I31" s="1959">
        <v>12</v>
      </c>
      <c r="J31" s="2306" t="s">
        <v>748</v>
      </c>
      <c r="K31" s="2302" t="s">
        <v>662</v>
      </c>
      <c r="L31" s="2353"/>
      <c r="M31" s="1905"/>
      <c r="N31" s="827"/>
      <c r="O31" s="1809"/>
      <c r="P31" s="827"/>
      <c r="AK31" s="1915">
        <v>23</v>
      </c>
    </row>
    <row customHeight="1" ht="48.29999999999999">
      <c r="A32" s="2338"/>
      <c r="B32" s="2337" t="s">
        <v>749</v>
      </c>
      <c r="C32" s="2337" t="s">
        <v>750</v>
      </c>
      <c r="D32" s="2336" t="s">
        <v>689</v>
      </c>
      <c r="E32" s="2340" t="s">
        <v>700</v>
      </c>
      <c r="F32" s="2340" t="s">
        <v>700</v>
      </c>
      <c r="H32" s="2305"/>
      <c r="I32" s="1959">
        <v>13</v>
      </c>
      <c r="J32" s="2306" t="s">
        <v>751</v>
      </c>
      <c r="K32" s="2302" t="s">
        <v>672</v>
      </c>
      <c r="L32" s="1011"/>
      <c r="M32" s="841"/>
      <c r="N32" s="827"/>
      <c r="O32" s="1809" t="s">
        <v>711</v>
      </c>
      <c r="P32" s="827"/>
      <c r="AK32" s="1915">
        <v>46</v>
      </c>
    </row>
    <row s="30620" customFormat="1" customHeight="1" ht="48.29999999999999">
      <c r="A33" s="2338"/>
      <c r="B33" s="2337" t="s">
        <v>752</v>
      </c>
      <c r="C33" s="2337" t="s">
        <v>753</v>
      </c>
      <c r="D33" s="2336" t="s">
        <v>689</v>
      </c>
      <c r="E33" s="2340" t="s">
        <v>700</v>
      </c>
      <c r="F33" s="2340" t="s">
        <v>700</v>
      </c>
      <c r="G33" s="1920"/>
      <c r="H33" s="2305"/>
      <c r="I33" s="1959">
        <v>14</v>
      </c>
      <c r="J33" s="2318" t="s">
        <v>754</v>
      </c>
      <c r="K33" s="2307" t="s">
        <v>755</v>
      </c>
      <c r="L33" s="1011"/>
      <c r="M33" s="841"/>
      <c r="N33" s="827"/>
      <c r="O33" s="1809" t="s">
        <v>711</v>
      </c>
      <c r="P33" s="827"/>
      <c r="Q33" s="1920"/>
      <c r="R33" s="1920"/>
      <c r="W33" s="1920"/>
      <c r="Z33" s="828"/>
      <c r="AF33" s="1916"/>
      <c r="AG33" s="1916"/>
      <c r="AH33" s="1916"/>
      <c r="AI33" s="1916"/>
      <c r="AJ33" s="1916"/>
      <c r="AK33" s="1650">
        <v>46</v>
      </c>
    </row>
    <row customHeight="1" ht="108">
      <c r="A34" s="2338"/>
      <c r="B34" s="2337" t="s">
        <v>756</v>
      </c>
      <c r="C34" s="2337" t="s">
        <v>757</v>
      </c>
      <c r="D34" s="2336" t="s">
        <v>699</v>
      </c>
      <c r="E34" s="2340" t="s">
        <v>700</v>
      </c>
      <c r="F34" s="2340" t="s">
        <v>700</v>
      </c>
      <c r="G34" s="1920" t="s">
        <v>660</v>
      </c>
      <c r="H34" s="2305"/>
      <c r="I34" s="2316">
        <v>15</v>
      </c>
      <c r="J34" s="2317" t="s">
        <v>758</v>
      </c>
      <c r="K34" s="2302" t="s">
        <v>366</v>
      </c>
      <c r="L34" s="669"/>
      <c r="M34" s="1448"/>
      <c r="N34" s="827"/>
      <c r="O34" s="1809" t="s">
        <v>703</v>
      </c>
      <c r="P34" s="827"/>
      <c r="AK34" s="1915">
        <v>103</v>
      </c>
    </row>
    <row s="31261" customFormat="1" customHeight="1" ht="11.549999999999999">
      <c r="A35" s="1271"/>
      <c r="B35" s="1271"/>
      <c r="C35" s="1271"/>
      <c r="D35" s="1271"/>
      <c r="E35" s="1271"/>
      <c r="F35" s="1920"/>
      <c r="G35" s="1920"/>
      <c r="H35" s="635"/>
      <c r="N35" s="1650"/>
      <c r="P35" s="1650"/>
      <c r="Q35" s="1920"/>
      <c r="R35" s="1920"/>
      <c r="S35" s="1650"/>
      <c r="T35" s="1650"/>
      <c r="U35" s="1650"/>
      <c r="V35" s="1650"/>
      <c r="W35" s="1920"/>
      <c r="X35" s="1650"/>
      <c r="Y35" s="1650"/>
      <c r="Z35" s="828"/>
      <c r="AA35" s="1650"/>
      <c r="AB35" s="1650"/>
      <c r="AC35" s="1650"/>
      <c r="AD35" s="1650"/>
      <c r="AE35" s="1650"/>
      <c r="AF35" s="1916"/>
      <c r="AG35" s="906"/>
      <c r="AH35" s="906"/>
      <c r="AI35" s="906"/>
      <c r="AJ35" s="906"/>
      <c r="AK35" s="1925">
        <v>11</v>
      </c>
    </row>
    <row s="31261" customFormat="1" customHeight="1" ht="11.549999999999999">
      <c r="A36" s="1271"/>
      <c r="B36" s="1271"/>
      <c r="C36" s="1271"/>
      <c r="D36" s="1271"/>
      <c r="E36" s="1271"/>
      <c r="F36" s="1920"/>
      <c r="G36" s="1920"/>
      <c r="H36" s="635"/>
      <c r="N36" s="1650"/>
      <c r="P36" s="1650"/>
      <c r="Q36" s="1920"/>
      <c r="R36" s="1920"/>
      <c r="S36" s="1650"/>
      <c r="T36" s="1650"/>
      <c r="U36" s="1650"/>
      <c r="V36" s="1650"/>
      <c r="W36" s="1920"/>
      <c r="X36" s="1650"/>
      <c r="Y36" s="1650"/>
      <c r="Z36" s="828"/>
      <c r="AA36" s="1650"/>
      <c r="AB36" s="1650"/>
      <c r="AC36" s="1650"/>
      <c r="AD36" s="1650"/>
      <c r="AE36" s="1650"/>
      <c r="AF36" s="1916"/>
      <c r="AG36" s="906"/>
      <c r="AH36" s="906"/>
      <c r="AI36" s="906"/>
      <c r="AJ36" s="906"/>
      <c r="AK36" s="1925">
        <v>11</v>
      </c>
    </row>
    <row s="31261" customFormat="1" customHeight="1" ht="11.549999999999999">
      <c r="A37" s="1271"/>
      <c r="B37" s="1271"/>
      <c r="C37" s="1271"/>
      <c r="D37" s="1271"/>
      <c r="E37" s="1271"/>
      <c r="F37" s="1920"/>
      <c r="G37" s="1920"/>
      <c r="H37" s="635"/>
      <c r="L37" s="906"/>
      <c r="M37" s="906"/>
      <c r="N37" s="1650"/>
      <c r="P37" s="1650"/>
      <c r="Q37" s="1920"/>
      <c r="R37" s="1920"/>
      <c r="S37" s="1650"/>
      <c r="T37" s="1650"/>
      <c r="U37" s="1650"/>
      <c r="V37" s="1650"/>
      <c r="W37" s="1920"/>
      <c r="X37" s="1650"/>
      <c r="Y37" s="1650"/>
      <c r="Z37" s="828"/>
      <c r="AA37" s="1650"/>
      <c r="AB37" s="1650"/>
      <c r="AC37" s="1650"/>
      <c r="AD37" s="1650"/>
      <c r="AE37" s="1650"/>
      <c r="AF37" s="1916"/>
      <c r="AG37" s="906"/>
      <c r="AH37" s="906"/>
      <c r="AI37" s="906"/>
      <c r="AJ37" s="906"/>
      <c r="AK37" s="1925">
        <v>11</v>
      </c>
    </row>
    <row s="31261" customFormat="1" customHeight="1" ht="11.549999999999999">
      <c r="A38" s="1271"/>
      <c r="B38" s="1271"/>
      <c r="C38" s="1271"/>
      <c r="D38" s="1271"/>
      <c r="E38" s="1271"/>
      <c r="F38" s="1920"/>
      <c r="G38" s="1920"/>
      <c r="H38" s="635"/>
      <c r="N38" s="1650"/>
      <c r="P38" s="1650"/>
      <c r="Q38" s="1920"/>
      <c r="R38" s="1920"/>
      <c r="S38" s="1650"/>
      <c r="T38" s="1650"/>
      <c r="U38" s="1650"/>
      <c r="V38" s="1650"/>
      <c r="W38" s="1920"/>
      <c r="X38" s="1650"/>
      <c r="Y38" s="1650"/>
      <c r="Z38" s="828"/>
      <c r="AA38" s="1650"/>
      <c r="AB38" s="1650"/>
      <c r="AC38" s="1650"/>
      <c r="AD38" s="1650"/>
      <c r="AE38" s="1650"/>
      <c r="AF38" s="1916"/>
      <c r="AG38" s="906"/>
      <c r="AH38" s="906"/>
      <c r="AI38" s="906"/>
      <c r="AJ38" s="906"/>
      <c r="AK38" s="1925">
        <v>11</v>
      </c>
    </row>
    <row s="31261" customFormat="1" customHeight="1" ht="11.549999999999999">
      <c r="A39" s="1271"/>
      <c r="B39" s="1271"/>
      <c r="C39" s="1271"/>
      <c r="D39" s="1271"/>
      <c r="E39" s="1271"/>
      <c r="F39" s="1920"/>
      <c r="G39" s="1920"/>
      <c r="H39" s="635"/>
      <c r="N39" s="1650"/>
      <c r="P39" s="1650"/>
      <c r="Q39" s="1920"/>
      <c r="R39" s="1920"/>
      <c r="S39" s="1650"/>
      <c r="T39" s="1650"/>
      <c r="U39" s="1650"/>
      <c r="V39" s="1650"/>
      <c r="W39" s="1920"/>
      <c r="X39" s="1650"/>
      <c r="Y39" s="1650"/>
      <c r="Z39" s="828"/>
      <c r="AA39" s="1650"/>
      <c r="AB39" s="1650"/>
      <c r="AC39" s="1650"/>
      <c r="AD39" s="1650"/>
      <c r="AE39" s="1650"/>
      <c r="AF39" s="1916"/>
      <c r="AG39" s="906"/>
      <c r="AH39" s="906"/>
      <c r="AI39" s="906"/>
      <c r="AJ39" s="906"/>
      <c r="AK39" s="1925">
        <v>11</v>
      </c>
    </row>
    <row s="31261" customFormat="1" customHeight="1" ht="11.549999999999999">
      <c r="A40" s="1271"/>
      <c r="B40" s="1271"/>
      <c r="C40" s="1271"/>
      <c r="D40" s="1271"/>
      <c r="E40" s="1271"/>
      <c r="F40" s="1920"/>
      <c r="G40" s="1920"/>
      <c r="H40" s="635"/>
      <c r="N40" s="1650"/>
      <c r="P40" s="1650"/>
      <c r="Q40" s="1920"/>
      <c r="R40" s="1920"/>
      <c r="S40" s="1650"/>
      <c r="T40" s="1650"/>
      <c r="U40" s="1650"/>
      <c r="V40" s="1650"/>
      <c r="W40" s="1920"/>
      <c r="X40" s="1650"/>
      <c r="Y40" s="1650"/>
      <c r="Z40" s="828"/>
      <c r="AA40" s="1650"/>
      <c r="AB40" s="1650"/>
      <c r="AC40" s="1650"/>
      <c r="AD40" s="1650"/>
      <c r="AE40" s="1650"/>
      <c r="AF40" s="1916"/>
      <c r="AG40" s="906"/>
      <c r="AH40" s="906"/>
      <c r="AI40" s="906"/>
      <c r="AJ40" s="906"/>
      <c r="AK40" s="1925">
        <v>11</v>
      </c>
    </row>
    <row s="31261" customFormat="1" customHeight="1" ht="11.549999999999999">
      <c r="A41" s="1271"/>
      <c r="B41" s="1271"/>
      <c r="C41" s="1271"/>
      <c r="D41" s="1271"/>
      <c r="E41" s="1271"/>
      <c r="F41" s="1920"/>
      <c r="G41" s="1920"/>
      <c r="H41" s="635"/>
      <c r="N41" s="1650"/>
      <c r="P41" s="1650"/>
      <c r="Q41" s="1920"/>
      <c r="R41" s="1920"/>
      <c r="S41" s="1650"/>
      <c r="T41" s="1650"/>
      <c r="U41" s="1650"/>
      <c r="V41" s="1650"/>
      <c r="W41" s="1920"/>
      <c r="X41" s="1650"/>
      <c r="Y41" s="1650"/>
      <c r="Z41" s="828"/>
      <c r="AA41" s="1650"/>
      <c r="AB41" s="1650"/>
      <c r="AC41" s="1650"/>
      <c r="AD41" s="1650"/>
      <c r="AE41" s="1650"/>
      <c r="AF41" s="1916"/>
      <c r="AG41" s="906"/>
      <c r="AH41" s="906"/>
      <c r="AI41" s="906"/>
      <c r="AJ41" s="906"/>
      <c r="AK41" s="1925">
        <v>11</v>
      </c>
    </row>
    <row s="31261" customFormat="1" customHeight="1" ht="11.549999999999999">
      <c r="A42" s="1271"/>
      <c r="B42" s="1271"/>
      <c r="C42" s="1271"/>
      <c r="D42" s="1271"/>
      <c r="E42" s="1271"/>
      <c r="F42" s="1920"/>
      <c r="G42" s="1920"/>
      <c r="H42" s="635"/>
      <c r="N42" s="1650"/>
      <c r="P42" s="1650"/>
      <c r="Q42" s="1920"/>
      <c r="R42" s="1920"/>
      <c r="S42" s="1650"/>
      <c r="T42" s="1650"/>
      <c r="U42" s="1650"/>
      <c r="V42" s="1650"/>
      <c r="W42" s="1920"/>
      <c r="X42" s="1650"/>
      <c r="Y42" s="1650"/>
      <c r="Z42" s="828"/>
      <c r="AA42" s="1650"/>
      <c r="AB42" s="1650"/>
      <c r="AC42" s="1650"/>
      <c r="AD42" s="1650"/>
      <c r="AE42" s="1650"/>
      <c r="AF42" s="1916"/>
      <c r="AG42" s="906"/>
      <c r="AH42" s="906"/>
      <c r="AI42" s="906"/>
      <c r="AJ42" s="906"/>
      <c r="AK42" s="1925">
        <v>11</v>
      </c>
    </row>
    <row s="31261" customFormat="1" customHeight="1" ht="11.549999999999999">
      <c r="A43" s="1271"/>
      <c r="B43" s="1271"/>
      <c r="C43" s="1271"/>
      <c r="D43" s="1271"/>
      <c r="E43" s="1271"/>
      <c r="F43" s="1920"/>
      <c r="G43" s="1920"/>
      <c r="H43" s="635"/>
      <c r="N43" s="1650"/>
      <c r="P43" s="1650"/>
      <c r="Q43" s="1920"/>
      <c r="R43" s="1920"/>
      <c r="S43" s="1650"/>
      <c r="T43" s="1650"/>
      <c r="U43" s="1650"/>
      <c r="V43" s="1650"/>
      <c r="W43" s="1920"/>
      <c r="X43" s="1650"/>
      <c r="Y43" s="1650"/>
      <c r="Z43" s="828"/>
      <c r="AA43" s="1650"/>
      <c r="AB43" s="1650"/>
      <c r="AC43" s="1650"/>
      <c r="AD43" s="1650"/>
      <c r="AE43" s="1650"/>
      <c r="AF43" s="1916"/>
      <c r="AG43" s="906"/>
      <c r="AH43" s="906"/>
      <c r="AI43" s="906"/>
      <c r="AJ43" s="906"/>
      <c r="AK43" s="1925">
        <v>11</v>
      </c>
    </row>
    <row s="31261" customFormat="1" customHeight="1" ht="11.549999999999999">
      <c r="A44" s="1271"/>
      <c r="B44" s="1271"/>
      <c r="C44" s="1271"/>
      <c r="D44" s="1271"/>
      <c r="E44" s="1271"/>
      <c r="F44" s="1920"/>
      <c r="G44" s="1920"/>
      <c r="H44" s="635"/>
      <c r="N44" s="1650"/>
      <c r="P44" s="1650"/>
      <c r="Q44" s="1920"/>
      <c r="R44" s="1920"/>
      <c r="S44" s="1650"/>
      <c r="T44" s="1650"/>
      <c r="U44" s="1650"/>
      <c r="V44" s="1650"/>
      <c r="W44" s="1920"/>
      <c r="X44" s="1650"/>
      <c r="Y44" s="1650"/>
      <c r="Z44" s="828"/>
      <c r="AA44" s="1650"/>
      <c r="AB44" s="1650"/>
      <c r="AC44" s="1650"/>
      <c r="AD44" s="1650"/>
      <c r="AE44" s="1650"/>
      <c r="AF44" s="1916"/>
      <c r="AG44" s="906"/>
      <c r="AH44" s="906"/>
      <c r="AI44" s="906"/>
      <c r="AJ44" s="906"/>
      <c r="AK44" s="1925">
        <v>11</v>
      </c>
    </row>
    <row s="31261" customFormat="1" customHeight="1" ht="11.549999999999999">
      <c r="A45" s="1271"/>
      <c r="B45" s="1271"/>
      <c r="C45" s="1271"/>
      <c r="D45" s="1271"/>
      <c r="E45" s="1271"/>
      <c r="F45" s="1920"/>
      <c r="G45" s="1920"/>
      <c r="H45" s="635"/>
      <c r="N45" s="1650"/>
      <c r="P45" s="1650"/>
      <c r="Q45" s="1920"/>
      <c r="R45" s="1920"/>
      <c r="S45" s="1650"/>
      <c r="T45" s="1650"/>
      <c r="U45" s="1650"/>
      <c r="V45" s="1650"/>
      <c r="W45" s="1920"/>
      <c r="X45" s="1650"/>
      <c r="Y45" s="1650"/>
      <c r="Z45" s="828"/>
      <c r="AA45" s="1650"/>
      <c r="AB45" s="1650"/>
      <c r="AC45" s="1650"/>
      <c r="AD45" s="1650"/>
      <c r="AE45" s="1650"/>
      <c r="AF45" s="1916"/>
      <c r="AG45" s="906"/>
      <c r="AH45" s="906"/>
      <c r="AI45" s="906"/>
      <c r="AJ45" s="906"/>
      <c r="AK45" s="1925">
        <v>11</v>
      </c>
    </row>
    <row s="31261" customFormat="1" customHeight="1" ht="11.549999999999999">
      <c r="A46" s="1271"/>
      <c r="B46" s="1271"/>
      <c r="C46" s="1271"/>
      <c r="D46" s="1271"/>
      <c r="E46" s="1271"/>
      <c r="F46" s="1920"/>
      <c r="G46" s="1920"/>
      <c r="H46" s="635"/>
      <c r="N46" s="1650"/>
      <c r="P46" s="1650"/>
      <c r="Q46" s="1920"/>
      <c r="R46" s="1920"/>
      <c r="S46" s="1650"/>
      <c r="T46" s="1650"/>
      <c r="U46" s="1650"/>
      <c r="V46" s="1650"/>
      <c r="W46" s="1920"/>
      <c r="X46" s="1650"/>
      <c r="Y46" s="1650"/>
      <c r="Z46" s="828"/>
      <c r="AA46" s="1650"/>
      <c r="AB46" s="1650"/>
      <c r="AC46" s="1650"/>
      <c r="AD46" s="1650"/>
      <c r="AE46" s="1650"/>
      <c r="AF46" s="1916"/>
      <c r="AG46" s="906"/>
      <c r="AH46" s="906"/>
      <c r="AI46" s="906"/>
      <c r="AJ46" s="906"/>
      <c r="AK46" s="1925">
        <v>11</v>
      </c>
    </row>
    <row s="31261" customFormat="1" customHeight="1" ht="11.549999999999999">
      <c r="A47" s="1271"/>
      <c r="B47" s="1271"/>
      <c r="C47" s="1271"/>
      <c r="D47" s="1271"/>
      <c r="E47" s="1271"/>
      <c r="F47" s="1920"/>
      <c r="G47" s="1920"/>
      <c r="H47" s="635"/>
      <c r="N47" s="1650"/>
      <c r="P47" s="1650"/>
      <c r="Q47" s="1920"/>
      <c r="R47" s="1920"/>
      <c r="S47" s="1650"/>
      <c r="T47" s="1650"/>
      <c r="U47" s="1650"/>
      <c r="V47" s="1650"/>
      <c r="W47" s="1920"/>
      <c r="X47" s="1650"/>
      <c r="Y47" s="1650"/>
      <c r="Z47" s="828"/>
      <c r="AA47" s="1650"/>
      <c r="AB47" s="1650"/>
      <c r="AC47" s="1650"/>
      <c r="AD47" s="1650"/>
      <c r="AE47" s="1650"/>
      <c r="AF47" s="1916"/>
      <c r="AG47" s="906"/>
      <c r="AH47" s="906"/>
      <c r="AI47" s="906"/>
      <c r="AJ47" s="906"/>
      <c r="AK47" s="1925">
        <v>11</v>
      </c>
    </row>
    <row s="31261" customFormat="1" customHeight="1" ht="11.549999999999999">
      <c r="A48" s="1271"/>
      <c r="B48" s="1271"/>
      <c r="C48" s="1271"/>
      <c r="D48" s="1271"/>
      <c r="E48" s="1271"/>
      <c r="F48" s="1920"/>
      <c r="G48" s="1920"/>
      <c r="H48" s="635"/>
      <c r="N48" s="1650"/>
      <c r="P48" s="1650"/>
      <c r="Q48" s="1920"/>
      <c r="R48" s="1920"/>
      <c r="S48" s="1650"/>
      <c r="T48" s="1650"/>
      <c r="U48" s="1650"/>
      <c r="V48" s="1650"/>
      <c r="W48" s="1920"/>
      <c r="X48" s="1650"/>
      <c r="Y48" s="1650"/>
      <c r="Z48" s="828"/>
      <c r="AA48" s="1650"/>
      <c r="AB48" s="1650"/>
      <c r="AC48" s="1650"/>
      <c r="AD48" s="1650"/>
      <c r="AE48" s="1650"/>
      <c r="AF48" s="1916"/>
      <c r="AG48" s="906"/>
      <c r="AH48" s="906"/>
      <c r="AI48" s="906"/>
      <c r="AJ48" s="906"/>
      <c r="AK48" s="1925">
        <v>11</v>
      </c>
    </row>
    <row s="31261" customFormat="1" customHeight="1" ht="11.549999999999999">
      <c r="A49" s="1271"/>
      <c r="B49" s="1271"/>
      <c r="C49" s="1271"/>
      <c r="D49" s="1271"/>
      <c r="E49" s="1271"/>
      <c r="F49" s="1920"/>
      <c r="G49" s="1920"/>
      <c r="H49" s="635"/>
      <c r="N49" s="1650"/>
      <c r="P49" s="1650"/>
      <c r="Q49" s="1920"/>
      <c r="R49" s="1920"/>
      <c r="S49" s="1650"/>
      <c r="T49" s="1650"/>
      <c r="U49" s="1650"/>
      <c r="V49" s="1650"/>
      <c r="W49" s="1920"/>
      <c r="X49" s="1650"/>
      <c r="Y49" s="1650"/>
      <c r="Z49" s="828"/>
      <c r="AA49" s="1650"/>
      <c r="AB49" s="1650"/>
      <c r="AC49" s="1650"/>
      <c r="AD49" s="1650"/>
      <c r="AE49" s="1650"/>
      <c r="AF49" s="1916"/>
      <c r="AG49" s="906"/>
      <c r="AH49" s="906"/>
      <c r="AI49" s="906"/>
      <c r="AJ49" s="906"/>
      <c r="AK49" s="1925">
        <v>11</v>
      </c>
    </row>
    <row s="31261" customFormat="1" customHeight="1" ht="11.549999999999999">
      <c r="A50" s="1271"/>
      <c r="B50" s="1271"/>
      <c r="C50" s="1271"/>
      <c r="D50" s="1271"/>
      <c r="E50" s="1271"/>
      <c r="F50" s="1920"/>
      <c r="G50" s="1920"/>
      <c r="H50" s="635"/>
      <c r="N50" s="1650"/>
      <c r="P50" s="1650"/>
      <c r="Q50" s="1920"/>
      <c r="R50" s="1920"/>
      <c r="S50" s="1650"/>
      <c r="T50" s="1650"/>
      <c r="U50" s="1650"/>
      <c r="V50" s="1650"/>
      <c r="W50" s="1920"/>
      <c r="X50" s="1650"/>
      <c r="Y50" s="1650"/>
      <c r="Z50" s="828"/>
      <c r="AA50" s="1650"/>
      <c r="AB50" s="1650"/>
      <c r="AC50" s="1650"/>
      <c r="AD50" s="1650"/>
      <c r="AE50" s="1650"/>
      <c r="AF50" s="1916"/>
      <c r="AG50" s="906"/>
      <c r="AH50" s="906"/>
      <c r="AI50" s="906"/>
      <c r="AJ50" s="906"/>
      <c r="AK50" s="1925">
        <v>11</v>
      </c>
    </row>
    <row s="31261" customFormat="1" customHeight="1" ht="11.549999999999999">
      <c r="A51" s="1271"/>
      <c r="B51" s="1271"/>
      <c r="C51" s="1271"/>
      <c r="D51" s="1271"/>
      <c r="E51" s="1271"/>
      <c r="F51" s="1920"/>
      <c r="G51" s="1920"/>
      <c r="H51" s="635"/>
      <c r="N51" s="1650"/>
      <c r="P51" s="1650"/>
      <c r="Q51" s="1920"/>
      <c r="R51" s="1920"/>
      <c r="S51" s="1650"/>
      <c r="T51" s="1650"/>
      <c r="U51" s="1650"/>
      <c r="V51" s="1650"/>
      <c r="W51" s="1920"/>
      <c r="X51" s="1650"/>
      <c r="Y51" s="1650"/>
      <c r="Z51" s="828"/>
      <c r="AA51" s="1650"/>
      <c r="AB51" s="1650"/>
      <c r="AC51" s="1650"/>
      <c r="AD51" s="1650"/>
      <c r="AE51" s="1650"/>
      <c r="AF51" s="1916"/>
      <c r="AG51" s="906"/>
      <c r="AH51" s="906"/>
      <c r="AI51" s="906"/>
      <c r="AJ51" s="906"/>
      <c r="AK51" s="1925">
        <v>11</v>
      </c>
    </row>
    <row s="31261" customFormat="1" customHeight="1" ht="11.549999999999999">
      <c r="A52" s="1271"/>
      <c r="B52" s="1271"/>
      <c r="C52" s="1271"/>
      <c r="D52" s="1271"/>
      <c r="E52" s="1271"/>
      <c r="F52" s="1920"/>
      <c r="G52" s="1920"/>
      <c r="H52" s="635"/>
      <c r="N52" s="1650"/>
      <c r="P52" s="1650"/>
      <c r="Q52" s="1920"/>
      <c r="R52" s="1920"/>
      <c r="S52" s="1650"/>
      <c r="T52" s="1650"/>
      <c r="U52" s="1650"/>
      <c r="V52" s="1650"/>
      <c r="W52" s="1920"/>
      <c r="X52" s="1650"/>
      <c r="Y52" s="1650"/>
      <c r="Z52" s="828"/>
      <c r="AA52" s="1650"/>
      <c r="AB52" s="1650"/>
      <c r="AC52" s="1650"/>
      <c r="AD52" s="1650"/>
      <c r="AE52" s="1650"/>
      <c r="AF52" s="1916"/>
      <c r="AG52" s="906"/>
      <c r="AH52" s="906"/>
      <c r="AI52" s="906"/>
      <c r="AJ52" s="906"/>
      <c r="AK52" s="1925">
        <v>11</v>
      </c>
    </row>
    <row s="31261" customFormat="1" customHeight="1" ht="11.549999999999999">
      <c r="A53" s="1271"/>
      <c r="B53" s="1271"/>
      <c r="C53" s="1271"/>
      <c r="D53" s="1271"/>
      <c r="E53" s="1271"/>
      <c r="F53" s="1920"/>
      <c r="G53" s="1920"/>
      <c r="H53" s="635"/>
      <c r="N53" s="1650"/>
      <c r="P53" s="1650"/>
      <c r="Q53" s="1920"/>
      <c r="R53" s="1920"/>
      <c r="S53" s="1650"/>
      <c r="T53" s="1650"/>
      <c r="U53" s="1650"/>
      <c r="V53" s="1650"/>
      <c r="W53" s="1920"/>
      <c r="X53" s="1650"/>
      <c r="Y53" s="1650"/>
      <c r="Z53" s="828"/>
      <c r="AA53" s="1650"/>
      <c r="AB53" s="1650"/>
      <c r="AC53" s="1650"/>
      <c r="AD53" s="1650"/>
      <c r="AE53" s="1650"/>
      <c r="AF53" s="1916"/>
      <c r="AG53" s="906"/>
      <c r="AH53" s="906"/>
      <c r="AI53" s="906"/>
      <c r="AJ53" s="906"/>
      <c r="AK53" s="1925">
        <v>11</v>
      </c>
    </row>
    <row s="31261" customFormat="1" customHeight="1" ht="11.549999999999999">
      <c r="A54" s="1271"/>
      <c r="B54" s="1271"/>
      <c r="C54" s="1271"/>
      <c r="D54" s="1271"/>
      <c r="E54" s="1271"/>
      <c r="F54" s="1920"/>
      <c r="G54" s="1920"/>
      <c r="H54" s="635"/>
      <c r="N54" s="1650"/>
      <c r="P54" s="1650"/>
      <c r="Q54" s="1920"/>
      <c r="R54" s="1920"/>
      <c r="S54" s="1650"/>
      <c r="T54" s="1650"/>
      <c r="U54" s="1650"/>
      <c r="V54" s="1650"/>
      <c r="W54" s="1920"/>
      <c r="X54" s="1650"/>
      <c r="Y54" s="1650"/>
      <c r="Z54" s="828"/>
      <c r="AA54" s="1650"/>
      <c r="AB54" s="1650"/>
      <c r="AC54" s="1650"/>
      <c r="AD54" s="1650"/>
      <c r="AE54" s="1650"/>
      <c r="AF54" s="1916"/>
      <c r="AG54" s="906"/>
      <c r="AH54" s="906"/>
      <c r="AI54" s="906"/>
      <c r="AJ54" s="906"/>
      <c r="AK54" s="1925">
        <v>11</v>
      </c>
    </row>
    <row s="31261" customFormat="1" customHeight="1" ht="11.549999999999999">
      <c r="A55" s="1271"/>
      <c r="B55" s="1271"/>
      <c r="C55" s="1271"/>
      <c r="D55" s="1271"/>
      <c r="E55" s="1271"/>
      <c r="F55" s="1920"/>
      <c r="G55" s="1920"/>
      <c r="H55" s="635"/>
      <c r="N55" s="1650"/>
      <c r="P55" s="1650"/>
      <c r="Q55" s="1920"/>
      <c r="R55" s="1920"/>
      <c r="S55" s="1650"/>
      <c r="T55" s="1650"/>
      <c r="U55" s="1650"/>
      <c r="V55" s="1650"/>
      <c r="W55" s="1920"/>
      <c r="X55" s="1650"/>
      <c r="Y55" s="1650"/>
      <c r="Z55" s="828"/>
      <c r="AA55" s="1650"/>
      <c r="AB55" s="1650"/>
      <c r="AC55" s="1650"/>
      <c r="AD55" s="1650"/>
      <c r="AE55" s="1650"/>
      <c r="AF55" s="1916"/>
      <c r="AG55" s="906"/>
      <c r="AH55" s="906"/>
      <c r="AI55" s="906"/>
      <c r="AJ55" s="906"/>
      <c r="AK55" s="1925">
        <v>11</v>
      </c>
    </row>
    <row s="31261" customFormat="1" customHeight="1" ht="11.549999999999999">
      <c r="A56" s="1271"/>
      <c r="B56" s="1271"/>
      <c r="C56" s="1271"/>
      <c r="D56" s="1271"/>
      <c r="E56" s="1271"/>
      <c r="F56" s="1920"/>
      <c r="G56" s="1920"/>
      <c r="H56" s="635"/>
      <c r="N56" s="1650"/>
      <c r="P56" s="1650"/>
      <c r="Q56" s="1920"/>
      <c r="R56" s="1920"/>
      <c r="S56" s="1650"/>
      <c r="T56" s="1650"/>
      <c r="U56" s="1650"/>
      <c r="V56" s="1650"/>
      <c r="W56" s="1920"/>
      <c r="X56" s="1650"/>
      <c r="Y56" s="1650"/>
      <c r="Z56" s="828"/>
      <c r="AA56" s="1650"/>
      <c r="AB56" s="1650"/>
      <c r="AC56" s="1650"/>
      <c r="AD56" s="1650"/>
      <c r="AE56" s="1650"/>
      <c r="AF56" s="1916"/>
      <c r="AG56" s="906"/>
      <c r="AH56" s="906"/>
      <c r="AI56" s="906"/>
      <c r="AJ56" s="906"/>
      <c r="AK56" s="1925">
        <v>11</v>
      </c>
    </row>
    <row s="31261" customFormat="1" customHeight="1" ht="11.549999999999999">
      <c r="A57" s="1271"/>
      <c r="B57" s="1271"/>
      <c r="C57" s="1271"/>
      <c r="D57" s="1271"/>
      <c r="E57" s="1271"/>
      <c r="F57" s="1920"/>
      <c r="G57" s="1920"/>
      <c r="H57" s="635"/>
      <c r="N57" s="1650"/>
      <c r="P57" s="1650"/>
      <c r="Q57" s="1920"/>
      <c r="R57" s="1920"/>
      <c r="S57" s="1650"/>
      <c r="T57" s="1650"/>
      <c r="U57" s="1650"/>
      <c r="V57" s="1650"/>
      <c r="W57" s="1920"/>
      <c r="X57" s="1650"/>
      <c r="Y57" s="1650"/>
      <c r="Z57" s="828"/>
      <c r="AA57" s="1650"/>
      <c r="AB57" s="1650"/>
      <c r="AC57" s="1650"/>
      <c r="AD57" s="1650"/>
      <c r="AE57" s="1650"/>
      <c r="AF57" s="1916"/>
      <c r="AG57" s="906"/>
      <c r="AH57" s="906"/>
      <c r="AI57" s="906"/>
      <c r="AJ57" s="906"/>
      <c r="AK57" s="1925">
        <v>11</v>
      </c>
    </row>
    <row s="31261" customFormat="1" customHeight="1" ht="11.549999999999999">
      <c r="A58" s="1271"/>
      <c r="B58" s="1271"/>
      <c r="C58" s="1271"/>
      <c r="D58" s="1271"/>
      <c r="E58" s="1271"/>
      <c r="F58" s="1920"/>
      <c r="G58" s="1920"/>
      <c r="H58" s="635"/>
      <c r="N58" s="1650"/>
      <c r="P58" s="1650"/>
      <c r="Q58" s="1920"/>
      <c r="R58" s="1920"/>
      <c r="S58" s="1650"/>
      <c r="T58" s="1650"/>
      <c r="U58" s="1650"/>
      <c r="V58" s="1650"/>
      <c r="W58" s="1920"/>
      <c r="X58" s="1650"/>
      <c r="Y58" s="1650"/>
      <c r="Z58" s="828"/>
      <c r="AA58" s="1650"/>
      <c r="AB58" s="1650"/>
      <c r="AC58" s="1650"/>
      <c r="AD58" s="1650"/>
      <c r="AE58" s="1650"/>
      <c r="AF58" s="1916"/>
      <c r="AG58" s="906"/>
      <c r="AH58" s="906"/>
      <c r="AI58" s="906"/>
      <c r="AJ58" s="906"/>
      <c r="AK58" s="1925">
        <v>11</v>
      </c>
    </row>
    <row s="31261" customFormat="1" customHeight="1" ht="11.549999999999999">
      <c r="A59" s="1271"/>
      <c r="B59" s="1271"/>
      <c r="C59" s="1271"/>
      <c r="D59" s="1271"/>
      <c r="E59" s="1271"/>
      <c r="F59" s="1920"/>
      <c r="G59" s="1920"/>
      <c r="H59" s="635"/>
      <c r="N59" s="1650"/>
      <c r="P59" s="1650"/>
      <c r="Q59" s="1920"/>
      <c r="R59" s="1920"/>
      <c r="S59" s="1650"/>
      <c r="T59" s="1650"/>
      <c r="U59" s="1650"/>
      <c r="V59" s="1650"/>
      <c r="W59" s="1920"/>
      <c r="X59" s="1650"/>
      <c r="Y59" s="1650"/>
      <c r="Z59" s="828"/>
      <c r="AA59" s="1650"/>
      <c r="AB59" s="1650"/>
      <c r="AC59" s="1650"/>
      <c r="AD59" s="1650"/>
      <c r="AE59" s="1650"/>
      <c r="AF59" s="1916"/>
      <c r="AG59" s="906"/>
      <c r="AH59" s="906"/>
      <c r="AI59" s="906"/>
      <c r="AJ59" s="906"/>
      <c r="AK59" s="1925">
        <v>11</v>
      </c>
    </row>
    <row s="31261" customFormat="1" customHeight="1" ht="11.549999999999999">
      <c r="A60" s="1271"/>
      <c r="B60" s="1271"/>
      <c r="C60" s="1271"/>
      <c r="D60" s="1271"/>
      <c r="E60" s="1271"/>
      <c r="F60" s="1920"/>
      <c r="G60" s="1920"/>
      <c r="H60" s="635"/>
      <c r="N60" s="1650"/>
      <c r="P60" s="1650"/>
      <c r="Q60" s="1920"/>
      <c r="R60" s="1920"/>
      <c r="S60" s="1650"/>
      <c r="T60" s="1650"/>
      <c r="U60" s="1650"/>
      <c r="V60" s="1650"/>
      <c r="W60" s="1920"/>
      <c r="X60" s="1650"/>
      <c r="Y60" s="1650"/>
      <c r="Z60" s="828"/>
      <c r="AA60" s="1650"/>
      <c r="AB60" s="1650"/>
      <c r="AC60" s="1650"/>
      <c r="AD60" s="1650"/>
      <c r="AE60" s="1650"/>
      <c r="AF60" s="1916"/>
      <c r="AG60" s="906"/>
      <c r="AH60" s="906"/>
      <c r="AI60" s="906"/>
      <c r="AJ60" s="906"/>
      <c r="AK60" s="1925">
        <v>11</v>
      </c>
    </row>
    <row s="31261" customFormat="1" customHeight="1" ht="11.549999999999999">
      <c r="A61" s="1271"/>
      <c r="B61" s="1271"/>
      <c r="C61" s="1271"/>
      <c r="D61" s="1271"/>
      <c r="E61" s="1271"/>
      <c r="F61" s="1920"/>
      <c r="G61" s="1920"/>
      <c r="H61" s="635"/>
      <c r="N61" s="1650"/>
      <c r="P61" s="1650"/>
      <c r="Q61" s="1920"/>
      <c r="R61" s="1920"/>
      <c r="S61" s="1650"/>
      <c r="T61" s="1650"/>
      <c r="U61" s="1650"/>
      <c r="V61" s="1650"/>
      <c r="W61" s="1920"/>
      <c r="X61" s="1650"/>
      <c r="Y61" s="1650"/>
      <c r="Z61" s="828"/>
      <c r="AA61" s="1650"/>
      <c r="AB61" s="1650"/>
      <c r="AC61" s="1650"/>
      <c r="AD61" s="1650"/>
      <c r="AE61" s="1650"/>
      <c r="AF61" s="1916"/>
      <c r="AG61" s="906"/>
      <c r="AH61" s="906"/>
      <c r="AI61" s="906"/>
      <c r="AJ61" s="906"/>
      <c r="AK61" s="1925">
        <v>11</v>
      </c>
    </row>
    <row s="31261" customFormat="1" customHeight="1" ht="11.549999999999999">
      <c r="A62" s="1271"/>
      <c r="B62" s="1271"/>
      <c r="C62" s="1271"/>
      <c r="D62" s="1271"/>
      <c r="E62" s="1271"/>
      <c r="F62" s="1920"/>
      <c r="G62" s="1920"/>
      <c r="H62" s="635"/>
      <c r="N62" s="1650"/>
      <c r="P62" s="1650"/>
      <c r="Q62" s="1920"/>
      <c r="R62" s="1920"/>
      <c r="S62" s="1650"/>
      <c r="T62" s="1650"/>
      <c r="U62" s="1650"/>
      <c r="V62" s="1650"/>
      <c r="W62" s="1920"/>
      <c r="X62" s="1650"/>
      <c r="Y62" s="1650"/>
      <c r="Z62" s="828"/>
      <c r="AA62" s="1650"/>
      <c r="AB62" s="1650"/>
      <c r="AC62" s="1650"/>
      <c r="AD62" s="1650"/>
      <c r="AE62" s="1650"/>
      <c r="AF62" s="1916"/>
      <c r="AG62" s="906"/>
      <c r="AH62" s="906"/>
      <c r="AI62" s="906"/>
      <c r="AJ62" s="906"/>
      <c r="AK62" s="1925">
        <v>11</v>
      </c>
    </row>
    <row s="31261" customFormat="1" customHeight="1" ht="11.549999999999999">
      <c r="A63" s="1271"/>
      <c r="B63" s="1271"/>
      <c r="C63" s="1271"/>
      <c r="D63" s="1271"/>
      <c r="E63" s="1271"/>
      <c r="F63" s="1920"/>
      <c r="G63" s="1920"/>
      <c r="H63" s="635"/>
      <c r="N63" s="1650"/>
      <c r="P63" s="1650"/>
      <c r="Q63" s="1920"/>
      <c r="R63" s="1920"/>
      <c r="S63" s="1650"/>
      <c r="T63" s="1650"/>
      <c r="U63" s="1650"/>
      <c r="V63" s="1650"/>
      <c r="W63" s="1920"/>
      <c r="X63" s="1650"/>
      <c r="Y63" s="1650"/>
      <c r="Z63" s="828"/>
      <c r="AA63" s="1650"/>
      <c r="AB63" s="1650"/>
      <c r="AC63" s="1650"/>
      <c r="AD63" s="1650"/>
      <c r="AE63" s="1650"/>
      <c r="AF63" s="1916"/>
      <c r="AG63" s="906"/>
      <c r="AH63" s="906"/>
      <c r="AI63" s="906"/>
      <c r="AJ63" s="906"/>
      <c r="AK63" s="1925">
        <v>11</v>
      </c>
    </row>
    <row s="31261" customFormat="1" customHeight="1" ht="11.549999999999999">
      <c r="A64" s="1271"/>
      <c r="B64" s="1271"/>
      <c r="C64" s="1271"/>
      <c r="D64" s="1271"/>
      <c r="E64" s="1271"/>
      <c r="F64" s="1920"/>
      <c r="G64" s="1920"/>
      <c r="H64" s="635"/>
      <c r="N64" s="1650"/>
      <c r="P64" s="1650"/>
      <c r="Q64" s="1920"/>
      <c r="R64" s="1920"/>
      <c r="S64" s="1650"/>
      <c r="T64" s="1650"/>
      <c r="U64" s="1650"/>
      <c r="V64" s="1650"/>
      <c r="W64" s="1920"/>
      <c r="X64" s="1650"/>
      <c r="Y64" s="1650"/>
      <c r="Z64" s="828"/>
      <c r="AA64" s="1650"/>
      <c r="AB64" s="1650"/>
      <c r="AC64" s="1650"/>
      <c r="AD64" s="1650"/>
      <c r="AE64" s="1650"/>
      <c r="AF64" s="1916"/>
      <c r="AG64" s="906"/>
      <c r="AH64" s="906"/>
      <c r="AI64" s="906"/>
      <c r="AJ64" s="906"/>
      <c r="AK64" s="1925">
        <v>11</v>
      </c>
    </row>
    <row s="31261" customFormat="1" customHeight="1" ht="11.549999999999999">
      <c r="A65" s="1271"/>
      <c r="B65" s="1271"/>
      <c r="C65" s="1271"/>
      <c r="D65" s="1271"/>
      <c r="E65" s="1271"/>
      <c r="F65" s="1920"/>
      <c r="G65" s="1920"/>
      <c r="H65" s="635"/>
      <c r="N65" s="1650"/>
      <c r="P65" s="1650"/>
      <c r="Q65" s="1920"/>
      <c r="R65" s="1920"/>
      <c r="S65" s="1650"/>
      <c r="T65" s="1650"/>
      <c r="U65" s="1650"/>
      <c r="V65" s="1650"/>
      <c r="W65" s="1920"/>
      <c r="X65" s="1650"/>
      <c r="Y65" s="1650"/>
      <c r="Z65" s="828"/>
      <c r="AA65" s="1650"/>
      <c r="AB65" s="1650"/>
      <c r="AC65" s="1650"/>
      <c r="AD65" s="1650"/>
      <c r="AE65" s="1650"/>
      <c r="AF65" s="1916"/>
      <c r="AG65" s="906"/>
      <c r="AH65" s="906"/>
      <c r="AI65" s="906"/>
      <c r="AJ65" s="906"/>
      <c r="AK65" s="1925">
        <v>11</v>
      </c>
    </row>
    <row s="31261" customFormat="1" customHeight="1" ht="11.549999999999999">
      <c r="A66" s="1271"/>
      <c r="B66" s="1271"/>
      <c r="C66" s="1271"/>
      <c r="D66" s="1271"/>
      <c r="E66" s="1271"/>
      <c r="F66" s="1920"/>
      <c r="G66" s="1920"/>
      <c r="H66" s="635"/>
      <c r="N66" s="1650"/>
      <c r="P66" s="1650"/>
      <c r="Q66" s="1920"/>
      <c r="R66" s="1920"/>
      <c r="S66" s="1650"/>
      <c r="T66" s="1650"/>
      <c r="U66" s="1650"/>
      <c r="V66" s="1650"/>
      <c r="W66" s="1920"/>
      <c r="X66" s="1650"/>
      <c r="Y66" s="1650"/>
      <c r="Z66" s="828"/>
      <c r="AA66" s="1650"/>
      <c r="AB66" s="1650"/>
      <c r="AC66" s="1650"/>
      <c r="AD66" s="1650"/>
      <c r="AE66" s="1650"/>
      <c r="AF66" s="1916"/>
      <c r="AG66" s="906"/>
      <c r="AH66" s="906"/>
      <c r="AI66" s="906"/>
      <c r="AJ66" s="906"/>
      <c r="AK66" s="1925">
        <v>11</v>
      </c>
    </row>
    <row s="31261" customFormat="1" customHeight="1" ht="11.549999999999999">
      <c r="A67" s="1271"/>
      <c r="B67" s="1271"/>
      <c r="C67" s="1271"/>
      <c r="D67" s="1271"/>
      <c r="E67" s="1271"/>
      <c r="F67" s="1920"/>
      <c r="G67" s="1920"/>
      <c r="H67" s="635"/>
      <c r="N67" s="1650"/>
      <c r="P67" s="1650"/>
      <c r="Q67" s="1920"/>
      <c r="R67" s="1920"/>
      <c r="S67" s="1650"/>
      <c r="T67" s="1650"/>
      <c r="U67" s="1650"/>
      <c r="V67" s="1650"/>
      <c r="W67" s="1920"/>
      <c r="X67" s="1650"/>
      <c r="Y67" s="1650"/>
      <c r="Z67" s="828"/>
      <c r="AA67" s="1650"/>
      <c r="AB67" s="1650"/>
      <c r="AC67" s="1650"/>
      <c r="AD67" s="1650"/>
      <c r="AE67" s="1650"/>
      <c r="AF67" s="1916"/>
      <c r="AG67" s="906"/>
      <c r="AH67" s="906"/>
      <c r="AI67" s="906"/>
      <c r="AJ67" s="906"/>
      <c r="AK67" s="1925">
        <v>11</v>
      </c>
    </row>
    <row s="31261" customFormat="1" customHeight="1" ht="11.549999999999999">
      <c r="A68" s="1271"/>
      <c r="B68" s="1271"/>
      <c r="C68" s="1271"/>
      <c r="D68" s="1271"/>
      <c r="E68" s="1271"/>
      <c r="F68" s="1920"/>
      <c r="G68" s="1920"/>
      <c r="H68" s="635"/>
      <c r="N68" s="1650"/>
      <c r="P68" s="1650"/>
      <c r="Q68" s="1920"/>
      <c r="R68" s="1920"/>
      <c r="S68" s="1650"/>
      <c r="T68" s="1650"/>
      <c r="U68" s="1650"/>
      <c r="V68" s="1650"/>
      <c r="W68" s="1920"/>
      <c r="X68" s="1650"/>
      <c r="Y68" s="1650"/>
      <c r="Z68" s="828"/>
      <c r="AA68" s="1650"/>
      <c r="AB68" s="1650"/>
      <c r="AC68" s="1650"/>
      <c r="AD68" s="1650"/>
      <c r="AE68" s="1650"/>
      <c r="AF68" s="1916"/>
      <c r="AG68" s="906"/>
      <c r="AH68" s="906"/>
      <c r="AI68" s="906"/>
      <c r="AJ68" s="906"/>
      <c r="AK68" s="1925">
        <v>11</v>
      </c>
    </row>
    <row s="31261" customFormat="1" customHeight="1" ht="11.549999999999999">
      <c r="A69" s="1271"/>
      <c r="B69" s="1271"/>
      <c r="C69" s="1271"/>
      <c r="D69" s="1271"/>
      <c r="E69" s="1271"/>
      <c r="F69" s="1920"/>
      <c r="G69" s="1920"/>
      <c r="H69" s="635"/>
      <c r="N69" s="1650"/>
      <c r="P69" s="1650"/>
      <c r="Q69" s="1920"/>
      <c r="R69" s="1920"/>
      <c r="S69" s="1650"/>
      <c r="T69" s="1650"/>
      <c r="U69" s="1650"/>
      <c r="V69" s="1650"/>
      <c r="W69" s="1920"/>
      <c r="X69" s="1650"/>
      <c r="Y69" s="1650"/>
      <c r="Z69" s="828"/>
      <c r="AA69" s="1650"/>
      <c r="AB69" s="1650"/>
      <c r="AC69" s="1650"/>
      <c r="AD69" s="1650"/>
      <c r="AE69" s="1650"/>
      <c r="AF69" s="1916"/>
      <c r="AG69" s="906"/>
      <c r="AH69" s="906"/>
      <c r="AI69" s="906"/>
      <c r="AJ69" s="906"/>
      <c r="AK69" s="1925">
        <v>11</v>
      </c>
    </row>
    <row s="31261" customFormat="1" customHeight="1" ht="11.549999999999999">
      <c r="A70" s="1271"/>
      <c r="B70" s="1271"/>
      <c r="C70" s="1271"/>
      <c r="D70" s="1271"/>
      <c r="E70" s="1271"/>
      <c r="F70" s="1920"/>
      <c r="G70" s="1920"/>
      <c r="H70" s="635"/>
      <c r="N70" s="1650"/>
      <c r="P70" s="1650"/>
      <c r="Q70" s="1920"/>
      <c r="R70" s="1920"/>
      <c r="S70" s="1650"/>
      <c r="T70" s="1650"/>
      <c r="U70" s="1650"/>
      <c r="V70" s="1650"/>
      <c r="W70" s="1920"/>
      <c r="X70" s="1650"/>
      <c r="Y70" s="1650"/>
      <c r="Z70" s="828"/>
      <c r="AA70" s="1650"/>
      <c r="AB70" s="1650"/>
      <c r="AC70" s="1650"/>
      <c r="AD70" s="1650"/>
      <c r="AE70" s="1650"/>
      <c r="AF70" s="1916"/>
      <c r="AG70" s="906"/>
      <c r="AH70" s="906"/>
      <c r="AI70" s="906"/>
      <c r="AJ70" s="906"/>
      <c r="AK70" s="1925">
        <v>11</v>
      </c>
    </row>
    <row s="31261" customFormat="1" customHeight="1" ht="11.549999999999999">
      <c r="A71" s="1271"/>
      <c r="B71" s="1271"/>
      <c r="C71" s="1271"/>
      <c r="D71" s="1271"/>
      <c r="E71" s="1271"/>
      <c r="F71" s="1920"/>
      <c r="G71" s="1920"/>
      <c r="H71" s="635"/>
      <c r="N71" s="1650"/>
      <c r="P71" s="1650"/>
      <c r="Q71" s="1920"/>
      <c r="R71" s="1920"/>
      <c r="S71" s="1650"/>
      <c r="T71" s="1650"/>
      <c r="U71" s="1650"/>
      <c r="V71" s="1650"/>
      <c r="W71" s="1920"/>
      <c r="X71" s="1650"/>
      <c r="Y71" s="1650"/>
      <c r="Z71" s="828"/>
      <c r="AA71" s="1650"/>
      <c r="AB71" s="1650"/>
      <c r="AC71" s="1650"/>
      <c r="AD71" s="1650"/>
      <c r="AE71" s="1650"/>
      <c r="AF71" s="1916"/>
      <c r="AG71" s="906"/>
      <c r="AH71" s="906"/>
      <c r="AI71" s="906"/>
      <c r="AJ71" s="906"/>
      <c r="AK71" s="1925">
        <v>11</v>
      </c>
    </row>
    <row s="31261" customFormat="1" customHeight="1" ht="11.549999999999999">
      <c r="A72" s="1271"/>
      <c r="B72" s="1271"/>
      <c r="C72" s="1271"/>
      <c r="D72" s="1271"/>
      <c r="E72" s="1271"/>
      <c r="F72" s="1920"/>
      <c r="G72" s="1920"/>
      <c r="H72" s="635"/>
      <c r="N72" s="1650"/>
      <c r="P72" s="1650"/>
      <c r="Q72" s="1920"/>
      <c r="R72" s="1920"/>
      <c r="S72" s="1650"/>
      <c r="T72" s="1650"/>
      <c r="U72" s="1650"/>
      <c r="V72" s="1650"/>
      <c r="W72" s="1920"/>
      <c r="X72" s="1650"/>
      <c r="Y72" s="1650"/>
      <c r="Z72" s="828"/>
      <c r="AA72" s="1650"/>
      <c r="AB72" s="1650"/>
      <c r="AC72" s="1650"/>
      <c r="AD72" s="1650"/>
      <c r="AE72" s="1650"/>
      <c r="AF72" s="1916"/>
      <c r="AG72" s="906"/>
      <c r="AH72" s="906"/>
      <c r="AI72" s="906"/>
      <c r="AJ72" s="906"/>
      <c r="AK72" s="1925">
        <v>11</v>
      </c>
    </row>
    <row s="31261" customFormat="1" customHeight="1" ht="11.549999999999999">
      <c r="A73" s="1271"/>
      <c r="B73" s="1271"/>
      <c r="C73" s="1271"/>
      <c r="D73" s="1271"/>
      <c r="E73" s="1271"/>
      <c r="F73" s="1920"/>
      <c r="G73" s="1920"/>
      <c r="H73" s="635"/>
      <c r="N73" s="1650"/>
      <c r="P73" s="1650"/>
      <c r="Q73" s="1920"/>
      <c r="R73" s="1920"/>
      <c r="S73" s="1650"/>
      <c r="T73" s="1650"/>
      <c r="U73" s="1650"/>
      <c r="V73" s="1650"/>
      <c r="W73" s="1920"/>
      <c r="X73" s="1650"/>
      <c r="Y73" s="1650"/>
      <c r="Z73" s="828"/>
      <c r="AA73" s="1650"/>
      <c r="AB73" s="1650"/>
      <c r="AC73" s="1650"/>
      <c r="AD73" s="1650"/>
      <c r="AE73" s="1650"/>
      <c r="AF73" s="1916"/>
      <c r="AG73" s="906"/>
      <c r="AH73" s="906"/>
      <c r="AI73" s="906"/>
      <c r="AJ73" s="906"/>
      <c r="AK73" s="1925">
        <v>11</v>
      </c>
    </row>
    <row s="31261" customFormat="1" customHeight="1" ht="11.549999999999999">
      <c r="A74" s="1271"/>
      <c r="B74" s="1271"/>
      <c r="C74" s="1271"/>
      <c r="D74" s="1271"/>
      <c r="E74" s="1271"/>
      <c r="F74" s="1920"/>
      <c r="G74" s="1920"/>
      <c r="H74" s="635"/>
      <c r="N74" s="1650"/>
      <c r="P74" s="1650"/>
      <c r="Q74" s="1920"/>
      <c r="R74" s="1920"/>
      <c r="S74" s="1650"/>
      <c r="T74" s="1650"/>
      <c r="U74" s="1650"/>
      <c r="V74" s="1650"/>
      <c r="W74" s="1920"/>
      <c r="X74" s="1650"/>
      <c r="Y74" s="1650"/>
      <c r="Z74" s="828"/>
      <c r="AA74" s="1650"/>
      <c r="AB74" s="1650"/>
      <c r="AC74" s="1650"/>
      <c r="AD74" s="1650"/>
      <c r="AE74" s="1650"/>
      <c r="AF74" s="1916"/>
      <c r="AG74" s="906"/>
      <c r="AH74" s="906"/>
      <c r="AI74" s="906"/>
      <c r="AJ74" s="906"/>
      <c r="AK74" s="1925">
        <v>11</v>
      </c>
    </row>
    <row s="31261" customFormat="1" customHeight="1" ht="11.549999999999999">
      <c r="A75" s="1271"/>
      <c r="B75" s="1271"/>
      <c r="C75" s="1271"/>
      <c r="D75" s="1271"/>
      <c r="E75" s="1271"/>
      <c r="F75" s="1920"/>
      <c r="G75" s="1920"/>
      <c r="H75" s="635"/>
      <c r="N75" s="1650"/>
      <c r="P75" s="1650"/>
      <c r="Q75" s="1920"/>
      <c r="R75" s="1920"/>
      <c r="S75" s="1650"/>
      <c r="T75" s="1650"/>
      <c r="U75" s="1650"/>
      <c r="V75" s="1650"/>
      <c r="W75" s="1920"/>
      <c r="X75" s="1650"/>
      <c r="Y75" s="1650"/>
      <c r="Z75" s="828"/>
      <c r="AA75" s="1650"/>
      <c r="AB75" s="1650"/>
      <c r="AC75" s="1650"/>
      <c r="AD75" s="1650"/>
      <c r="AE75" s="1650"/>
      <c r="AF75" s="1916"/>
      <c r="AG75" s="906"/>
      <c r="AH75" s="906"/>
      <c r="AI75" s="906"/>
      <c r="AJ75" s="906"/>
      <c r="AK75" s="1925">
        <v>11</v>
      </c>
    </row>
    <row s="31261" customFormat="1" customHeight="1" ht="11.549999999999999">
      <c r="A76" s="1271"/>
      <c r="B76" s="1271"/>
      <c r="C76" s="1271"/>
      <c r="D76" s="1271"/>
      <c r="E76" s="1271"/>
      <c r="F76" s="1920"/>
      <c r="G76" s="1920"/>
      <c r="H76" s="635"/>
      <c r="N76" s="1650"/>
      <c r="P76" s="1650"/>
      <c r="Q76" s="1920"/>
      <c r="R76" s="1920"/>
      <c r="S76" s="1650"/>
      <c r="T76" s="1650"/>
      <c r="U76" s="1650"/>
      <c r="V76" s="1650"/>
      <c r="W76" s="1920"/>
      <c r="X76" s="1650"/>
      <c r="Y76" s="1650"/>
      <c r="Z76" s="828"/>
      <c r="AA76" s="1650"/>
      <c r="AB76" s="1650"/>
      <c r="AC76" s="1650"/>
      <c r="AD76" s="1650"/>
      <c r="AE76" s="1650"/>
      <c r="AF76" s="1916"/>
      <c r="AG76" s="906"/>
      <c r="AH76" s="906"/>
      <c r="AI76" s="906"/>
      <c r="AJ76" s="906"/>
      <c r="AK76" s="1925">
        <v>11</v>
      </c>
    </row>
    <row s="31261" customFormat="1" customHeight="1" ht="11.549999999999999">
      <c r="A77" s="1271"/>
      <c r="B77" s="1271"/>
      <c r="C77" s="1271"/>
      <c r="D77" s="1271"/>
      <c r="E77" s="1271"/>
      <c r="F77" s="1920"/>
      <c r="G77" s="1920"/>
      <c r="H77" s="635"/>
      <c r="N77" s="1650"/>
      <c r="P77" s="1650"/>
      <c r="Q77" s="1920"/>
      <c r="R77" s="1920"/>
      <c r="S77" s="1650"/>
      <c r="T77" s="1650"/>
      <c r="U77" s="1650"/>
      <c r="V77" s="1650"/>
      <c r="W77" s="1920"/>
      <c r="X77" s="1650"/>
      <c r="Y77" s="1650"/>
      <c r="Z77" s="828"/>
      <c r="AA77" s="1650"/>
      <c r="AB77" s="1650"/>
      <c r="AC77" s="1650"/>
      <c r="AD77" s="1650"/>
      <c r="AE77" s="1650"/>
      <c r="AF77" s="1916"/>
      <c r="AG77" s="906"/>
      <c r="AH77" s="906"/>
      <c r="AI77" s="906"/>
      <c r="AJ77" s="906"/>
      <c r="AK77" s="1925">
        <v>11</v>
      </c>
    </row>
    <row s="31261" customFormat="1" customHeight="1" ht="11.549999999999999">
      <c r="A78" s="1271"/>
      <c r="B78" s="1271"/>
      <c r="C78" s="1271"/>
      <c r="D78" s="1271"/>
      <c r="E78" s="1271"/>
      <c r="F78" s="1920"/>
      <c r="G78" s="1920"/>
      <c r="H78" s="635"/>
      <c r="N78" s="1650"/>
      <c r="P78" s="1650"/>
      <c r="Q78" s="1920"/>
      <c r="R78" s="1920"/>
      <c r="S78" s="1650"/>
      <c r="T78" s="1650"/>
      <c r="U78" s="1650"/>
      <c r="V78" s="1650"/>
      <c r="W78" s="1920"/>
      <c r="X78" s="1650"/>
      <c r="Y78" s="1650"/>
      <c r="Z78" s="828"/>
      <c r="AA78" s="1650"/>
      <c r="AB78" s="1650"/>
      <c r="AC78" s="1650"/>
      <c r="AD78" s="1650"/>
      <c r="AE78" s="1650"/>
      <c r="AF78" s="1916"/>
      <c r="AG78" s="906"/>
      <c r="AH78" s="906"/>
      <c r="AI78" s="906"/>
      <c r="AJ78" s="906"/>
      <c r="AK78" s="1925">
        <v>11</v>
      </c>
    </row>
    <row s="31261" customFormat="1" customHeight="1" ht="11.549999999999999">
      <c r="A79" s="1271"/>
      <c r="B79" s="1271"/>
      <c r="C79" s="1271"/>
      <c r="D79" s="1271"/>
      <c r="E79" s="1271"/>
      <c r="F79" s="1920"/>
      <c r="G79" s="1920"/>
      <c r="H79" s="635"/>
      <c r="N79" s="1650"/>
      <c r="P79" s="1650"/>
      <c r="Q79" s="1920"/>
      <c r="R79" s="1920"/>
      <c r="S79" s="1650"/>
      <c r="T79" s="1650"/>
      <c r="U79" s="1650"/>
      <c r="V79" s="1650"/>
      <c r="W79" s="1920"/>
      <c r="X79" s="1650"/>
      <c r="Y79" s="1650"/>
      <c r="Z79" s="828"/>
      <c r="AA79" s="1650"/>
      <c r="AB79" s="1650"/>
      <c r="AC79" s="1650"/>
      <c r="AD79" s="1650"/>
      <c r="AE79" s="1650"/>
      <c r="AF79" s="1916"/>
      <c r="AG79" s="906"/>
      <c r="AH79" s="906"/>
      <c r="AI79" s="906"/>
      <c r="AJ79" s="906"/>
      <c r="AK79" s="1925">
        <v>11</v>
      </c>
    </row>
    <row s="31261" customFormat="1" customHeight="1" ht="11.549999999999999">
      <c r="A80" s="1271"/>
      <c r="B80" s="1271"/>
      <c r="C80" s="1271"/>
      <c r="D80" s="1271"/>
      <c r="E80" s="1271"/>
      <c r="F80" s="1920"/>
      <c r="G80" s="1920"/>
      <c r="H80" s="635"/>
      <c r="N80" s="1650"/>
      <c r="P80" s="1650"/>
      <c r="Q80" s="1920"/>
      <c r="R80" s="1920"/>
      <c r="S80" s="1650"/>
      <c r="T80" s="1650"/>
      <c r="U80" s="1650"/>
      <c r="V80" s="1650"/>
      <c r="W80" s="1920"/>
      <c r="X80" s="1650"/>
      <c r="Y80" s="1650"/>
      <c r="Z80" s="828"/>
      <c r="AA80" s="1650"/>
      <c r="AB80" s="1650"/>
      <c r="AC80" s="1650"/>
      <c r="AD80" s="1650"/>
      <c r="AE80" s="1650"/>
      <c r="AF80" s="1916"/>
      <c r="AG80" s="906"/>
      <c r="AH80" s="906"/>
      <c r="AI80" s="906"/>
      <c r="AJ80" s="906"/>
      <c r="AK80" s="1925">
        <v>11</v>
      </c>
    </row>
    <row s="31261" customFormat="1" customHeight="1" ht="11.549999999999999">
      <c r="A81" s="1271"/>
      <c r="B81" s="1271"/>
      <c r="C81" s="1271"/>
      <c r="D81" s="1271"/>
      <c r="E81" s="1271"/>
      <c r="F81" s="1920"/>
      <c r="G81" s="1920"/>
      <c r="H81" s="635"/>
      <c r="N81" s="1650"/>
      <c r="P81" s="1650"/>
      <c r="Q81" s="1920"/>
      <c r="R81" s="1920"/>
      <c r="S81" s="1650"/>
      <c r="T81" s="1650"/>
      <c r="U81" s="1650"/>
      <c r="V81" s="1650"/>
      <c r="W81" s="1920"/>
      <c r="X81" s="1650"/>
      <c r="Y81" s="1650"/>
      <c r="Z81" s="828"/>
      <c r="AA81" s="1650"/>
      <c r="AB81" s="1650"/>
      <c r="AC81" s="1650"/>
      <c r="AD81" s="1650"/>
      <c r="AE81" s="1650"/>
      <c r="AF81" s="1916"/>
      <c r="AG81" s="906"/>
      <c r="AH81" s="906"/>
      <c r="AI81" s="906"/>
      <c r="AJ81" s="906"/>
      <c r="AK81" s="1925">
        <v>11</v>
      </c>
    </row>
    <row s="31261" customFormat="1" customHeight="1" ht="11.549999999999999">
      <c r="A82" s="1271"/>
      <c r="B82" s="1271"/>
      <c r="C82" s="1271"/>
      <c r="D82" s="1271"/>
      <c r="E82" s="1271"/>
      <c r="F82" s="1920"/>
      <c r="G82" s="1920"/>
      <c r="H82" s="635"/>
      <c r="N82" s="1650"/>
      <c r="P82" s="1650"/>
      <c r="Q82" s="1920"/>
      <c r="R82" s="1920"/>
      <c r="S82" s="1650"/>
      <c r="T82" s="1650"/>
      <c r="U82" s="1650"/>
      <c r="V82" s="1650"/>
      <c r="W82" s="1920"/>
      <c r="X82" s="1650"/>
      <c r="Y82" s="1650"/>
      <c r="Z82" s="828"/>
      <c r="AA82" s="1650"/>
      <c r="AB82" s="1650"/>
      <c r="AC82" s="1650"/>
      <c r="AD82" s="1650"/>
      <c r="AE82" s="1650"/>
      <c r="AF82" s="1916"/>
      <c r="AG82" s="906"/>
      <c r="AH82" s="906"/>
      <c r="AI82" s="906"/>
      <c r="AJ82" s="906"/>
      <c r="AK82" s="1925">
        <v>11</v>
      </c>
    </row>
    <row s="31261" customFormat="1" customHeight="1" ht="11.549999999999999">
      <c r="A83" s="1271"/>
      <c r="B83" s="1271"/>
      <c r="C83" s="1271"/>
      <c r="D83" s="1271"/>
      <c r="E83" s="1271"/>
      <c r="F83" s="1920"/>
      <c r="G83" s="1920"/>
      <c r="H83" s="635"/>
      <c r="N83" s="1650"/>
      <c r="P83" s="1650"/>
      <c r="Q83" s="1920"/>
      <c r="R83" s="1920"/>
      <c r="S83" s="1650"/>
      <c r="T83" s="1650"/>
      <c r="U83" s="1650"/>
      <c r="V83" s="1650"/>
      <c r="W83" s="1920"/>
      <c r="X83" s="1650"/>
      <c r="Y83" s="1650"/>
      <c r="Z83" s="828"/>
      <c r="AA83" s="1650"/>
      <c r="AB83" s="1650"/>
      <c r="AC83" s="1650"/>
      <c r="AD83" s="1650"/>
      <c r="AE83" s="1650"/>
      <c r="AF83" s="1916"/>
      <c r="AG83" s="906"/>
      <c r="AH83" s="906"/>
      <c r="AI83" s="906"/>
      <c r="AJ83" s="906"/>
      <c r="AK83" s="1925">
        <v>11</v>
      </c>
    </row>
    <row s="31261" customFormat="1" customHeight="1" ht="11.549999999999999">
      <c r="A84" s="1271"/>
      <c r="B84" s="1271"/>
      <c r="C84" s="1271"/>
      <c r="D84" s="1271"/>
      <c r="E84" s="1271"/>
      <c r="F84" s="1920"/>
      <c r="G84" s="1920"/>
      <c r="H84" s="635"/>
      <c r="N84" s="1650"/>
      <c r="P84" s="1650"/>
      <c r="Q84" s="1920"/>
      <c r="R84" s="1920"/>
      <c r="S84" s="1650"/>
      <c r="T84" s="1650"/>
      <c r="U84" s="1650"/>
      <c r="V84" s="1650"/>
      <c r="W84" s="1920"/>
      <c r="X84" s="1650"/>
      <c r="Y84" s="1650"/>
      <c r="Z84" s="828"/>
      <c r="AA84" s="1650"/>
      <c r="AB84" s="1650"/>
      <c r="AC84" s="1650"/>
      <c r="AD84" s="1650"/>
      <c r="AE84" s="1650"/>
      <c r="AF84" s="1916"/>
      <c r="AG84" s="906"/>
      <c r="AH84" s="906"/>
      <c r="AI84" s="906"/>
      <c r="AJ84" s="906"/>
      <c r="AK84" s="1925">
        <v>11</v>
      </c>
    </row>
    <row s="31261" customFormat="1" customHeight="1" ht="11.549999999999999">
      <c r="A85" s="1271"/>
      <c r="B85" s="1271"/>
      <c r="C85" s="1271"/>
      <c r="D85" s="1271"/>
      <c r="E85" s="1271"/>
      <c r="F85" s="1920"/>
      <c r="G85" s="1920"/>
      <c r="H85" s="635"/>
      <c r="N85" s="1650"/>
      <c r="P85" s="1650"/>
      <c r="Q85" s="1920"/>
      <c r="R85" s="1920"/>
      <c r="S85" s="1650"/>
      <c r="T85" s="1650"/>
      <c r="U85" s="1650"/>
      <c r="V85" s="1650"/>
      <c r="W85" s="1920"/>
      <c r="X85" s="1650"/>
      <c r="Y85" s="1650"/>
      <c r="Z85" s="828"/>
      <c r="AA85" s="1650"/>
      <c r="AB85" s="1650"/>
      <c r="AC85" s="1650"/>
      <c r="AD85" s="1650"/>
      <c r="AE85" s="1650"/>
      <c r="AF85" s="1916"/>
      <c r="AG85" s="906"/>
      <c r="AH85" s="906"/>
      <c r="AI85" s="906"/>
      <c r="AJ85" s="906"/>
      <c r="AK85" s="1925">
        <v>11</v>
      </c>
    </row>
    <row s="31261" customFormat="1" customHeight="1" ht="11.549999999999999">
      <c r="A86" s="1271"/>
      <c r="B86" s="1271"/>
      <c r="C86" s="1271"/>
      <c r="D86" s="1271"/>
      <c r="E86" s="1271"/>
      <c r="F86" s="1920"/>
      <c r="G86" s="1920"/>
      <c r="H86" s="635"/>
      <c r="N86" s="1650"/>
      <c r="P86" s="1650"/>
      <c r="Q86" s="1920"/>
      <c r="R86" s="1920"/>
      <c r="S86" s="1650"/>
      <c r="T86" s="1650"/>
      <c r="U86" s="1650"/>
      <c r="V86" s="1650"/>
      <c r="W86" s="1920"/>
      <c r="X86" s="1650"/>
      <c r="Y86" s="1650"/>
      <c r="Z86" s="828"/>
      <c r="AA86" s="1650"/>
      <c r="AB86" s="1650"/>
      <c r="AC86" s="1650"/>
      <c r="AD86" s="1650"/>
      <c r="AE86" s="1650"/>
      <c r="AF86" s="1916"/>
      <c r="AG86" s="906"/>
      <c r="AH86" s="906"/>
      <c r="AI86" s="906"/>
      <c r="AJ86" s="906"/>
      <c r="AK86" s="1925">
        <v>11</v>
      </c>
    </row>
    <row s="31261" customFormat="1" customHeight="1" ht="11.549999999999999">
      <c r="A87" s="1271"/>
      <c r="B87" s="1271"/>
      <c r="C87" s="1271"/>
      <c r="D87" s="1271"/>
      <c r="E87" s="1271"/>
      <c r="F87" s="1920"/>
      <c r="G87" s="1920"/>
      <c r="H87" s="635"/>
      <c r="N87" s="1650"/>
      <c r="P87" s="1650"/>
      <c r="Q87" s="1920"/>
      <c r="R87" s="1920"/>
      <c r="S87" s="1650"/>
      <c r="T87" s="1650"/>
      <c r="U87" s="1650"/>
      <c r="V87" s="1650"/>
      <c r="W87" s="1920"/>
      <c r="X87" s="1650"/>
      <c r="Y87" s="1650"/>
      <c r="Z87" s="828"/>
      <c r="AA87" s="1650"/>
      <c r="AB87" s="1650"/>
      <c r="AC87" s="1650"/>
      <c r="AD87" s="1650"/>
      <c r="AE87" s="1650"/>
      <c r="AF87" s="1916"/>
      <c r="AG87" s="906"/>
      <c r="AH87" s="906"/>
      <c r="AI87" s="906"/>
      <c r="AJ87" s="906"/>
      <c r="AK87" s="1925">
        <v>11</v>
      </c>
    </row>
    <row s="31261" customFormat="1" customHeight="1" ht="11.549999999999999">
      <c r="A88" s="1271"/>
      <c r="B88" s="1271"/>
      <c r="C88" s="1271"/>
      <c r="D88" s="1271"/>
      <c r="E88" s="1271"/>
      <c r="F88" s="1920"/>
      <c r="G88" s="1920"/>
      <c r="H88" s="635"/>
      <c r="N88" s="1650"/>
      <c r="P88" s="1650"/>
      <c r="Q88" s="1920"/>
      <c r="R88" s="1920"/>
      <c r="S88" s="1650"/>
      <c r="T88" s="1650"/>
      <c r="U88" s="1650"/>
      <c r="V88" s="1650"/>
      <c r="W88" s="1920"/>
      <c r="X88" s="1650"/>
      <c r="Y88" s="1650"/>
      <c r="Z88" s="828"/>
      <c r="AA88" s="1650"/>
      <c r="AB88" s="1650"/>
      <c r="AC88" s="1650"/>
      <c r="AD88" s="1650"/>
      <c r="AE88" s="1650"/>
      <c r="AF88" s="1916"/>
      <c r="AG88" s="906"/>
      <c r="AH88" s="906"/>
      <c r="AI88" s="906"/>
      <c r="AJ88" s="906"/>
      <c r="AK88" s="1925">
        <v>11</v>
      </c>
    </row>
    <row s="31261" customFormat="1" customHeight="1" ht="11.549999999999999">
      <c r="A89" s="1271"/>
      <c r="B89" s="1271"/>
      <c r="C89" s="1271"/>
      <c r="D89" s="1271"/>
      <c r="E89" s="1271"/>
      <c r="F89" s="1920"/>
      <c r="G89" s="1920"/>
      <c r="H89" s="635"/>
      <c r="N89" s="1650"/>
      <c r="P89" s="1650"/>
      <c r="Q89" s="1920"/>
      <c r="R89" s="1920"/>
      <c r="S89" s="1650"/>
      <c r="T89" s="1650"/>
      <c r="U89" s="1650"/>
      <c r="V89" s="1650"/>
      <c r="W89" s="1920"/>
      <c r="X89" s="1650"/>
      <c r="Y89" s="1650"/>
      <c r="Z89" s="828"/>
      <c r="AA89" s="1650"/>
      <c r="AB89" s="1650"/>
      <c r="AC89" s="1650"/>
      <c r="AD89" s="1650"/>
      <c r="AE89" s="1650"/>
      <c r="AF89" s="1916"/>
      <c r="AG89" s="906"/>
      <c r="AH89" s="906"/>
      <c r="AI89" s="906"/>
      <c r="AJ89" s="906"/>
      <c r="AK89" s="1925">
        <v>11</v>
      </c>
    </row>
    <row s="31261" customFormat="1" customHeight="1" ht="11.549999999999999">
      <c r="A90" s="1271"/>
      <c r="B90" s="1271"/>
      <c r="C90" s="1271"/>
      <c r="D90" s="1271"/>
      <c r="E90" s="1271"/>
      <c r="F90" s="1920"/>
      <c r="G90" s="1920"/>
      <c r="H90" s="635"/>
      <c r="N90" s="1650"/>
      <c r="P90" s="1650"/>
      <c r="Q90" s="1920"/>
      <c r="R90" s="1920"/>
      <c r="S90" s="1650"/>
      <c r="T90" s="1650"/>
      <c r="U90" s="1650"/>
      <c r="V90" s="1650"/>
      <c r="W90" s="1920"/>
      <c r="X90" s="1650"/>
      <c r="Y90" s="1650"/>
      <c r="Z90" s="828"/>
      <c r="AA90" s="1650"/>
      <c r="AB90" s="1650"/>
      <c r="AC90" s="1650"/>
      <c r="AD90" s="1650"/>
      <c r="AE90" s="1650"/>
      <c r="AF90" s="1916"/>
      <c r="AG90" s="906"/>
      <c r="AH90" s="906"/>
      <c r="AI90" s="906"/>
      <c r="AJ90" s="906"/>
      <c r="AK90" s="1925">
        <v>11</v>
      </c>
    </row>
    <row s="31261" customFormat="1" customHeight="1" ht="11.549999999999999">
      <c r="A91" s="1271"/>
      <c r="B91" s="1271"/>
      <c r="C91" s="1271"/>
      <c r="D91" s="1271"/>
      <c r="E91" s="1271"/>
      <c r="F91" s="1920"/>
      <c r="G91" s="1920"/>
      <c r="H91" s="635"/>
      <c r="N91" s="1650"/>
      <c r="P91" s="1650"/>
      <c r="Q91" s="1920"/>
      <c r="R91" s="1920"/>
      <c r="S91" s="1650"/>
      <c r="T91" s="1650"/>
      <c r="U91" s="1650"/>
      <c r="V91" s="1650"/>
      <c r="W91" s="1920"/>
      <c r="X91" s="1650"/>
      <c r="Y91" s="1650"/>
      <c r="Z91" s="828"/>
      <c r="AA91" s="1650"/>
      <c r="AB91" s="1650"/>
      <c r="AC91" s="1650"/>
      <c r="AD91" s="1650"/>
      <c r="AE91" s="1650"/>
      <c r="AF91" s="1916"/>
      <c r="AG91" s="906"/>
      <c r="AH91" s="906"/>
      <c r="AI91" s="906"/>
      <c r="AJ91" s="906"/>
      <c r="AK91" s="1925">
        <v>11</v>
      </c>
    </row>
    <row s="31261" customFormat="1" customHeight="1" ht="11.549999999999999">
      <c r="A92" s="1271"/>
      <c r="B92" s="1271"/>
      <c r="C92" s="1271"/>
      <c r="D92" s="1271"/>
      <c r="E92" s="1271"/>
      <c r="F92" s="1920"/>
      <c r="G92" s="1920"/>
      <c r="H92" s="635"/>
      <c r="N92" s="1650"/>
      <c r="P92" s="1650"/>
      <c r="Q92" s="1920"/>
      <c r="R92" s="1920"/>
      <c r="S92" s="1650"/>
      <c r="T92" s="1650"/>
      <c r="U92" s="1650"/>
      <c r="V92" s="1650"/>
      <c r="W92" s="1920"/>
      <c r="X92" s="1650"/>
      <c r="Y92" s="1650"/>
      <c r="Z92" s="828"/>
      <c r="AA92" s="1650"/>
      <c r="AB92" s="1650"/>
      <c r="AC92" s="1650"/>
      <c r="AD92" s="1650"/>
      <c r="AE92" s="1650"/>
      <c r="AF92" s="1916"/>
      <c r="AG92" s="906"/>
      <c r="AH92" s="906"/>
      <c r="AI92" s="906"/>
      <c r="AJ92" s="906"/>
      <c r="AK92" s="1925">
        <v>11</v>
      </c>
    </row>
    <row s="31261" customFormat="1" customHeight="1" ht="11.549999999999999">
      <c r="A93" s="1271"/>
      <c r="B93" s="1271"/>
      <c r="C93" s="1271"/>
      <c r="D93" s="1271"/>
      <c r="E93" s="1271"/>
      <c r="F93" s="1920"/>
      <c r="G93" s="1920"/>
      <c r="H93" s="635"/>
      <c r="N93" s="1650"/>
      <c r="P93" s="1650"/>
      <c r="Q93" s="1920"/>
      <c r="R93" s="1920"/>
      <c r="S93" s="1650"/>
      <c r="T93" s="1650"/>
      <c r="U93" s="1650"/>
      <c r="V93" s="1650"/>
      <c r="W93" s="1920"/>
      <c r="X93" s="1650"/>
      <c r="Y93" s="1650"/>
      <c r="Z93" s="828"/>
      <c r="AA93" s="1650"/>
      <c r="AB93" s="1650"/>
      <c r="AC93" s="1650"/>
      <c r="AD93" s="1650"/>
      <c r="AE93" s="1650"/>
      <c r="AF93" s="1916"/>
      <c r="AG93" s="906"/>
      <c r="AH93" s="906"/>
      <c r="AI93" s="906"/>
      <c r="AJ93" s="906"/>
      <c r="AK93" s="1925">
        <v>11</v>
      </c>
    </row>
    <row s="31261" customFormat="1" customHeight="1" ht="11.549999999999999">
      <c r="A94" s="1271"/>
      <c r="B94" s="1271"/>
      <c r="C94" s="1271"/>
      <c r="D94" s="1271"/>
      <c r="E94" s="1271"/>
      <c r="F94" s="1920"/>
      <c r="G94" s="1920"/>
      <c r="H94" s="635"/>
      <c r="N94" s="1650"/>
      <c r="P94" s="1650"/>
      <c r="Q94" s="1920"/>
      <c r="R94" s="1920"/>
      <c r="S94" s="1650"/>
      <c r="T94" s="1650"/>
      <c r="U94" s="1650"/>
      <c r="V94" s="1650"/>
      <c r="W94" s="1920"/>
      <c r="X94" s="1650"/>
      <c r="Y94" s="1650"/>
      <c r="Z94" s="828"/>
      <c r="AA94" s="1650"/>
      <c r="AB94" s="1650"/>
      <c r="AC94" s="1650"/>
      <c r="AD94" s="1650"/>
      <c r="AE94" s="1650"/>
      <c r="AF94" s="1916"/>
      <c r="AG94" s="906"/>
      <c r="AH94" s="906"/>
      <c r="AI94" s="906"/>
      <c r="AJ94" s="906"/>
      <c r="AK94" s="1925">
        <v>11</v>
      </c>
    </row>
    <row s="31261" customFormat="1" customHeight="1" ht="11.549999999999999">
      <c r="A95" s="1271"/>
      <c r="B95" s="1271"/>
      <c r="C95" s="1271"/>
      <c r="D95" s="1271"/>
      <c r="E95" s="1271"/>
      <c r="F95" s="1920"/>
      <c r="G95" s="1920"/>
      <c r="H95" s="635"/>
      <c r="N95" s="1650"/>
      <c r="P95" s="1650"/>
      <c r="Q95" s="1920"/>
      <c r="R95" s="1920"/>
      <c r="S95" s="1650"/>
      <c r="T95" s="1650"/>
      <c r="U95" s="1650"/>
      <c r="V95" s="1650"/>
      <c r="W95" s="1920"/>
      <c r="X95" s="1650"/>
      <c r="Y95" s="1650"/>
      <c r="Z95" s="828"/>
      <c r="AA95" s="1650"/>
      <c r="AB95" s="1650"/>
      <c r="AC95" s="1650"/>
      <c r="AD95" s="1650"/>
      <c r="AE95" s="1650"/>
      <c r="AF95" s="1916"/>
      <c r="AG95" s="906"/>
      <c r="AH95" s="906"/>
      <c r="AI95" s="906"/>
      <c r="AJ95" s="906"/>
      <c r="AK95" s="1925">
        <v>11</v>
      </c>
    </row>
    <row s="31261" customFormat="1" customHeight="1" ht="11.549999999999999">
      <c r="A96" s="1271"/>
      <c r="B96" s="1271"/>
      <c r="C96" s="1271"/>
      <c r="D96" s="1271"/>
      <c r="E96" s="1271"/>
      <c r="F96" s="1920"/>
      <c r="G96" s="1920"/>
      <c r="H96" s="635"/>
      <c r="N96" s="1650"/>
      <c r="P96" s="1650"/>
      <c r="Q96" s="1920"/>
      <c r="R96" s="1920"/>
      <c r="S96" s="1650"/>
      <c r="T96" s="1650"/>
      <c r="U96" s="1650"/>
      <c r="V96" s="1650"/>
      <c r="W96" s="1920"/>
      <c r="X96" s="1650"/>
      <c r="Y96" s="1650"/>
      <c r="Z96" s="828"/>
      <c r="AA96" s="1650"/>
      <c r="AB96" s="1650"/>
      <c r="AC96" s="1650"/>
      <c r="AD96" s="1650"/>
      <c r="AE96" s="1650"/>
      <c r="AF96" s="1916"/>
      <c r="AG96" s="906"/>
      <c r="AH96" s="906"/>
      <c r="AI96" s="906"/>
      <c r="AJ96" s="906"/>
      <c r="AK96" s="1925">
        <v>11</v>
      </c>
    </row>
    <row s="31261" customFormat="1" customHeight="1" ht="11.549999999999999">
      <c r="A97" s="1271"/>
      <c r="B97" s="1271"/>
      <c r="C97" s="1271"/>
      <c r="D97" s="1271"/>
      <c r="E97" s="1271"/>
      <c r="F97" s="1920"/>
      <c r="G97" s="1920"/>
      <c r="H97" s="635"/>
      <c r="N97" s="1650"/>
      <c r="P97" s="1650"/>
      <c r="Q97" s="1920"/>
      <c r="R97" s="1920"/>
      <c r="S97" s="1650"/>
      <c r="T97" s="1650"/>
      <c r="U97" s="1650"/>
      <c r="V97" s="1650"/>
      <c r="W97" s="1920"/>
      <c r="X97" s="1650"/>
      <c r="Y97" s="1650"/>
      <c r="Z97" s="828"/>
      <c r="AA97" s="1650"/>
      <c r="AB97" s="1650"/>
      <c r="AC97" s="1650"/>
      <c r="AD97" s="1650"/>
      <c r="AE97" s="1650"/>
      <c r="AF97" s="1916"/>
      <c r="AG97" s="906"/>
      <c r="AH97" s="906"/>
      <c r="AI97" s="906"/>
      <c r="AJ97" s="906"/>
      <c r="AK97" s="1925">
        <v>11</v>
      </c>
    </row>
    <row s="31261" customFormat="1" customHeight="1" ht="11.549999999999999">
      <c r="A98" s="1271"/>
      <c r="B98" s="1271"/>
      <c r="C98" s="1271"/>
      <c r="D98" s="1271"/>
      <c r="E98" s="1271"/>
      <c r="F98" s="1920"/>
      <c r="G98" s="1920"/>
      <c r="H98" s="635"/>
      <c r="N98" s="1650"/>
      <c r="P98" s="1650"/>
      <c r="Q98" s="1920"/>
      <c r="R98" s="1920"/>
      <c r="S98" s="1650"/>
      <c r="T98" s="1650"/>
      <c r="U98" s="1650"/>
      <c r="V98" s="1650"/>
      <c r="W98" s="1920"/>
      <c r="X98" s="1650"/>
      <c r="Y98" s="1650"/>
      <c r="Z98" s="828"/>
      <c r="AA98" s="1650"/>
      <c r="AB98" s="1650"/>
      <c r="AC98" s="1650"/>
      <c r="AD98" s="1650"/>
      <c r="AE98" s="1650"/>
      <c r="AF98" s="1916"/>
      <c r="AG98" s="906"/>
      <c r="AH98" s="906"/>
      <c r="AI98" s="906"/>
      <c r="AJ98" s="906"/>
      <c r="AK98" s="1925">
        <v>11</v>
      </c>
    </row>
    <row s="31261" customFormat="1" customHeight="1" ht="11.549999999999999">
      <c r="A99" s="1271"/>
      <c r="B99" s="1271"/>
      <c r="C99" s="1271"/>
      <c r="D99" s="1271"/>
      <c r="E99" s="1271"/>
      <c r="F99" s="1920"/>
      <c r="G99" s="1920"/>
      <c r="H99" s="635"/>
      <c r="N99" s="1650"/>
      <c r="P99" s="1650"/>
      <c r="Q99" s="1920"/>
      <c r="R99" s="1920"/>
      <c r="S99" s="1650"/>
      <c r="T99" s="1650"/>
      <c r="U99" s="1650"/>
      <c r="V99" s="1650"/>
      <c r="W99" s="1920"/>
      <c r="X99" s="1650"/>
      <c r="Y99" s="1650"/>
      <c r="Z99" s="828"/>
      <c r="AA99" s="1650"/>
      <c r="AB99" s="1650"/>
      <c r="AC99" s="1650"/>
      <c r="AD99" s="1650"/>
      <c r="AE99" s="1650"/>
      <c r="AF99" s="1916"/>
      <c r="AG99" s="906"/>
      <c r="AH99" s="906"/>
      <c r="AI99" s="906"/>
      <c r="AJ99" s="906"/>
      <c r="AK99" s="1925">
        <v>11</v>
      </c>
    </row>
    <row s="31261" customFormat="1" customHeight="1" ht="11.549999999999999">
      <c r="A100" s="1271"/>
      <c r="B100" s="1271"/>
      <c r="C100" s="1271"/>
      <c r="D100" s="1271"/>
      <c r="E100" s="1271"/>
      <c r="F100" s="1920"/>
      <c r="G100" s="1920"/>
      <c r="H100" s="635"/>
      <c r="N100" s="1650"/>
      <c r="P100" s="1650"/>
      <c r="Q100" s="1920"/>
      <c r="R100" s="1920"/>
      <c r="S100" s="1650"/>
      <c r="T100" s="1650"/>
      <c r="U100" s="1650"/>
      <c r="V100" s="1650"/>
      <c r="W100" s="1920"/>
      <c r="X100" s="1650"/>
      <c r="Y100" s="1650"/>
      <c r="Z100" s="828"/>
      <c r="AA100" s="1650"/>
      <c r="AB100" s="1650"/>
      <c r="AC100" s="1650"/>
      <c r="AD100" s="1650"/>
      <c r="AE100" s="1650"/>
      <c r="AF100" s="1916"/>
      <c r="AG100" s="906"/>
      <c r="AH100" s="906"/>
      <c r="AI100" s="906"/>
      <c r="AJ100" s="906"/>
      <c r="AK100" s="1925">
        <v>11</v>
      </c>
    </row>
    <row s="31261" customFormat="1" customHeight="1" ht="11.549999999999999">
      <c r="A101" s="1271"/>
      <c r="B101" s="1271"/>
      <c r="C101" s="1271"/>
      <c r="D101" s="1271"/>
      <c r="E101" s="1271"/>
      <c r="F101" s="1920"/>
      <c r="G101" s="1920"/>
      <c r="H101" s="635"/>
      <c r="N101" s="1650"/>
      <c r="P101" s="1650"/>
      <c r="Q101" s="1920"/>
      <c r="R101" s="1920"/>
      <c r="S101" s="1650"/>
      <c r="T101" s="1650"/>
      <c r="U101" s="1650"/>
      <c r="V101" s="1650"/>
      <c r="W101" s="1920"/>
      <c r="X101" s="1650"/>
      <c r="Y101" s="1650"/>
      <c r="Z101" s="828"/>
      <c r="AA101" s="1650"/>
      <c r="AB101" s="1650"/>
      <c r="AC101" s="1650"/>
      <c r="AD101" s="1650"/>
      <c r="AE101" s="1650"/>
      <c r="AF101" s="1916"/>
      <c r="AG101" s="906"/>
      <c r="AH101" s="906"/>
      <c r="AI101" s="906"/>
      <c r="AJ101" s="906"/>
      <c r="AK101" s="1925">
        <v>11</v>
      </c>
    </row>
    <row s="31261" customFormat="1" customHeight="1" ht="11.549999999999999">
      <c r="A102" s="1271"/>
      <c r="B102" s="1271"/>
      <c r="C102" s="1271"/>
      <c r="D102" s="1271"/>
      <c r="E102" s="1271"/>
      <c r="F102" s="1920"/>
      <c r="G102" s="1920"/>
      <c r="H102" s="635"/>
      <c r="N102" s="1650"/>
      <c r="P102" s="1650"/>
      <c r="Q102" s="1920"/>
      <c r="R102" s="1920"/>
      <c r="S102" s="1650"/>
      <c r="T102" s="1650"/>
      <c r="U102" s="1650"/>
      <c r="V102" s="1650"/>
      <c r="W102" s="1920"/>
      <c r="X102" s="1650"/>
      <c r="Y102" s="1650"/>
      <c r="Z102" s="828"/>
      <c r="AA102" s="1650"/>
      <c r="AB102" s="1650"/>
      <c r="AC102" s="1650"/>
      <c r="AD102" s="1650"/>
      <c r="AE102" s="1650"/>
      <c r="AF102" s="1916"/>
      <c r="AG102" s="906"/>
      <c r="AH102" s="906"/>
      <c r="AI102" s="906"/>
      <c r="AJ102" s="906"/>
      <c r="AK102" s="1925">
        <v>11</v>
      </c>
    </row>
    <row s="31261" customFormat="1" customHeight="1" ht="11.549999999999999">
      <c r="A103" s="1271"/>
      <c r="B103" s="1271"/>
      <c r="C103" s="1271"/>
      <c r="D103" s="1271"/>
      <c r="E103" s="1271"/>
      <c r="F103" s="1920"/>
      <c r="G103" s="1920"/>
      <c r="H103" s="635"/>
      <c r="N103" s="1650"/>
      <c r="P103" s="1650"/>
      <c r="Q103" s="1920"/>
      <c r="R103" s="1920"/>
      <c r="S103" s="1650"/>
      <c r="T103" s="1650"/>
      <c r="U103" s="1650"/>
      <c r="V103" s="1650"/>
      <c r="W103" s="1920"/>
      <c r="X103" s="1650"/>
      <c r="Y103" s="1650"/>
      <c r="Z103" s="828"/>
      <c r="AA103" s="1650"/>
      <c r="AB103" s="1650"/>
      <c r="AC103" s="1650"/>
      <c r="AD103" s="1650"/>
      <c r="AE103" s="1650"/>
      <c r="AF103" s="1916"/>
      <c r="AG103" s="906"/>
      <c r="AH103" s="906"/>
      <c r="AI103" s="906"/>
      <c r="AJ103" s="906"/>
      <c r="AK103" s="1925">
        <v>11</v>
      </c>
    </row>
    <row s="31261" customFormat="1" customHeight="1" ht="11.549999999999999">
      <c r="A104" s="1271"/>
      <c r="B104" s="1271"/>
      <c r="C104" s="1271"/>
      <c r="D104" s="1271"/>
      <c r="E104" s="1271"/>
      <c r="F104" s="1920"/>
      <c r="G104" s="1920"/>
      <c r="H104" s="635"/>
      <c r="N104" s="1650"/>
      <c r="P104" s="1650"/>
      <c r="Q104" s="1920"/>
      <c r="R104" s="1920"/>
      <c r="S104" s="1650"/>
      <c r="T104" s="1650"/>
      <c r="U104" s="1650"/>
      <c r="V104" s="1650"/>
      <c r="W104" s="1920"/>
      <c r="X104" s="1650"/>
      <c r="Y104" s="1650"/>
      <c r="Z104" s="828"/>
      <c r="AA104" s="1650"/>
      <c r="AB104" s="1650"/>
      <c r="AC104" s="1650"/>
      <c r="AD104" s="1650"/>
      <c r="AE104" s="1650"/>
      <c r="AF104" s="1916"/>
      <c r="AG104" s="906"/>
      <c r="AH104" s="906"/>
      <c r="AI104" s="906"/>
      <c r="AJ104" s="906"/>
      <c r="AK104" s="1925">
        <v>11</v>
      </c>
    </row>
    <row s="31261" customFormat="1" customHeight="1" ht="11.549999999999999">
      <c r="A105" s="1271"/>
      <c r="B105" s="1271"/>
      <c r="C105" s="1271"/>
      <c r="D105" s="1271"/>
      <c r="E105" s="1271"/>
      <c r="F105" s="1920"/>
      <c r="G105" s="1920"/>
      <c r="H105" s="635"/>
      <c r="N105" s="1650"/>
      <c r="P105" s="1650"/>
      <c r="Q105" s="1920"/>
      <c r="R105" s="1920"/>
      <c r="S105" s="1650"/>
      <c r="T105" s="1650"/>
      <c r="U105" s="1650"/>
      <c r="V105" s="1650"/>
      <c r="W105" s="1920"/>
      <c r="X105" s="1650"/>
      <c r="Y105" s="1650"/>
      <c r="Z105" s="828"/>
      <c r="AA105" s="1650"/>
      <c r="AB105" s="1650"/>
      <c r="AC105" s="1650"/>
      <c r="AD105" s="1650"/>
      <c r="AE105" s="1650"/>
      <c r="AF105" s="1916"/>
      <c r="AG105" s="906"/>
      <c r="AH105" s="906"/>
      <c r="AI105" s="906"/>
      <c r="AJ105" s="906"/>
      <c r="AK105" s="1925">
        <v>11</v>
      </c>
    </row>
    <row s="31261" customFormat="1" customHeight="1" ht="11.549999999999999">
      <c r="A106" s="1271"/>
      <c r="B106" s="1271"/>
      <c r="C106" s="1271"/>
      <c r="D106" s="1271"/>
      <c r="E106" s="1271"/>
      <c r="F106" s="1920"/>
      <c r="G106" s="1920"/>
      <c r="H106" s="635"/>
      <c r="N106" s="1650"/>
      <c r="P106" s="1650"/>
      <c r="Q106" s="1920"/>
      <c r="R106" s="1920"/>
      <c r="S106" s="1650"/>
      <c r="T106" s="1650"/>
      <c r="U106" s="1650"/>
      <c r="V106" s="1650"/>
      <c r="W106" s="1920"/>
      <c r="X106" s="1650"/>
      <c r="Y106" s="1650"/>
      <c r="Z106" s="828"/>
      <c r="AA106" s="1650"/>
      <c r="AB106" s="1650"/>
      <c r="AC106" s="1650"/>
      <c r="AD106" s="1650"/>
      <c r="AE106" s="1650"/>
      <c r="AF106" s="1916"/>
      <c r="AG106" s="906"/>
      <c r="AH106" s="906"/>
      <c r="AI106" s="906"/>
      <c r="AJ106" s="906"/>
      <c r="AK106" s="1925">
        <v>11</v>
      </c>
    </row>
    <row s="31261" customFormat="1" customHeight="1" ht="11.549999999999999">
      <c r="A107" s="1271"/>
      <c r="B107" s="1271"/>
      <c r="C107" s="1271"/>
      <c r="D107" s="1271"/>
      <c r="E107" s="1271"/>
      <c r="F107" s="1920"/>
      <c r="G107" s="1920"/>
      <c r="H107" s="635"/>
      <c r="N107" s="1650"/>
      <c r="P107" s="1650"/>
      <c r="Q107" s="1920"/>
      <c r="R107" s="1920"/>
      <c r="S107" s="1650"/>
      <c r="T107" s="1650"/>
      <c r="U107" s="1650"/>
      <c r="V107" s="1650"/>
      <c r="W107" s="1920"/>
      <c r="X107" s="1650"/>
      <c r="Y107" s="1650"/>
      <c r="Z107" s="828"/>
      <c r="AA107" s="1650"/>
      <c r="AB107" s="1650"/>
      <c r="AC107" s="1650"/>
      <c r="AD107" s="1650"/>
      <c r="AE107" s="1650"/>
      <c r="AF107" s="1916"/>
      <c r="AG107" s="906"/>
      <c r="AH107" s="906"/>
      <c r="AI107" s="906"/>
      <c r="AJ107" s="906"/>
      <c r="AK107" s="1925">
        <v>11</v>
      </c>
    </row>
    <row s="31261" customFormat="1" customHeight="1" ht="11.549999999999999">
      <c r="A108" s="1271"/>
      <c r="B108" s="1271"/>
      <c r="C108" s="1271"/>
      <c r="D108" s="1271"/>
      <c r="E108" s="1271"/>
      <c r="F108" s="1920"/>
      <c r="G108" s="1920"/>
      <c r="H108" s="635"/>
      <c r="N108" s="1650"/>
      <c r="P108" s="1650"/>
      <c r="Q108" s="1920"/>
      <c r="R108" s="1920"/>
      <c r="S108" s="1650"/>
      <c r="T108" s="1650"/>
      <c r="U108" s="1650"/>
      <c r="V108" s="1650"/>
      <c r="W108" s="1920"/>
      <c r="X108" s="1650"/>
      <c r="Y108" s="1650"/>
      <c r="Z108" s="828"/>
      <c r="AA108" s="1650"/>
      <c r="AB108" s="1650"/>
      <c r="AC108" s="1650"/>
      <c r="AD108" s="1650"/>
      <c r="AE108" s="1650"/>
      <c r="AF108" s="1916"/>
      <c r="AG108" s="906"/>
      <c r="AH108" s="906"/>
      <c r="AI108" s="906"/>
      <c r="AJ108" s="906"/>
      <c r="AK108" s="1925">
        <v>11</v>
      </c>
    </row>
    <row s="31261" customFormat="1" customHeight="1" ht="11.549999999999999">
      <c r="A109" s="1271"/>
      <c r="B109" s="1271"/>
      <c r="C109" s="1271"/>
      <c r="D109" s="1271"/>
      <c r="E109" s="1271"/>
      <c r="F109" s="1920"/>
      <c r="G109" s="1920"/>
      <c r="H109" s="635"/>
      <c r="N109" s="1650"/>
      <c r="P109" s="1650"/>
      <c r="Q109" s="1920"/>
      <c r="R109" s="1920"/>
      <c r="S109" s="1650"/>
      <c r="T109" s="1650"/>
      <c r="U109" s="1650"/>
      <c r="V109" s="1650"/>
      <c r="W109" s="1920"/>
      <c r="X109" s="1650"/>
      <c r="Y109" s="1650"/>
      <c r="Z109" s="828"/>
      <c r="AA109" s="1650"/>
      <c r="AB109" s="1650"/>
      <c r="AC109" s="1650"/>
      <c r="AD109" s="1650"/>
      <c r="AE109" s="1650"/>
      <c r="AF109" s="1916"/>
      <c r="AG109" s="906"/>
      <c r="AH109" s="906"/>
      <c r="AI109" s="906"/>
      <c r="AJ109" s="906"/>
      <c r="AK109" s="1925">
        <v>11</v>
      </c>
    </row>
    <row s="31261" customFormat="1" customHeight="1" ht="11.549999999999999">
      <c r="A110" s="1271"/>
      <c r="B110" s="1271"/>
      <c r="C110" s="1271"/>
      <c r="D110" s="1271"/>
      <c r="E110" s="1271"/>
      <c r="F110" s="1920"/>
      <c r="G110" s="1920"/>
      <c r="H110" s="635"/>
      <c r="N110" s="1650"/>
      <c r="P110" s="1650"/>
      <c r="Q110" s="1920"/>
      <c r="R110" s="1920"/>
      <c r="S110" s="1650"/>
      <c r="T110" s="1650"/>
      <c r="U110" s="1650"/>
      <c r="V110" s="1650"/>
      <c r="W110" s="1920"/>
      <c r="X110" s="1650"/>
      <c r="Y110" s="1650"/>
      <c r="Z110" s="828"/>
      <c r="AA110" s="1650"/>
      <c r="AB110" s="1650"/>
      <c r="AC110" s="1650"/>
      <c r="AD110" s="1650"/>
      <c r="AE110" s="1650"/>
      <c r="AF110" s="1916"/>
      <c r="AG110" s="906"/>
      <c r="AH110" s="906"/>
      <c r="AI110" s="906"/>
      <c r="AJ110" s="906"/>
      <c r="AK110" s="1925">
        <v>11</v>
      </c>
    </row>
    <row s="31261" customFormat="1" customHeight="1" ht="11.549999999999999">
      <c r="A111" s="1271"/>
      <c r="B111" s="1271"/>
      <c r="C111" s="1271"/>
      <c r="D111" s="1271"/>
      <c r="E111" s="1271"/>
      <c r="F111" s="1920"/>
      <c r="G111" s="1920"/>
      <c r="H111" s="635"/>
      <c r="N111" s="1650"/>
      <c r="P111" s="1650"/>
      <c r="Q111" s="1920"/>
      <c r="R111" s="1920"/>
      <c r="S111" s="1650"/>
      <c r="T111" s="1650"/>
      <c r="U111" s="1650"/>
      <c r="V111" s="1650"/>
      <c r="W111" s="1920"/>
      <c r="X111" s="1650"/>
      <c r="Y111" s="1650"/>
      <c r="Z111" s="828"/>
      <c r="AA111" s="1650"/>
      <c r="AB111" s="1650"/>
      <c r="AC111" s="1650"/>
      <c r="AD111" s="1650"/>
      <c r="AE111" s="1650"/>
      <c r="AF111" s="1916"/>
      <c r="AG111" s="906"/>
      <c r="AH111" s="906"/>
      <c r="AI111" s="906"/>
      <c r="AJ111" s="906"/>
      <c r="AK111" s="1925">
        <v>11</v>
      </c>
    </row>
    <row s="31261" customFormat="1" customHeight="1" ht="11.549999999999999">
      <c r="A112" s="1271"/>
      <c r="B112" s="1271"/>
      <c r="C112" s="1271"/>
      <c r="D112" s="1271"/>
      <c r="E112" s="1271"/>
      <c r="F112" s="1920"/>
      <c r="G112" s="1920"/>
      <c r="H112" s="635"/>
      <c r="N112" s="1650"/>
      <c r="P112" s="1650"/>
      <c r="Q112" s="1920"/>
      <c r="R112" s="1920"/>
      <c r="S112" s="1650"/>
      <c r="T112" s="1650"/>
      <c r="U112" s="1650"/>
      <c r="V112" s="1650"/>
      <c r="W112" s="1920"/>
      <c r="X112" s="1650"/>
      <c r="Y112" s="1650"/>
      <c r="Z112" s="828"/>
      <c r="AA112" s="1650"/>
      <c r="AB112" s="1650"/>
      <c r="AC112" s="1650"/>
      <c r="AD112" s="1650"/>
      <c r="AE112" s="1650"/>
      <c r="AF112" s="1916"/>
      <c r="AG112" s="906"/>
      <c r="AH112" s="906"/>
      <c r="AI112" s="906"/>
      <c r="AJ112" s="906"/>
      <c r="AK112" s="1925">
        <v>11</v>
      </c>
    </row>
    <row s="31261" customFormat="1" customHeight="1" ht="11.549999999999999">
      <c r="A113" s="1271"/>
      <c r="B113" s="1271"/>
      <c r="C113" s="1271"/>
      <c r="D113" s="1271"/>
      <c r="E113" s="1271"/>
      <c r="F113" s="1920"/>
      <c r="G113" s="1920"/>
      <c r="H113" s="635"/>
      <c r="N113" s="1650"/>
      <c r="P113" s="1650"/>
      <c r="Q113" s="1920"/>
      <c r="R113" s="1920"/>
      <c r="S113" s="1650"/>
      <c r="T113" s="1650"/>
      <c r="U113" s="1650"/>
      <c r="V113" s="1650"/>
      <c r="W113" s="1920"/>
      <c r="X113" s="1650"/>
      <c r="Y113" s="1650"/>
      <c r="Z113" s="828"/>
      <c r="AA113" s="1650"/>
      <c r="AB113" s="1650"/>
      <c r="AC113" s="1650"/>
      <c r="AD113" s="1650"/>
      <c r="AE113" s="1650"/>
      <c r="AF113" s="1916"/>
      <c r="AG113" s="906"/>
      <c r="AH113" s="906"/>
      <c r="AI113" s="906"/>
      <c r="AJ113" s="906"/>
      <c r="AK113" s="1925">
        <v>11</v>
      </c>
    </row>
    <row s="31261" customFormat="1" customHeight="1" ht="11.549999999999999">
      <c r="A114" s="1271"/>
      <c r="B114" s="1271"/>
      <c r="C114" s="1271"/>
      <c r="D114" s="1271"/>
      <c r="E114" s="1271"/>
      <c r="F114" s="1920"/>
      <c r="G114" s="1920"/>
      <c r="H114" s="635"/>
      <c r="N114" s="1650"/>
      <c r="P114" s="1650"/>
      <c r="Q114" s="1920"/>
      <c r="R114" s="1920"/>
      <c r="S114" s="1650"/>
      <c r="T114" s="1650"/>
      <c r="U114" s="1650"/>
      <c r="V114" s="1650"/>
      <c r="W114" s="1920"/>
      <c r="X114" s="1650"/>
      <c r="Y114" s="1650"/>
      <c r="Z114" s="828"/>
      <c r="AA114" s="1650"/>
      <c r="AB114" s="1650"/>
      <c r="AC114" s="1650"/>
      <c r="AD114" s="1650"/>
      <c r="AE114" s="1650"/>
      <c r="AF114" s="1916"/>
      <c r="AG114" s="906"/>
      <c r="AH114" s="906"/>
      <c r="AI114" s="906"/>
      <c r="AJ114" s="906"/>
      <c r="AK114" s="1925">
        <v>11</v>
      </c>
    </row>
    <row s="31261" customFormat="1" customHeight="1" ht="11.549999999999999">
      <c r="A115" s="1271"/>
      <c r="B115" s="1271"/>
      <c r="C115" s="1271"/>
      <c r="D115" s="1271"/>
      <c r="E115" s="1271"/>
      <c r="F115" s="1920"/>
      <c r="G115" s="1920"/>
      <c r="H115" s="635"/>
      <c r="N115" s="1650"/>
      <c r="P115" s="1650"/>
      <c r="Q115" s="1920"/>
      <c r="R115" s="1920"/>
      <c r="S115" s="1650"/>
      <c r="T115" s="1650"/>
      <c r="U115" s="1650"/>
      <c r="V115" s="1650"/>
      <c r="W115" s="1920"/>
      <c r="X115" s="1650"/>
      <c r="Y115" s="1650"/>
      <c r="Z115" s="828"/>
      <c r="AA115" s="1650"/>
      <c r="AB115" s="1650"/>
      <c r="AC115" s="1650"/>
      <c r="AD115" s="1650"/>
      <c r="AE115" s="1650"/>
      <c r="AF115" s="1916"/>
      <c r="AG115" s="906"/>
      <c r="AH115" s="906"/>
      <c r="AI115" s="906"/>
      <c r="AJ115" s="906"/>
      <c r="AK115" s="1925">
        <v>11</v>
      </c>
    </row>
    <row s="31261" customFormat="1" customHeight="1" ht="11.549999999999999">
      <c r="A116" s="1271"/>
      <c r="B116" s="1271"/>
      <c r="C116" s="1271"/>
      <c r="D116" s="1271"/>
      <c r="E116" s="1271"/>
      <c r="F116" s="1920"/>
      <c r="G116" s="1920"/>
      <c r="H116" s="635"/>
      <c r="N116" s="1650"/>
      <c r="P116" s="1650"/>
      <c r="Q116" s="1920"/>
      <c r="R116" s="1920"/>
      <c r="S116" s="1650"/>
      <c r="T116" s="1650"/>
      <c r="U116" s="1650"/>
      <c r="V116" s="1650"/>
      <c r="W116" s="1920"/>
      <c r="X116" s="1650"/>
      <c r="Y116" s="1650"/>
      <c r="Z116" s="828"/>
      <c r="AA116" s="1650"/>
      <c r="AB116" s="1650"/>
      <c r="AC116" s="1650"/>
      <c r="AD116" s="1650"/>
      <c r="AE116" s="1650"/>
      <c r="AF116" s="1916"/>
      <c r="AG116" s="906"/>
      <c r="AH116" s="906"/>
      <c r="AI116" s="906"/>
      <c r="AJ116" s="906"/>
      <c r="AK116" s="1925">
        <v>11</v>
      </c>
    </row>
    <row s="31261" customFormat="1" customHeight="1" ht="11.549999999999999">
      <c r="A117" s="1271"/>
      <c r="B117" s="1271"/>
      <c r="C117" s="1271"/>
      <c r="D117" s="1271"/>
      <c r="E117" s="1271"/>
      <c r="F117" s="1920"/>
      <c r="G117" s="1920"/>
      <c r="H117" s="635"/>
      <c r="N117" s="1650"/>
      <c r="P117" s="1650"/>
      <c r="Q117" s="1920"/>
      <c r="R117" s="1920"/>
      <c r="S117" s="1650"/>
      <c r="T117" s="1650"/>
      <c r="U117" s="1650"/>
      <c r="V117" s="1650"/>
      <c r="W117" s="1920"/>
      <c r="X117" s="1650"/>
      <c r="Y117" s="1650"/>
      <c r="Z117" s="828"/>
      <c r="AA117" s="1650"/>
      <c r="AB117" s="1650"/>
      <c r="AC117" s="1650"/>
      <c r="AD117" s="1650"/>
      <c r="AE117" s="1650"/>
      <c r="AF117" s="1916"/>
      <c r="AG117" s="906"/>
      <c r="AH117" s="906"/>
      <c r="AI117" s="906"/>
      <c r="AJ117" s="906"/>
      <c r="AK117" s="1925">
        <v>11</v>
      </c>
    </row>
    <row s="31261" customFormat="1" customHeight="1" ht="11.549999999999999">
      <c r="A118" s="1271"/>
      <c r="B118" s="1271"/>
      <c r="C118" s="1271"/>
      <c r="D118" s="1271"/>
      <c r="E118" s="1271"/>
      <c r="F118" s="1920"/>
      <c r="G118" s="1920"/>
      <c r="H118" s="635"/>
      <c r="N118" s="1650"/>
      <c r="P118" s="1650"/>
      <c r="Q118" s="1920"/>
      <c r="R118" s="1920"/>
      <c r="S118" s="1650"/>
      <c r="T118" s="1650"/>
      <c r="U118" s="1650"/>
      <c r="V118" s="1650"/>
      <c r="W118" s="1920"/>
      <c r="X118" s="1650"/>
      <c r="Y118" s="1650"/>
      <c r="Z118" s="828"/>
      <c r="AA118" s="1650"/>
      <c r="AB118" s="1650"/>
      <c r="AC118" s="1650"/>
      <c r="AD118" s="1650"/>
      <c r="AE118" s="1650"/>
      <c r="AF118" s="1916"/>
      <c r="AG118" s="906"/>
      <c r="AH118" s="906"/>
      <c r="AI118" s="906"/>
      <c r="AJ118" s="906"/>
      <c r="AK118" s="1925">
        <v>11</v>
      </c>
    </row>
    <row s="31261" customFormat="1" customHeight="1" ht="11.549999999999999">
      <c r="A119" s="1271"/>
      <c r="B119" s="1271"/>
      <c r="C119" s="1271"/>
      <c r="D119" s="1271"/>
      <c r="E119" s="1271"/>
      <c r="F119" s="1920"/>
      <c r="G119" s="1920"/>
      <c r="H119" s="635"/>
      <c r="N119" s="1650"/>
      <c r="P119" s="1650"/>
      <c r="Q119" s="1920"/>
      <c r="R119" s="1920"/>
      <c r="S119" s="1650"/>
      <c r="T119" s="1650"/>
      <c r="U119" s="1650"/>
      <c r="V119" s="1650"/>
      <c r="W119" s="1920"/>
      <c r="X119" s="1650"/>
      <c r="Y119" s="1650"/>
      <c r="Z119" s="828"/>
      <c r="AA119" s="1650"/>
      <c r="AB119" s="1650"/>
      <c r="AC119" s="1650"/>
      <c r="AD119" s="1650"/>
      <c r="AE119" s="1650"/>
      <c r="AF119" s="1916"/>
      <c r="AG119" s="906"/>
      <c r="AH119" s="906"/>
      <c r="AI119" s="906"/>
      <c r="AJ119" s="906"/>
      <c r="AK119" s="1925">
        <v>11</v>
      </c>
    </row>
    <row s="31261" customFormat="1" customHeight="1" ht="11.549999999999999">
      <c r="A120" s="1271"/>
      <c r="B120" s="1271"/>
      <c r="C120" s="1271"/>
      <c r="D120" s="1271"/>
      <c r="E120" s="1271"/>
      <c r="F120" s="1920"/>
      <c r="G120" s="1920"/>
      <c r="H120" s="635"/>
      <c r="N120" s="1650"/>
      <c r="P120" s="1650"/>
      <c r="Q120" s="1920"/>
      <c r="R120" s="1920"/>
      <c r="S120" s="1650"/>
      <c r="T120" s="1650"/>
      <c r="U120" s="1650"/>
      <c r="V120" s="1650"/>
      <c r="W120" s="1920"/>
      <c r="X120" s="1650"/>
      <c r="Y120" s="1650"/>
      <c r="Z120" s="828"/>
      <c r="AA120" s="1650"/>
      <c r="AB120" s="1650"/>
      <c r="AC120" s="1650"/>
      <c r="AD120" s="1650"/>
      <c r="AE120" s="1650"/>
      <c r="AF120" s="1916"/>
      <c r="AG120" s="906"/>
      <c r="AH120" s="906"/>
      <c r="AI120" s="906"/>
      <c r="AJ120" s="906"/>
      <c r="AK120" s="1925">
        <v>11</v>
      </c>
    </row>
    <row s="31261" customFormat="1" customHeight="1" ht="11.549999999999999">
      <c r="A121" s="1271"/>
      <c r="B121" s="1271"/>
      <c r="C121" s="1271"/>
      <c r="D121" s="1271"/>
      <c r="E121" s="1271"/>
      <c r="F121" s="1920"/>
      <c r="G121" s="1920"/>
      <c r="H121" s="635"/>
      <c r="N121" s="1650"/>
      <c r="P121" s="1650"/>
      <c r="Q121" s="1920"/>
      <c r="R121" s="1920"/>
      <c r="S121" s="1650"/>
      <c r="T121" s="1650"/>
      <c r="U121" s="1650"/>
      <c r="V121" s="1650"/>
      <c r="W121" s="1920"/>
      <c r="X121" s="1650"/>
      <c r="Y121" s="1650"/>
      <c r="Z121" s="828"/>
      <c r="AA121" s="1650"/>
      <c r="AB121" s="1650"/>
      <c r="AC121" s="1650"/>
      <c r="AD121" s="1650"/>
      <c r="AE121" s="1650"/>
      <c r="AF121" s="1916"/>
      <c r="AG121" s="906"/>
      <c r="AH121" s="906"/>
      <c r="AI121" s="906"/>
      <c r="AJ121" s="906"/>
      <c r="AK121" s="1925">
        <v>11</v>
      </c>
    </row>
    <row s="31261" customFormat="1" customHeight="1" ht="11.549999999999999">
      <c r="A122" s="1271"/>
      <c r="B122" s="1271"/>
      <c r="C122" s="1271"/>
      <c r="D122" s="1271"/>
      <c r="E122" s="1271"/>
      <c r="F122" s="1920"/>
      <c r="G122" s="1920"/>
      <c r="H122" s="635"/>
      <c r="N122" s="1650"/>
      <c r="P122" s="1650"/>
      <c r="Q122" s="1920"/>
      <c r="R122" s="1920"/>
      <c r="S122" s="1650"/>
      <c r="T122" s="1650"/>
      <c r="U122" s="1650"/>
      <c r="V122" s="1650"/>
      <c r="W122" s="1920"/>
      <c r="X122" s="1650"/>
      <c r="Y122" s="1650"/>
      <c r="Z122" s="828"/>
      <c r="AA122" s="1650"/>
      <c r="AB122" s="1650"/>
      <c r="AC122" s="1650"/>
      <c r="AD122" s="1650"/>
      <c r="AE122" s="1650"/>
      <c r="AF122" s="1916"/>
      <c r="AG122" s="906"/>
      <c r="AH122" s="906"/>
      <c r="AI122" s="906"/>
      <c r="AJ122" s="906"/>
      <c r="AK122" s="1925">
        <v>11</v>
      </c>
    </row>
    <row s="31261" customFormat="1" customHeight="1" ht="11.549999999999999">
      <c r="A123" s="1271"/>
      <c r="B123" s="1271"/>
      <c r="C123" s="1271"/>
      <c r="D123" s="1271"/>
      <c r="E123" s="1271"/>
      <c r="F123" s="1920"/>
      <c r="G123" s="1920"/>
      <c r="H123" s="635"/>
      <c r="N123" s="1650"/>
      <c r="P123" s="1650"/>
      <c r="Q123" s="1920"/>
      <c r="R123" s="1920"/>
      <c r="S123" s="1650"/>
      <c r="T123" s="1650"/>
      <c r="U123" s="1650"/>
      <c r="V123" s="1650"/>
      <c r="W123" s="1920"/>
      <c r="X123" s="1650"/>
      <c r="Y123" s="1650"/>
      <c r="Z123" s="828"/>
      <c r="AA123" s="1650"/>
      <c r="AB123" s="1650"/>
      <c r="AC123" s="1650"/>
      <c r="AD123" s="1650"/>
      <c r="AE123" s="1650"/>
      <c r="AF123" s="1916"/>
      <c r="AG123" s="906"/>
      <c r="AH123" s="906"/>
      <c r="AI123" s="906"/>
      <c r="AJ123" s="906"/>
      <c r="AK123" s="1925">
        <v>11</v>
      </c>
    </row>
    <row s="31261" customFormat="1" customHeight="1" ht="11.549999999999999">
      <c r="A124" s="1271"/>
      <c r="B124" s="1271"/>
      <c r="C124" s="1271"/>
      <c r="D124" s="1271"/>
      <c r="E124" s="1271"/>
      <c r="F124" s="1920"/>
      <c r="G124" s="1920"/>
      <c r="H124" s="635"/>
      <c r="N124" s="1650"/>
      <c r="P124" s="1650"/>
      <c r="Q124" s="1920"/>
      <c r="R124" s="1920"/>
      <c r="S124" s="1650"/>
      <c r="T124" s="1650"/>
      <c r="U124" s="1650"/>
      <c r="V124" s="1650"/>
      <c r="W124" s="1920"/>
      <c r="X124" s="1650"/>
      <c r="Y124" s="1650"/>
      <c r="Z124" s="828"/>
      <c r="AA124" s="1650"/>
      <c r="AB124" s="1650"/>
      <c r="AC124" s="1650"/>
      <c r="AD124" s="1650"/>
      <c r="AE124" s="1650"/>
      <c r="AF124" s="1916"/>
      <c r="AG124" s="906"/>
      <c r="AH124" s="906"/>
      <c r="AI124" s="906"/>
      <c r="AJ124" s="906"/>
      <c r="AK124" s="1925">
        <v>11</v>
      </c>
    </row>
    <row s="31261" customFormat="1" customHeight="1" ht="11.549999999999999">
      <c r="A125" s="1271"/>
      <c r="B125" s="1271"/>
      <c r="C125" s="1271"/>
      <c r="D125" s="1271"/>
      <c r="E125" s="1271"/>
      <c r="F125" s="1920"/>
      <c r="G125" s="1920"/>
      <c r="H125" s="635"/>
      <c r="N125" s="1650"/>
      <c r="P125" s="1650"/>
      <c r="Q125" s="1920"/>
      <c r="R125" s="1920"/>
      <c r="S125" s="1650"/>
      <c r="T125" s="1650"/>
      <c r="U125" s="1650"/>
      <c r="V125" s="1650"/>
      <c r="W125" s="1920"/>
      <c r="X125" s="1650"/>
      <c r="Y125" s="1650"/>
      <c r="Z125" s="828"/>
      <c r="AA125" s="1650"/>
      <c r="AB125" s="1650"/>
      <c r="AC125" s="1650"/>
      <c r="AD125" s="1650"/>
      <c r="AE125" s="1650"/>
      <c r="AF125" s="1916"/>
      <c r="AG125" s="906"/>
      <c r="AH125" s="906"/>
      <c r="AI125" s="906"/>
      <c r="AJ125" s="906"/>
      <c r="AK125" s="1925">
        <v>11</v>
      </c>
    </row>
    <row s="31261" customFormat="1" customHeight="1" ht="11.549999999999999">
      <c r="A126" s="1271"/>
      <c r="B126" s="1271"/>
      <c r="C126" s="1271"/>
      <c r="D126" s="1271"/>
      <c r="E126" s="1271"/>
      <c r="F126" s="1920"/>
      <c r="G126" s="1920"/>
      <c r="H126" s="635"/>
      <c r="N126" s="1650"/>
      <c r="P126" s="1650"/>
      <c r="Q126" s="1920"/>
      <c r="R126" s="1920"/>
      <c r="S126" s="1650"/>
      <c r="T126" s="1650"/>
      <c r="U126" s="1650"/>
      <c r="V126" s="1650"/>
      <c r="W126" s="1920"/>
      <c r="X126" s="1650"/>
      <c r="Y126" s="1650"/>
      <c r="Z126" s="828"/>
      <c r="AA126" s="1650"/>
      <c r="AB126" s="1650"/>
      <c r="AC126" s="1650"/>
      <c r="AD126" s="1650"/>
      <c r="AE126" s="1650"/>
      <c r="AF126" s="1916"/>
      <c r="AG126" s="906"/>
      <c r="AH126" s="906"/>
      <c r="AI126" s="906"/>
      <c r="AJ126" s="906"/>
      <c r="AK126" s="1925">
        <v>11</v>
      </c>
    </row>
    <row s="31261" customFormat="1" customHeight="1" ht="11.549999999999999">
      <c r="A127" s="1271"/>
      <c r="B127" s="1271"/>
      <c r="C127" s="1271"/>
      <c r="D127" s="1271"/>
      <c r="E127" s="1271"/>
      <c r="F127" s="1920"/>
      <c r="G127" s="1920"/>
      <c r="H127" s="635"/>
      <c r="N127" s="1650"/>
      <c r="P127" s="1650"/>
      <c r="Q127" s="1920"/>
      <c r="R127" s="1920"/>
      <c r="S127" s="1650"/>
      <c r="T127" s="1650"/>
      <c r="U127" s="1650"/>
      <c r="V127" s="1650"/>
      <c r="W127" s="1920"/>
      <c r="X127" s="1650"/>
      <c r="Y127" s="1650"/>
      <c r="Z127" s="828"/>
      <c r="AA127" s="1650"/>
      <c r="AB127" s="1650"/>
      <c r="AC127" s="1650"/>
      <c r="AD127" s="1650"/>
      <c r="AE127" s="1650"/>
      <c r="AF127" s="1916"/>
      <c r="AG127" s="906"/>
      <c r="AH127" s="906"/>
      <c r="AI127" s="906"/>
      <c r="AJ127" s="906"/>
      <c r="AK127" s="1925">
        <v>11</v>
      </c>
    </row>
    <row s="31261" customFormat="1" customHeight="1" ht="11.549999999999999">
      <c r="A128" s="1271"/>
      <c r="B128" s="1271"/>
      <c r="C128" s="1271"/>
      <c r="D128" s="1271"/>
      <c r="E128" s="1271"/>
      <c r="F128" s="1920"/>
      <c r="G128" s="1920"/>
      <c r="H128" s="635"/>
      <c r="N128" s="1650"/>
      <c r="P128" s="1650"/>
      <c r="Q128" s="1920"/>
      <c r="R128" s="1920"/>
      <c r="S128" s="1650"/>
      <c r="T128" s="1650"/>
      <c r="U128" s="1650"/>
      <c r="V128" s="1650"/>
      <c r="W128" s="1920"/>
      <c r="X128" s="1650"/>
      <c r="Y128" s="1650"/>
      <c r="Z128" s="828"/>
      <c r="AA128" s="1650"/>
      <c r="AB128" s="1650"/>
      <c r="AC128" s="1650"/>
      <c r="AD128" s="1650"/>
      <c r="AE128" s="1650"/>
      <c r="AF128" s="1916"/>
      <c r="AG128" s="906"/>
      <c r="AH128" s="906"/>
      <c r="AI128" s="906"/>
      <c r="AJ128" s="906"/>
      <c r="AK128" s="1925">
        <v>11</v>
      </c>
    </row>
    <row s="31261" customFormat="1" customHeight="1" ht="11.549999999999999">
      <c r="A129" s="1271"/>
      <c r="B129" s="1271"/>
      <c r="C129" s="1271"/>
      <c r="D129" s="1271"/>
      <c r="E129" s="1271"/>
      <c r="F129" s="1920"/>
      <c r="G129" s="1920"/>
      <c r="H129" s="635"/>
      <c r="N129" s="1650"/>
      <c r="P129" s="1650"/>
      <c r="Q129" s="1920"/>
      <c r="R129" s="1920"/>
      <c r="S129" s="1650"/>
      <c r="T129" s="1650"/>
      <c r="U129" s="1650"/>
      <c r="V129" s="1650"/>
      <c r="W129" s="1920"/>
      <c r="X129" s="1650"/>
      <c r="Y129" s="1650"/>
      <c r="Z129" s="828"/>
      <c r="AA129" s="1650"/>
      <c r="AB129" s="1650"/>
      <c r="AC129" s="1650"/>
      <c r="AD129" s="1650"/>
      <c r="AE129" s="1650"/>
      <c r="AF129" s="1916"/>
      <c r="AG129" s="906"/>
      <c r="AH129" s="906"/>
      <c r="AI129" s="906"/>
      <c r="AJ129" s="906"/>
      <c r="AK129" s="1925">
        <v>11</v>
      </c>
    </row>
    <row s="31261" customFormat="1" customHeight="1" ht="11.549999999999999">
      <c r="A130" s="1271"/>
      <c r="B130" s="1271"/>
      <c r="C130" s="1271"/>
      <c r="D130" s="1271"/>
      <c r="E130" s="1271"/>
      <c r="F130" s="1920"/>
      <c r="G130" s="1920"/>
      <c r="H130" s="635"/>
      <c r="N130" s="1650"/>
      <c r="P130" s="1650"/>
      <c r="Q130" s="1920"/>
      <c r="R130" s="1920"/>
      <c r="S130" s="1650"/>
      <c r="T130" s="1650"/>
      <c r="U130" s="1650"/>
      <c r="V130" s="1650"/>
      <c r="W130" s="1920"/>
      <c r="X130" s="1650"/>
      <c r="Y130" s="1650"/>
      <c r="Z130" s="828"/>
      <c r="AA130" s="1650"/>
      <c r="AB130" s="1650"/>
      <c r="AC130" s="1650"/>
      <c r="AD130" s="1650"/>
      <c r="AE130" s="1650"/>
      <c r="AF130" s="1916"/>
      <c r="AG130" s="906"/>
      <c r="AH130" s="906"/>
      <c r="AI130" s="906"/>
      <c r="AJ130" s="906"/>
      <c r="AK130" s="1925">
        <v>11</v>
      </c>
    </row>
    <row s="31261" customFormat="1" customHeight="1" ht="11.549999999999999">
      <c r="A131" s="1271"/>
      <c r="B131" s="1271"/>
      <c r="C131" s="1271"/>
      <c r="D131" s="1271"/>
      <c r="E131" s="1271"/>
      <c r="F131" s="1920"/>
      <c r="G131" s="1920"/>
      <c r="H131" s="635"/>
      <c r="N131" s="1650"/>
      <c r="P131" s="1650"/>
      <c r="Q131" s="1920"/>
      <c r="R131" s="1920"/>
      <c r="S131" s="1650"/>
      <c r="T131" s="1650"/>
      <c r="U131" s="1650"/>
      <c r="V131" s="1650"/>
      <c r="W131" s="1920"/>
      <c r="X131" s="1650"/>
      <c r="Y131" s="1650"/>
      <c r="Z131" s="828"/>
      <c r="AA131" s="1650"/>
      <c r="AB131" s="1650"/>
      <c r="AC131" s="1650"/>
      <c r="AD131" s="1650"/>
      <c r="AE131" s="1650"/>
      <c r="AF131" s="1916"/>
      <c r="AG131" s="906"/>
      <c r="AH131" s="906"/>
      <c r="AI131" s="906"/>
      <c r="AJ131" s="906"/>
      <c r="AK131" s="1925">
        <v>11</v>
      </c>
    </row>
    <row s="31261" customFormat="1" customHeight="1" ht="11.549999999999999">
      <c r="A132" s="1271"/>
      <c r="B132" s="1271"/>
      <c r="C132" s="1271"/>
      <c r="D132" s="1271"/>
      <c r="E132" s="1271"/>
      <c r="F132" s="1920"/>
      <c r="G132" s="1920"/>
      <c r="H132" s="635"/>
      <c r="N132" s="1650"/>
      <c r="P132" s="1650"/>
      <c r="Q132" s="1920"/>
      <c r="R132" s="1920"/>
      <c r="S132" s="1650"/>
      <c r="T132" s="1650"/>
      <c r="U132" s="1650"/>
      <c r="V132" s="1650"/>
      <c r="W132" s="1920"/>
      <c r="X132" s="1650"/>
      <c r="Y132" s="1650"/>
      <c r="Z132" s="828"/>
      <c r="AA132" s="1650"/>
      <c r="AB132" s="1650"/>
      <c r="AC132" s="1650"/>
      <c r="AD132" s="1650"/>
      <c r="AE132" s="1650"/>
      <c r="AF132" s="1916"/>
      <c r="AG132" s="906"/>
      <c r="AH132" s="906"/>
      <c r="AI132" s="906"/>
      <c r="AJ132" s="906"/>
      <c r="AK132" s="1925">
        <v>11</v>
      </c>
    </row>
    <row s="31261" customFormat="1" customHeight="1" ht="11.549999999999999">
      <c r="A133" s="1271"/>
      <c r="B133" s="1271"/>
      <c r="C133" s="1271"/>
      <c r="D133" s="1271"/>
      <c r="E133" s="1271"/>
      <c r="F133" s="1920"/>
      <c r="G133" s="1920"/>
      <c r="H133" s="635"/>
      <c r="N133" s="1650"/>
      <c r="P133" s="1650"/>
      <c r="Q133" s="1920"/>
      <c r="R133" s="1920"/>
      <c r="S133" s="1650"/>
      <c r="T133" s="1650"/>
      <c r="U133" s="1650"/>
      <c r="V133" s="1650"/>
      <c r="W133" s="1920"/>
      <c r="X133" s="1650"/>
      <c r="Y133" s="1650"/>
      <c r="Z133" s="828"/>
      <c r="AA133" s="1650"/>
      <c r="AB133" s="1650"/>
      <c r="AC133" s="1650"/>
      <c r="AD133" s="1650"/>
      <c r="AE133" s="1650"/>
      <c r="AF133" s="1916"/>
      <c r="AG133" s="906"/>
      <c r="AH133" s="906"/>
      <c r="AI133" s="906"/>
      <c r="AJ133" s="906"/>
      <c r="AK133" s="1925">
        <v>11</v>
      </c>
    </row>
    <row s="31261" customFormat="1" customHeight="1" ht="11.549999999999999">
      <c r="A134" s="1271"/>
      <c r="B134" s="1271"/>
      <c r="C134" s="1271"/>
      <c r="D134" s="1271"/>
      <c r="E134" s="1271"/>
      <c r="F134" s="1920"/>
      <c r="G134" s="1920"/>
      <c r="H134" s="635"/>
      <c r="N134" s="1650"/>
      <c r="P134" s="1650"/>
      <c r="Q134" s="1920"/>
      <c r="R134" s="1920"/>
      <c r="S134" s="1650"/>
      <c r="T134" s="1650"/>
      <c r="U134" s="1650"/>
      <c r="V134" s="1650"/>
      <c r="W134" s="1920"/>
      <c r="X134" s="1650"/>
      <c r="Y134" s="1650"/>
      <c r="Z134" s="828"/>
      <c r="AA134" s="1650"/>
      <c r="AB134" s="1650"/>
      <c r="AC134" s="1650"/>
      <c r="AD134" s="1650"/>
      <c r="AE134" s="1650"/>
      <c r="AF134" s="1916"/>
      <c r="AG134" s="906"/>
      <c r="AH134" s="906"/>
      <c r="AI134" s="906"/>
      <c r="AJ134" s="906"/>
      <c r="AK134" s="1925">
        <v>11</v>
      </c>
    </row>
    <row s="31261" customFormat="1" customHeight="1" ht="11.549999999999999">
      <c r="A135" s="1271"/>
      <c r="B135" s="1271"/>
      <c r="C135" s="1271"/>
      <c r="D135" s="1271"/>
      <c r="E135" s="1271"/>
      <c r="F135" s="1920"/>
      <c r="G135" s="1920"/>
      <c r="H135" s="635"/>
      <c r="N135" s="1650"/>
      <c r="P135" s="1650"/>
      <c r="Q135" s="1920"/>
      <c r="R135" s="1920"/>
      <c r="S135" s="1650"/>
      <c r="T135" s="1650"/>
      <c r="U135" s="1650"/>
      <c r="V135" s="1650"/>
      <c r="W135" s="1920"/>
      <c r="X135" s="1650"/>
      <c r="Y135" s="1650"/>
      <c r="Z135" s="828"/>
      <c r="AA135" s="1650"/>
      <c r="AB135" s="1650"/>
      <c r="AC135" s="1650"/>
      <c r="AD135" s="1650"/>
      <c r="AE135" s="1650"/>
      <c r="AF135" s="1916"/>
      <c r="AG135" s="906"/>
      <c r="AH135" s="906"/>
      <c r="AI135" s="906"/>
      <c r="AJ135" s="906"/>
      <c r="AK135" s="1925">
        <v>11</v>
      </c>
    </row>
    <row s="31261" customFormat="1" customHeight="1" ht="11.549999999999999">
      <c r="A136" s="1271"/>
      <c r="B136" s="1271"/>
      <c r="C136" s="1271"/>
      <c r="D136" s="1271"/>
      <c r="E136" s="1271"/>
      <c r="F136" s="1920"/>
      <c r="G136" s="1920"/>
      <c r="H136" s="635"/>
      <c r="N136" s="1650"/>
      <c r="P136" s="1650"/>
      <c r="Q136" s="1920"/>
      <c r="R136" s="1920"/>
      <c r="S136" s="1650"/>
      <c r="T136" s="1650"/>
      <c r="U136" s="1650"/>
      <c r="V136" s="1650"/>
      <c r="W136" s="1920"/>
      <c r="X136" s="1650"/>
      <c r="Y136" s="1650"/>
      <c r="Z136" s="828"/>
      <c r="AA136" s="1650"/>
      <c r="AB136" s="1650"/>
      <c r="AC136" s="1650"/>
      <c r="AD136" s="1650"/>
      <c r="AE136" s="1650"/>
      <c r="AF136" s="1916"/>
      <c r="AG136" s="906"/>
      <c r="AH136" s="906"/>
      <c r="AI136" s="906"/>
      <c r="AJ136" s="906"/>
      <c r="AK136" s="1925">
        <v>11</v>
      </c>
    </row>
    <row s="31261" customFormat="1" customHeight="1" ht="11.549999999999999">
      <c r="A137" s="1271"/>
      <c r="B137" s="1271"/>
      <c r="C137" s="1271"/>
      <c r="D137" s="1271"/>
      <c r="E137" s="1271"/>
      <c r="F137" s="1920"/>
      <c r="G137" s="1920"/>
      <c r="H137" s="635"/>
      <c r="N137" s="1650"/>
      <c r="P137" s="1650"/>
      <c r="Q137" s="1920"/>
      <c r="R137" s="1920"/>
      <c r="S137" s="1650"/>
      <c r="T137" s="1650"/>
      <c r="U137" s="1650"/>
      <c r="V137" s="1650"/>
      <c r="W137" s="1920"/>
      <c r="X137" s="1650"/>
      <c r="Y137" s="1650"/>
      <c r="Z137" s="828"/>
      <c r="AA137" s="1650"/>
      <c r="AB137" s="1650"/>
      <c r="AC137" s="1650"/>
      <c r="AD137" s="1650"/>
      <c r="AE137" s="1650"/>
      <c r="AF137" s="1916"/>
      <c r="AG137" s="906"/>
      <c r="AH137" s="906"/>
      <c r="AI137" s="906"/>
      <c r="AJ137" s="906"/>
      <c r="AK137" s="1925">
        <v>11</v>
      </c>
    </row>
    <row s="31261" customFormat="1" customHeight="1" ht="11.549999999999999">
      <c r="A138" s="1271"/>
      <c r="B138" s="1271"/>
      <c r="C138" s="1271"/>
      <c r="D138" s="1271"/>
      <c r="E138" s="1271"/>
      <c r="F138" s="1920"/>
      <c r="G138" s="1920"/>
      <c r="H138" s="635"/>
      <c r="N138" s="1650"/>
      <c r="P138" s="1650"/>
      <c r="Q138" s="1920"/>
      <c r="R138" s="1920"/>
      <c r="S138" s="1650"/>
      <c r="T138" s="1650"/>
      <c r="U138" s="1650"/>
      <c r="V138" s="1650"/>
      <c r="W138" s="1920"/>
      <c r="X138" s="1650"/>
      <c r="Y138" s="1650"/>
      <c r="Z138" s="828"/>
      <c r="AA138" s="1650"/>
      <c r="AB138" s="1650"/>
      <c r="AC138" s="1650"/>
      <c r="AD138" s="1650"/>
      <c r="AE138" s="1650"/>
      <c r="AF138" s="1916"/>
      <c r="AG138" s="906"/>
      <c r="AH138" s="906"/>
      <c r="AI138" s="906"/>
      <c r="AJ138" s="906"/>
      <c r="AK138" s="1925">
        <v>11</v>
      </c>
    </row>
    <row s="31261" customFormat="1" customHeight="1" ht="11.549999999999999">
      <c r="A139" s="1271"/>
      <c r="B139" s="1271"/>
      <c r="C139" s="1271"/>
      <c r="D139" s="1271"/>
      <c r="E139" s="1271"/>
      <c r="F139" s="1920"/>
      <c r="G139" s="1920"/>
      <c r="H139" s="635"/>
      <c r="N139" s="1650"/>
      <c r="P139" s="1650"/>
      <c r="Q139" s="1920"/>
      <c r="R139" s="1920"/>
      <c r="S139" s="1650"/>
      <c r="T139" s="1650"/>
      <c r="U139" s="1650"/>
      <c r="V139" s="1650"/>
      <c r="W139" s="1920"/>
      <c r="X139" s="1650"/>
      <c r="Y139" s="1650"/>
      <c r="Z139" s="828"/>
      <c r="AA139" s="1650"/>
      <c r="AB139" s="1650"/>
      <c r="AC139" s="1650"/>
      <c r="AD139" s="1650"/>
      <c r="AE139" s="1650"/>
      <c r="AF139" s="1916"/>
      <c r="AG139" s="906"/>
      <c r="AH139" s="906"/>
      <c r="AI139" s="906"/>
      <c r="AJ139" s="906"/>
      <c r="AK139" s="1925">
        <v>11</v>
      </c>
    </row>
    <row s="31261" customFormat="1" customHeight="1" ht="11.549999999999999">
      <c r="A140" s="1271"/>
      <c r="B140" s="1271"/>
      <c r="C140" s="1271"/>
      <c r="D140" s="1271"/>
      <c r="E140" s="1271"/>
      <c r="F140" s="1920"/>
      <c r="G140" s="1920"/>
      <c r="H140" s="635"/>
      <c r="N140" s="1650"/>
      <c r="P140" s="1650"/>
      <c r="Q140" s="1920"/>
      <c r="R140" s="1920"/>
      <c r="S140" s="1650"/>
      <c r="T140" s="1650"/>
      <c r="U140" s="1650"/>
      <c r="V140" s="1650"/>
      <c r="W140" s="1920"/>
      <c r="X140" s="1650"/>
      <c r="Y140" s="1650"/>
      <c r="Z140" s="828"/>
      <c r="AA140" s="1650"/>
      <c r="AB140" s="1650"/>
      <c r="AC140" s="1650"/>
      <c r="AD140" s="1650"/>
      <c r="AE140" s="1650"/>
      <c r="AF140" s="1916"/>
      <c r="AG140" s="906"/>
      <c r="AH140" s="906"/>
      <c r="AI140" s="906"/>
      <c r="AJ140" s="906"/>
      <c r="AK140" s="1925">
        <v>11</v>
      </c>
    </row>
    <row s="31261" customFormat="1" customHeight="1" ht="11.549999999999999">
      <c r="A141" s="1271"/>
      <c r="B141" s="1271"/>
      <c r="C141" s="1271"/>
      <c r="D141" s="1271"/>
      <c r="E141" s="1271"/>
      <c r="F141" s="1920"/>
      <c r="G141" s="1920"/>
      <c r="H141" s="635"/>
      <c r="N141" s="1650"/>
      <c r="P141" s="1650"/>
      <c r="Q141" s="1920"/>
      <c r="R141" s="1920"/>
      <c r="S141" s="1650"/>
      <c r="T141" s="1650"/>
      <c r="U141" s="1650"/>
      <c r="V141" s="1650"/>
      <c r="W141" s="1920"/>
      <c r="X141" s="1650"/>
      <c r="Y141" s="1650"/>
      <c r="Z141" s="828"/>
      <c r="AA141" s="1650"/>
      <c r="AB141" s="1650"/>
      <c r="AC141" s="1650"/>
      <c r="AD141" s="1650"/>
      <c r="AE141" s="1650"/>
      <c r="AF141" s="1916"/>
      <c r="AG141" s="906"/>
      <c r="AH141" s="906"/>
      <c r="AI141" s="906"/>
      <c r="AJ141" s="906"/>
      <c r="AK141" s="1925">
        <v>11</v>
      </c>
    </row>
    <row s="31261" customFormat="1" customHeight="1" ht="11.549999999999999">
      <c r="A142" s="1271"/>
      <c r="B142" s="1271"/>
      <c r="C142" s="1271"/>
      <c r="D142" s="1271"/>
      <c r="E142" s="1271"/>
      <c r="F142" s="1920"/>
      <c r="G142" s="1920"/>
      <c r="H142" s="635"/>
      <c r="N142" s="1650"/>
      <c r="P142" s="1650"/>
      <c r="Q142" s="1920"/>
      <c r="R142" s="1920"/>
      <c r="S142" s="1650"/>
      <c r="T142" s="1650"/>
      <c r="U142" s="1650"/>
      <c r="V142" s="1650"/>
      <c r="W142" s="1920"/>
      <c r="X142" s="1650"/>
      <c r="Y142" s="1650"/>
      <c r="Z142" s="828"/>
      <c r="AA142" s="1650"/>
      <c r="AB142" s="1650"/>
      <c r="AC142" s="1650"/>
      <c r="AD142" s="1650"/>
      <c r="AE142" s="1650"/>
      <c r="AF142" s="1916"/>
      <c r="AG142" s="906"/>
      <c r="AH142" s="906"/>
      <c r="AI142" s="906"/>
      <c r="AJ142" s="906"/>
      <c r="AK142" s="1925">
        <v>11</v>
      </c>
    </row>
    <row s="31261" customFormat="1" customHeight="1" ht="11.549999999999999">
      <c r="A143" s="1271"/>
      <c r="B143" s="1271"/>
      <c r="C143" s="1271"/>
      <c r="D143" s="1271"/>
      <c r="E143" s="1271"/>
      <c r="F143" s="1920"/>
      <c r="G143" s="1920"/>
      <c r="H143" s="635"/>
      <c r="N143" s="1650"/>
      <c r="P143" s="1650"/>
      <c r="Q143" s="1920"/>
      <c r="R143" s="1920"/>
      <c r="S143" s="1650"/>
      <c r="T143" s="1650"/>
      <c r="U143" s="1650"/>
      <c r="V143" s="1650"/>
      <c r="W143" s="1920"/>
      <c r="X143" s="1650"/>
      <c r="Y143" s="1650"/>
      <c r="Z143" s="828"/>
      <c r="AA143" s="1650"/>
      <c r="AB143" s="1650"/>
      <c r="AC143" s="1650"/>
      <c r="AD143" s="1650"/>
      <c r="AE143" s="1650"/>
      <c r="AF143" s="1916"/>
      <c r="AG143" s="906"/>
      <c r="AH143" s="906"/>
      <c r="AI143" s="906"/>
      <c r="AJ143" s="906"/>
      <c r="AK143" s="1925">
        <v>11</v>
      </c>
    </row>
    <row s="31261" customFormat="1" customHeight="1" ht="11.549999999999999">
      <c r="A144" s="1271"/>
      <c r="B144" s="1271"/>
      <c r="C144" s="1271"/>
      <c r="D144" s="1271"/>
      <c r="E144" s="1271"/>
      <c r="F144" s="1920"/>
      <c r="G144" s="1920"/>
      <c r="H144" s="635"/>
      <c r="N144" s="1650"/>
      <c r="P144" s="1650"/>
      <c r="Q144" s="1920"/>
      <c r="R144" s="1920"/>
      <c r="S144" s="1650"/>
      <c r="T144" s="1650"/>
      <c r="U144" s="1650"/>
      <c r="V144" s="1650"/>
      <c r="W144" s="1920"/>
      <c r="X144" s="1650"/>
      <c r="Y144" s="1650"/>
      <c r="Z144" s="828"/>
      <c r="AA144" s="1650"/>
      <c r="AB144" s="1650"/>
      <c r="AC144" s="1650"/>
      <c r="AD144" s="1650"/>
      <c r="AE144" s="1650"/>
      <c r="AF144" s="1916"/>
      <c r="AG144" s="906"/>
      <c r="AH144" s="906"/>
      <c r="AI144" s="906"/>
      <c r="AJ144" s="906"/>
      <c r="AK144" s="1925">
        <v>11</v>
      </c>
    </row>
    <row s="31261" customFormat="1" customHeight="1" ht="11.549999999999999">
      <c r="A145" s="1271"/>
      <c r="B145" s="1271"/>
      <c r="C145" s="1271"/>
      <c r="D145" s="1271"/>
      <c r="E145" s="1271"/>
      <c r="F145" s="1920"/>
      <c r="G145" s="1920"/>
      <c r="H145" s="635"/>
      <c r="N145" s="1650"/>
      <c r="P145" s="1650"/>
      <c r="Q145" s="1920"/>
      <c r="R145" s="1920"/>
      <c r="S145" s="1650"/>
      <c r="T145" s="1650"/>
      <c r="U145" s="1650"/>
      <c r="V145" s="1650"/>
      <c r="W145" s="1920"/>
      <c r="X145" s="1650"/>
      <c r="Y145" s="1650"/>
      <c r="Z145" s="828"/>
      <c r="AA145" s="1650"/>
      <c r="AB145" s="1650"/>
      <c r="AC145" s="1650"/>
      <c r="AD145" s="1650"/>
      <c r="AE145" s="1650"/>
      <c r="AF145" s="1916"/>
      <c r="AG145" s="906"/>
      <c r="AH145" s="906"/>
      <c r="AI145" s="906"/>
      <c r="AJ145" s="906"/>
      <c r="AK145" s="1925">
        <v>11</v>
      </c>
    </row>
    <row s="31261" customFormat="1" customHeight="1" ht="11.549999999999999">
      <c r="A146" s="1271"/>
      <c r="B146" s="1271"/>
      <c r="C146" s="1271"/>
      <c r="D146" s="1271"/>
      <c r="E146" s="1271"/>
      <c r="F146" s="1920"/>
      <c r="G146" s="1920"/>
      <c r="H146" s="635"/>
      <c r="N146" s="1650"/>
      <c r="P146" s="1650"/>
      <c r="Q146" s="1920"/>
      <c r="R146" s="1920"/>
      <c r="S146" s="1650"/>
      <c r="T146" s="1650"/>
      <c r="U146" s="1650"/>
      <c r="V146" s="1650"/>
      <c r="W146" s="1920"/>
      <c r="X146" s="1650"/>
      <c r="Y146" s="1650"/>
      <c r="Z146" s="828"/>
      <c r="AA146" s="1650"/>
      <c r="AB146" s="1650"/>
      <c r="AC146" s="1650"/>
      <c r="AD146" s="1650"/>
      <c r="AE146" s="1650"/>
      <c r="AF146" s="1916"/>
      <c r="AG146" s="906"/>
      <c r="AH146" s="906"/>
      <c r="AI146" s="906"/>
      <c r="AJ146" s="906"/>
      <c r="AK146" s="1925">
        <v>11</v>
      </c>
    </row>
    <row s="31261" customFormat="1" customHeight="1" ht="11.549999999999999">
      <c r="A147" s="1271"/>
      <c r="B147" s="1271"/>
      <c r="C147" s="1271"/>
      <c r="D147" s="1271"/>
      <c r="E147" s="1271"/>
      <c r="F147" s="1920"/>
      <c r="G147" s="1920"/>
      <c r="H147" s="635"/>
      <c r="N147" s="1650"/>
      <c r="P147" s="1650"/>
      <c r="Q147" s="1920"/>
      <c r="R147" s="1920"/>
      <c r="S147" s="1650"/>
      <c r="T147" s="1650"/>
      <c r="U147" s="1650"/>
      <c r="V147" s="1650"/>
      <c r="W147" s="1920"/>
      <c r="X147" s="1650"/>
      <c r="Y147" s="1650"/>
      <c r="Z147" s="828"/>
      <c r="AA147" s="1650"/>
      <c r="AB147" s="1650"/>
      <c r="AC147" s="1650"/>
      <c r="AD147" s="1650"/>
      <c r="AE147" s="1650"/>
      <c r="AF147" s="1916"/>
      <c r="AG147" s="906"/>
      <c r="AH147" s="906"/>
      <c r="AI147" s="906"/>
      <c r="AJ147" s="906"/>
      <c r="AK147" s="1925">
        <v>11</v>
      </c>
    </row>
    <row s="31261" customFormat="1" customHeight="1" ht="11.549999999999999">
      <c r="A148" s="1271"/>
      <c r="B148" s="1271"/>
      <c r="C148" s="1271"/>
      <c r="D148" s="1271"/>
      <c r="E148" s="1271"/>
      <c r="F148" s="1920"/>
      <c r="G148" s="1920"/>
      <c r="H148" s="635"/>
      <c r="N148" s="1650"/>
      <c r="P148" s="1650"/>
      <c r="Q148" s="1920"/>
      <c r="R148" s="1920"/>
      <c r="S148" s="1650"/>
      <c r="T148" s="1650"/>
      <c r="U148" s="1650"/>
      <c r="V148" s="1650"/>
      <c r="W148" s="1920"/>
      <c r="X148" s="1650"/>
      <c r="Y148" s="1650"/>
      <c r="Z148" s="828"/>
      <c r="AA148" s="1650"/>
      <c r="AB148" s="1650"/>
      <c r="AC148" s="1650"/>
      <c r="AD148" s="1650"/>
      <c r="AE148" s="1650"/>
      <c r="AF148" s="1916"/>
      <c r="AG148" s="906"/>
      <c r="AH148" s="906"/>
      <c r="AI148" s="906"/>
      <c r="AJ148" s="906"/>
      <c r="AK148" s="1925">
        <v>11</v>
      </c>
    </row>
    <row s="31261" customFormat="1" customHeight="1" ht="11.549999999999999">
      <c r="A149" s="1271"/>
      <c r="B149" s="1271"/>
      <c r="C149" s="1271"/>
      <c r="D149" s="1271"/>
      <c r="E149" s="1271"/>
      <c r="F149" s="1920"/>
      <c r="G149" s="1920"/>
      <c r="H149" s="635"/>
      <c r="N149" s="1650"/>
      <c r="P149" s="1650"/>
      <c r="Q149" s="1920"/>
      <c r="R149" s="1920"/>
      <c r="S149" s="1650"/>
      <c r="T149" s="1650"/>
      <c r="U149" s="1650"/>
      <c r="V149" s="1650"/>
      <c r="W149" s="1920"/>
      <c r="X149" s="1650"/>
      <c r="Y149" s="1650"/>
      <c r="Z149" s="828"/>
      <c r="AA149" s="1650"/>
      <c r="AB149" s="1650"/>
      <c r="AC149" s="1650"/>
      <c r="AD149" s="1650"/>
      <c r="AE149" s="1650"/>
      <c r="AF149" s="1916"/>
      <c r="AG149" s="906"/>
      <c r="AH149" s="906"/>
      <c r="AI149" s="906"/>
      <c r="AJ149" s="906"/>
      <c r="AK149" s="1925">
        <v>11</v>
      </c>
    </row>
    <row s="31261" customFormat="1" customHeight="1" ht="11.549999999999999">
      <c r="A150" s="1271"/>
      <c r="B150" s="1271"/>
      <c r="C150" s="1271"/>
      <c r="D150" s="1271"/>
      <c r="E150" s="1271"/>
      <c r="F150" s="1920"/>
      <c r="G150" s="1920"/>
      <c r="H150" s="635"/>
      <c r="N150" s="1650"/>
      <c r="P150" s="1650"/>
      <c r="Q150" s="1920"/>
      <c r="R150" s="1920"/>
      <c r="S150" s="1650"/>
      <c r="T150" s="1650"/>
      <c r="U150" s="1650"/>
      <c r="V150" s="1650"/>
      <c r="W150" s="1920"/>
      <c r="X150" s="1650"/>
      <c r="Y150" s="1650"/>
      <c r="Z150" s="828"/>
      <c r="AA150" s="1650"/>
      <c r="AB150" s="1650"/>
      <c r="AC150" s="1650"/>
      <c r="AD150" s="1650"/>
      <c r="AE150" s="1650"/>
      <c r="AF150" s="1916"/>
      <c r="AG150" s="906"/>
      <c r="AH150" s="906"/>
      <c r="AI150" s="906"/>
      <c r="AJ150" s="906"/>
      <c r="AK150" s="1925">
        <v>11</v>
      </c>
    </row>
    <row s="31261" customFormat="1" customHeight="1" ht="11.549999999999999">
      <c r="A151" s="1271"/>
      <c r="B151" s="1271"/>
      <c r="C151" s="1271"/>
      <c r="D151" s="1271"/>
      <c r="E151" s="1271"/>
      <c r="F151" s="1920"/>
      <c r="G151" s="1920"/>
      <c r="H151" s="635"/>
      <c r="N151" s="1650"/>
      <c r="P151" s="1650"/>
      <c r="Q151" s="1920"/>
      <c r="R151" s="1920"/>
      <c r="S151" s="1650"/>
      <c r="T151" s="1650"/>
      <c r="U151" s="1650"/>
      <c r="V151" s="1650"/>
      <c r="W151" s="1920"/>
      <c r="X151" s="1650"/>
      <c r="Y151" s="1650"/>
      <c r="Z151" s="828"/>
      <c r="AA151" s="1650"/>
      <c r="AB151" s="1650"/>
      <c r="AC151" s="1650"/>
      <c r="AD151" s="1650"/>
      <c r="AE151" s="1650"/>
      <c r="AF151" s="1916"/>
      <c r="AG151" s="906"/>
      <c r="AH151" s="906"/>
      <c r="AI151" s="906"/>
      <c r="AJ151" s="906"/>
      <c r="AK151" s="1925">
        <v>11</v>
      </c>
    </row>
    <row s="31261" customFormat="1" customHeight="1" ht="11.549999999999999">
      <c r="A152" s="1271"/>
      <c r="B152" s="1271"/>
      <c r="C152" s="1271"/>
      <c r="D152" s="1271"/>
      <c r="E152" s="1271"/>
      <c r="F152" s="1920"/>
      <c r="G152" s="1920"/>
      <c r="H152" s="635"/>
      <c r="N152" s="1650"/>
      <c r="P152" s="1650"/>
      <c r="Q152" s="1920"/>
      <c r="R152" s="1920"/>
      <c r="S152" s="1650"/>
      <c r="T152" s="1650"/>
      <c r="U152" s="1650"/>
      <c r="V152" s="1650"/>
      <c r="W152" s="1920"/>
      <c r="X152" s="1650"/>
      <c r="Y152" s="1650"/>
      <c r="Z152" s="828"/>
      <c r="AA152" s="1650"/>
      <c r="AB152" s="1650"/>
      <c r="AC152" s="1650"/>
      <c r="AD152" s="1650"/>
      <c r="AE152" s="1650"/>
      <c r="AF152" s="1916"/>
      <c r="AG152" s="906"/>
      <c r="AH152" s="906"/>
      <c r="AI152" s="906"/>
      <c r="AJ152" s="906"/>
      <c r="AK152" s="1925">
        <v>11</v>
      </c>
    </row>
    <row s="31261" customFormat="1" customHeight="1" ht="11.549999999999999">
      <c r="A153" s="1271"/>
      <c r="B153" s="1271"/>
      <c r="C153" s="1271"/>
      <c r="D153" s="1271"/>
      <c r="E153" s="1271"/>
      <c r="F153" s="1920"/>
      <c r="G153" s="1920"/>
      <c r="H153" s="635"/>
      <c r="N153" s="1650"/>
      <c r="P153" s="1650"/>
      <c r="Q153" s="1920"/>
      <c r="R153" s="1920"/>
      <c r="S153" s="1650"/>
      <c r="T153" s="1650"/>
      <c r="U153" s="1650"/>
      <c r="V153" s="1650"/>
      <c r="W153" s="1920"/>
      <c r="X153" s="1650"/>
      <c r="Y153" s="1650"/>
      <c r="Z153" s="828"/>
      <c r="AA153" s="1650"/>
      <c r="AB153" s="1650"/>
      <c r="AC153" s="1650"/>
      <c r="AD153" s="1650"/>
      <c r="AE153" s="1650"/>
      <c r="AF153" s="1916"/>
      <c r="AG153" s="906"/>
      <c r="AH153" s="906"/>
      <c r="AI153" s="906"/>
      <c r="AJ153" s="906"/>
      <c r="AK153" s="1925">
        <v>11</v>
      </c>
    </row>
    <row s="31261" customFormat="1" customHeight="1" ht="11.549999999999999">
      <c r="A154" s="1271"/>
      <c r="B154" s="1271"/>
      <c r="C154" s="1271"/>
      <c r="D154" s="1271"/>
      <c r="E154" s="1271"/>
      <c r="F154" s="1920"/>
      <c r="G154" s="1920"/>
      <c r="H154" s="635"/>
      <c r="N154" s="1650"/>
      <c r="P154" s="1650"/>
      <c r="Q154" s="1920"/>
      <c r="R154" s="1920"/>
      <c r="S154" s="1650"/>
      <c r="T154" s="1650"/>
      <c r="U154" s="1650"/>
      <c r="V154" s="1650"/>
      <c r="W154" s="1920"/>
      <c r="X154" s="1650"/>
      <c r="Y154" s="1650"/>
      <c r="Z154" s="828"/>
      <c r="AA154" s="1650"/>
      <c r="AB154" s="1650"/>
      <c r="AC154" s="1650"/>
      <c r="AD154" s="1650"/>
      <c r="AE154" s="1650"/>
      <c r="AF154" s="1916"/>
      <c r="AG154" s="906"/>
      <c r="AH154" s="906"/>
      <c r="AI154" s="906"/>
      <c r="AJ154" s="906"/>
      <c r="AK154" s="1925">
        <v>11</v>
      </c>
    </row>
    <row s="31261" customFormat="1" customHeight="1" ht="11.549999999999999">
      <c r="A155" s="1271"/>
      <c r="B155" s="1271"/>
      <c r="C155" s="1271"/>
      <c r="D155" s="1271"/>
      <c r="E155" s="1271"/>
      <c r="F155" s="1920"/>
      <c r="G155" s="1920"/>
      <c r="H155" s="635"/>
      <c r="N155" s="1650"/>
      <c r="P155" s="1650"/>
      <c r="Q155" s="1920"/>
      <c r="R155" s="1920"/>
      <c r="S155" s="1650"/>
      <c r="T155" s="1650"/>
      <c r="U155" s="1650"/>
      <c r="V155" s="1650"/>
      <c r="W155" s="1920"/>
      <c r="X155" s="1650"/>
      <c r="Y155" s="1650"/>
      <c r="Z155" s="828"/>
      <c r="AA155" s="1650"/>
      <c r="AB155" s="1650"/>
      <c r="AC155" s="1650"/>
      <c r="AD155" s="1650"/>
      <c r="AE155" s="1650"/>
      <c r="AF155" s="1916"/>
      <c r="AG155" s="906"/>
      <c r="AH155" s="906"/>
      <c r="AI155" s="906"/>
      <c r="AJ155" s="906"/>
      <c r="AK155" s="1925">
        <v>11</v>
      </c>
    </row>
    <row s="31261" customFormat="1" customHeight="1" ht="11.549999999999999">
      <c r="A156" s="1271"/>
      <c r="B156" s="1271"/>
      <c r="C156" s="1271"/>
      <c r="D156" s="1271"/>
      <c r="E156" s="1271"/>
      <c r="F156" s="1920"/>
      <c r="G156" s="1920"/>
      <c r="H156" s="635"/>
      <c r="N156" s="1650"/>
      <c r="P156" s="1650"/>
      <c r="Q156" s="1920"/>
      <c r="R156" s="1920"/>
      <c r="S156" s="1650"/>
      <c r="T156" s="1650"/>
      <c r="U156" s="1650"/>
      <c r="V156" s="1650"/>
      <c r="W156" s="1920"/>
      <c r="X156" s="1650"/>
      <c r="Y156" s="1650"/>
      <c r="Z156" s="828"/>
      <c r="AA156" s="1650"/>
      <c r="AB156" s="1650"/>
      <c r="AC156" s="1650"/>
      <c r="AD156" s="1650"/>
      <c r="AE156" s="1650"/>
      <c r="AF156" s="1916"/>
      <c r="AG156" s="906"/>
      <c r="AH156" s="906"/>
      <c r="AI156" s="906"/>
      <c r="AJ156" s="906"/>
      <c r="AK156" s="1925">
        <v>11</v>
      </c>
    </row>
    <row s="31261" customFormat="1" customHeight="1" ht="11.549999999999999">
      <c r="A157" s="1271"/>
      <c r="B157" s="1271"/>
      <c r="C157" s="1271"/>
      <c r="D157" s="1271"/>
      <c r="E157" s="1271"/>
      <c r="F157" s="1920"/>
      <c r="G157" s="1920"/>
      <c r="H157" s="635"/>
      <c r="N157" s="1650"/>
      <c r="P157" s="1650"/>
      <c r="Q157" s="1920"/>
      <c r="R157" s="1920"/>
      <c r="S157" s="1650"/>
      <c r="T157" s="1650"/>
      <c r="U157" s="1650"/>
      <c r="V157" s="1650"/>
      <c r="W157" s="1920"/>
      <c r="X157" s="1650"/>
      <c r="Y157" s="1650"/>
      <c r="Z157" s="828"/>
      <c r="AA157" s="1650"/>
      <c r="AB157" s="1650"/>
      <c r="AC157" s="1650"/>
      <c r="AD157" s="1650"/>
      <c r="AE157" s="1650"/>
      <c r="AF157" s="1916"/>
      <c r="AG157" s="906"/>
      <c r="AH157" s="906"/>
      <c r="AI157" s="906"/>
      <c r="AJ157" s="906"/>
      <c r="AK157" s="1925">
        <v>11</v>
      </c>
    </row>
    <row s="31261" customFormat="1" customHeight="1" ht="11.549999999999999">
      <c r="A158" s="1271"/>
      <c r="B158" s="1271"/>
      <c r="C158" s="1271"/>
      <c r="D158" s="1271"/>
      <c r="E158" s="1271"/>
      <c r="F158" s="1920"/>
      <c r="G158" s="1920"/>
      <c r="H158" s="635"/>
      <c r="N158" s="1650"/>
      <c r="P158" s="1650"/>
      <c r="Q158" s="1920"/>
      <c r="R158" s="1920"/>
      <c r="S158" s="1650"/>
      <c r="T158" s="1650"/>
      <c r="U158" s="1650"/>
      <c r="V158" s="1650"/>
      <c r="W158" s="1920"/>
      <c r="X158" s="1650"/>
      <c r="Y158" s="1650"/>
      <c r="Z158" s="828"/>
      <c r="AA158" s="1650"/>
      <c r="AB158" s="1650"/>
      <c r="AC158" s="1650"/>
      <c r="AD158" s="1650"/>
      <c r="AE158" s="1650"/>
      <c r="AF158" s="1916"/>
      <c r="AG158" s="906"/>
      <c r="AH158" s="906"/>
      <c r="AI158" s="906"/>
      <c r="AJ158" s="906"/>
      <c r="AK158" s="1925">
        <v>11</v>
      </c>
    </row>
    <row s="31261" customFormat="1" customHeight="1" ht="11.549999999999999">
      <c r="A159" s="1271"/>
      <c r="B159" s="1271"/>
      <c r="C159" s="1271"/>
      <c r="D159" s="1271"/>
      <c r="E159" s="1271"/>
      <c r="F159" s="1920"/>
      <c r="G159" s="1920"/>
      <c r="H159" s="635"/>
      <c r="N159" s="1650"/>
      <c r="P159" s="1650"/>
      <c r="Q159" s="1920"/>
      <c r="R159" s="1920"/>
      <c r="S159" s="1650"/>
      <c r="T159" s="1650"/>
      <c r="U159" s="1650"/>
      <c r="V159" s="1650"/>
      <c r="W159" s="1920"/>
      <c r="X159" s="1650"/>
      <c r="Y159" s="1650"/>
      <c r="Z159" s="828"/>
      <c r="AA159" s="1650"/>
      <c r="AB159" s="1650"/>
      <c r="AC159" s="1650"/>
      <c r="AD159" s="1650"/>
      <c r="AE159" s="1650"/>
      <c r="AF159" s="1916"/>
      <c r="AG159" s="906"/>
      <c r="AH159" s="906"/>
      <c r="AI159" s="906"/>
      <c r="AJ159" s="906"/>
      <c r="AK159" s="1925">
        <v>11</v>
      </c>
    </row>
    <row s="31261" customFormat="1" customHeight="1" ht="11.549999999999999">
      <c r="A160" s="1271"/>
      <c r="B160" s="1271"/>
      <c r="C160" s="1271"/>
      <c r="D160" s="1271"/>
      <c r="E160" s="1271"/>
      <c r="F160" s="1920"/>
      <c r="G160" s="1920"/>
      <c r="H160" s="635"/>
      <c r="N160" s="1650"/>
      <c r="P160" s="1650"/>
      <c r="Q160" s="1920"/>
      <c r="R160" s="1920"/>
      <c r="S160" s="1650"/>
      <c r="T160" s="1650"/>
      <c r="U160" s="1650"/>
      <c r="V160" s="1650"/>
      <c r="W160" s="1920"/>
      <c r="X160" s="1650"/>
      <c r="Y160" s="1650"/>
      <c r="Z160" s="828"/>
      <c r="AA160" s="1650"/>
      <c r="AB160" s="1650"/>
      <c r="AC160" s="1650"/>
      <c r="AD160" s="1650"/>
      <c r="AE160" s="1650"/>
      <c r="AF160" s="1916"/>
      <c r="AG160" s="906"/>
      <c r="AH160" s="906"/>
      <c r="AI160" s="906"/>
      <c r="AJ160" s="906"/>
      <c r="AK160" s="1925">
        <v>11</v>
      </c>
    </row>
    <row s="31261" customFormat="1" customHeight="1" ht="11.549999999999999">
      <c r="A161" s="1271"/>
      <c r="B161" s="1271"/>
      <c r="C161" s="1271"/>
      <c r="D161" s="1271"/>
      <c r="E161" s="1271"/>
      <c r="F161" s="1920"/>
      <c r="G161" s="1920"/>
      <c r="H161" s="635"/>
      <c r="N161" s="1650"/>
      <c r="P161" s="1650"/>
      <c r="Q161" s="1920"/>
      <c r="R161" s="1920"/>
      <c r="S161" s="1650"/>
      <c r="T161" s="1650"/>
      <c r="U161" s="1650"/>
      <c r="V161" s="1650"/>
      <c r="W161" s="1920"/>
      <c r="X161" s="1650"/>
      <c r="Y161" s="1650"/>
      <c r="Z161" s="828"/>
      <c r="AA161" s="1650"/>
      <c r="AB161" s="1650"/>
      <c r="AC161" s="1650"/>
      <c r="AD161" s="1650"/>
      <c r="AE161" s="1650"/>
      <c r="AF161" s="1916"/>
      <c r="AG161" s="906"/>
      <c r="AH161" s="906"/>
      <c r="AI161" s="906"/>
      <c r="AJ161" s="906"/>
      <c r="AK161" s="1925">
        <v>11</v>
      </c>
    </row>
    <row s="31261" customFormat="1" customHeight="1" ht="11.549999999999999">
      <c r="A162" s="1271"/>
      <c r="B162" s="1271"/>
      <c r="C162" s="1271"/>
      <c r="D162" s="1271"/>
      <c r="E162" s="1271"/>
      <c r="F162" s="1920"/>
      <c r="G162" s="1920"/>
      <c r="H162" s="635"/>
      <c r="N162" s="1650"/>
      <c r="P162" s="1650"/>
      <c r="Q162" s="1920"/>
      <c r="R162" s="1920"/>
      <c r="S162" s="1650"/>
      <c r="T162" s="1650"/>
      <c r="U162" s="1650"/>
      <c r="V162" s="1650"/>
      <c r="W162" s="1920"/>
      <c r="X162" s="1650"/>
      <c r="Y162" s="1650"/>
      <c r="Z162" s="828"/>
      <c r="AA162" s="1650"/>
      <c r="AB162" s="1650"/>
      <c r="AC162" s="1650"/>
      <c r="AD162" s="1650"/>
      <c r="AE162" s="1650"/>
      <c r="AF162" s="1916"/>
      <c r="AG162" s="906"/>
      <c r="AH162" s="906"/>
      <c r="AI162" s="906"/>
      <c r="AJ162" s="906"/>
      <c r="AK162" s="1925">
        <v>11</v>
      </c>
    </row>
    <row s="31261" customFormat="1" customHeight="1" ht="11.549999999999999">
      <c r="A163" s="1271"/>
      <c r="B163" s="1271"/>
      <c r="C163" s="1271"/>
      <c r="D163" s="1271"/>
      <c r="E163" s="1271"/>
      <c r="F163" s="1920"/>
      <c r="G163" s="1920"/>
      <c r="H163" s="635"/>
      <c r="N163" s="1650"/>
      <c r="P163" s="1650"/>
      <c r="Q163" s="1920"/>
      <c r="R163" s="1920"/>
      <c r="S163" s="1650"/>
      <c r="T163" s="1650"/>
      <c r="U163" s="1650"/>
      <c r="V163" s="1650"/>
      <c r="W163" s="1920"/>
      <c r="X163" s="1650"/>
      <c r="Y163" s="1650"/>
      <c r="Z163" s="828"/>
      <c r="AA163" s="1650"/>
      <c r="AB163" s="1650"/>
      <c r="AC163" s="1650"/>
      <c r="AD163" s="1650"/>
      <c r="AE163" s="1650"/>
      <c r="AF163" s="1916"/>
      <c r="AG163" s="906"/>
      <c r="AH163" s="906"/>
      <c r="AI163" s="906"/>
      <c r="AJ163" s="906"/>
      <c r="AK163" s="1925">
        <v>11</v>
      </c>
    </row>
    <row s="31261" customFormat="1" customHeight="1" ht="11.549999999999999">
      <c r="A164" s="1271"/>
      <c r="B164" s="1271"/>
      <c r="C164" s="1271"/>
      <c r="D164" s="1271"/>
      <c r="E164" s="1271"/>
      <c r="F164" s="1920"/>
      <c r="G164" s="1920"/>
      <c r="H164" s="635"/>
      <c r="N164" s="1650"/>
      <c r="P164" s="1650"/>
      <c r="Q164" s="1920"/>
      <c r="R164" s="1920"/>
      <c r="S164" s="1650"/>
      <c r="T164" s="1650"/>
      <c r="U164" s="1650"/>
      <c r="V164" s="1650"/>
      <c r="W164" s="1920"/>
      <c r="X164" s="1650"/>
      <c r="Y164" s="1650"/>
      <c r="Z164" s="828"/>
      <c r="AA164" s="1650"/>
      <c r="AB164" s="1650"/>
      <c r="AC164" s="1650"/>
      <c r="AD164" s="1650"/>
      <c r="AE164" s="1650"/>
      <c r="AF164" s="1916"/>
      <c r="AG164" s="906"/>
      <c r="AH164" s="906"/>
      <c r="AI164" s="906"/>
      <c r="AJ164" s="906"/>
      <c r="AK164" s="1925">
        <v>11</v>
      </c>
    </row>
    <row s="31261" customFormat="1" customHeight="1" ht="11.549999999999999">
      <c r="A165" s="1271"/>
      <c r="B165" s="1271"/>
      <c r="C165" s="1271"/>
      <c r="D165" s="1271"/>
      <c r="E165" s="1271"/>
      <c r="F165" s="1920"/>
      <c r="G165" s="1920"/>
      <c r="H165" s="635"/>
      <c r="N165" s="1650"/>
      <c r="P165" s="1650"/>
      <c r="Q165" s="1920"/>
      <c r="R165" s="1920"/>
      <c r="S165" s="1650"/>
      <c r="T165" s="1650"/>
      <c r="U165" s="1650"/>
      <c r="V165" s="1650"/>
      <c r="W165" s="1920"/>
      <c r="X165" s="1650"/>
      <c r="Y165" s="1650"/>
      <c r="Z165" s="828"/>
      <c r="AA165" s="1650"/>
      <c r="AB165" s="1650"/>
      <c r="AC165" s="1650"/>
      <c r="AD165" s="1650"/>
      <c r="AE165" s="1650"/>
      <c r="AF165" s="1916"/>
      <c r="AG165" s="906"/>
      <c r="AH165" s="906"/>
      <c r="AI165" s="906"/>
      <c r="AJ165" s="906"/>
      <c r="AK165" s="1925">
        <v>11</v>
      </c>
    </row>
    <row s="31261" customFormat="1" customHeight="1" ht="11.549999999999999">
      <c r="A166" s="1271"/>
      <c r="B166" s="1271"/>
      <c r="C166" s="1271"/>
      <c r="D166" s="1271"/>
      <c r="E166" s="1271"/>
      <c r="F166" s="1920"/>
      <c r="G166" s="1920"/>
      <c r="H166" s="635"/>
      <c r="N166" s="1650"/>
      <c r="P166" s="1650"/>
      <c r="Q166" s="1920"/>
      <c r="R166" s="1920"/>
      <c r="S166" s="1650"/>
      <c r="T166" s="1650"/>
      <c r="U166" s="1650"/>
      <c r="V166" s="1650"/>
      <c r="W166" s="1920"/>
      <c r="X166" s="1650"/>
      <c r="Y166" s="1650"/>
      <c r="Z166" s="828"/>
      <c r="AA166" s="1650"/>
      <c r="AB166" s="1650"/>
      <c r="AC166" s="1650"/>
      <c r="AD166" s="1650"/>
      <c r="AE166" s="1650"/>
      <c r="AF166" s="1916"/>
      <c r="AG166" s="906"/>
      <c r="AH166" s="906"/>
      <c r="AI166" s="906"/>
      <c r="AJ166" s="906"/>
      <c r="AK166" s="1925">
        <v>11</v>
      </c>
    </row>
    <row s="31261" customFormat="1" customHeight="1" ht="11.549999999999999">
      <c r="A167" s="1271"/>
      <c r="B167" s="1271"/>
      <c r="C167" s="1271"/>
      <c r="D167" s="1271"/>
      <c r="E167" s="1271"/>
      <c r="F167" s="1920"/>
      <c r="G167" s="1920"/>
      <c r="H167" s="635"/>
      <c r="N167" s="1650"/>
      <c r="P167" s="1650"/>
      <c r="Q167" s="1920"/>
      <c r="R167" s="1920"/>
      <c r="S167" s="1650"/>
      <c r="T167" s="1650"/>
      <c r="U167" s="1650"/>
      <c r="V167" s="1650"/>
      <c r="W167" s="1920"/>
      <c r="X167" s="1650"/>
      <c r="Y167" s="1650"/>
      <c r="Z167" s="828"/>
      <c r="AA167" s="1650"/>
      <c r="AB167" s="1650"/>
      <c r="AC167" s="1650"/>
      <c r="AD167" s="1650"/>
      <c r="AE167" s="1650"/>
      <c r="AF167" s="1916"/>
      <c r="AG167" s="906"/>
      <c r="AH167" s="906"/>
      <c r="AI167" s="906"/>
      <c r="AJ167" s="906"/>
      <c r="AK167" s="1925">
        <v>11</v>
      </c>
    </row>
    <row s="31261" customFormat="1" customHeight="1" ht="11.549999999999999">
      <c r="A168" s="1271"/>
      <c r="B168" s="1271"/>
      <c r="C168" s="1271"/>
      <c r="D168" s="1271"/>
      <c r="E168" s="1271"/>
      <c r="F168" s="1920"/>
      <c r="G168" s="1920"/>
      <c r="H168" s="635"/>
      <c r="N168" s="1650"/>
      <c r="P168" s="1650"/>
      <c r="Q168" s="1920"/>
      <c r="R168" s="1920"/>
      <c r="S168" s="1650"/>
      <c r="T168" s="1650"/>
      <c r="U168" s="1650"/>
      <c r="V168" s="1650"/>
      <c r="W168" s="1920"/>
      <c r="X168" s="1650"/>
      <c r="Y168" s="1650"/>
      <c r="Z168" s="828"/>
      <c r="AA168" s="1650"/>
      <c r="AB168" s="1650"/>
      <c r="AC168" s="1650"/>
      <c r="AD168" s="1650"/>
      <c r="AE168" s="1650"/>
      <c r="AF168" s="1916"/>
      <c r="AG168" s="906"/>
      <c r="AH168" s="906"/>
      <c r="AI168" s="906"/>
      <c r="AJ168" s="906"/>
      <c r="AK168" s="1925">
        <v>11</v>
      </c>
    </row>
    <row s="31261" customFormat="1" customHeight="1" ht="11.549999999999999">
      <c r="A169" s="1271"/>
      <c r="B169" s="1271"/>
      <c r="C169" s="1271"/>
      <c r="D169" s="1271"/>
      <c r="E169" s="1271"/>
      <c r="F169" s="1920"/>
      <c r="G169" s="1920"/>
      <c r="H169" s="635"/>
      <c r="N169" s="1650"/>
      <c r="P169" s="1650"/>
      <c r="Q169" s="1920"/>
      <c r="R169" s="1920"/>
      <c r="S169" s="1650"/>
      <c r="T169" s="1650"/>
      <c r="U169" s="1650"/>
      <c r="V169" s="1650"/>
      <c r="W169" s="1920"/>
      <c r="X169" s="1650"/>
      <c r="Y169" s="1650"/>
      <c r="Z169" s="828"/>
      <c r="AA169" s="1650"/>
      <c r="AB169" s="1650"/>
      <c r="AC169" s="1650"/>
      <c r="AD169" s="1650"/>
      <c r="AE169" s="1650"/>
      <c r="AF169" s="1916"/>
      <c r="AG169" s="906"/>
      <c r="AH169" s="906"/>
      <c r="AI169" s="906"/>
      <c r="AJ169" s="906"/>
      <c r="AK169" s="1925">
        <v>11</v>
      </c>
    </row>
    <row s="31261" customFormat="1" customHeight="1" ht="11.549999999999999">
      <c r="A170" s="1271"/>
      <c r="B170" s="1271"/>
      <c r="C170" s="1271"/>
      <c r="D170" s="1271"/>
      <c r="E170" s="1271"/>
      <c r="F170" s="1920"/>
      <c r="G170" s="1920"/>
      <c r="H170" s="635"/>
      <c r="N170" s="1650"/>
      <c r="P170" s="1650"/>
      <c r="Q170" s="1920"/>
      <c r="R170" s="1920"/>
      <c r="S170" s="1650"/>
      <c r="T170" s="1650"/>
      <c r="U170" s="1650"/>
      <c r="V170" s="1650"/>
      <c r="W170" s="1920"/>
      <c r="X170" s="1650"/>
      <c r="Y170" s="1650"/>
      <c r="Z170" s="828"/>
      <c r="AA170" s="1650"/>
      <c r="AB170" s="1650"/>
      <c r="AC170" s="1650"/>
      <c r="AD170" s="1650"/>
      <c r="AE170" s="1650"/>
      <c r="AF170" s="1916"/>
      <c r="AG170" s="906"/>
      <c r="AH170" s="906"/>
      <c r="AI170" s="906"/>
      <c r="AJ170" s="906"/>
      <c r="AK170" s="1925">
        <v>11</v>
      </c>
    </row>
    <row s="31261" customFormat="1" customHeight="1" ht="11.549999999999999">
      <c r="A171" s="1271"/>
      <c r="B171" s="1271"/>
      <c r="C171" s="1271"/>
      <c r="D171" s="1271"/>
      <c r="E171" s="1271"/>
      <c r="F171" s="1920"/>
      <c r="G171" s="1920"/>
      <c r="H171" s="635"/>
      <c r="N171" s="1650"/>
      <c r="P171" s="1650"/>
      <c r="Q171" s="1920"/>
      <c r="R171" s="1920"/>
      <c r="S171" s="1650"/>
      <c r="T171" s="1650"/>
      <c r="U171" s="1650"/>
      <c r="V171" s="1650"/>
      <c r="W171" s="1920"/>
      <c r="X171" s="1650"/>
      <c r="Y171" s="1650"/>
      <c r="Z171" s="828"/>
      <c r="AA171" s="1650"/>
      <c r="AB171" s="1650"/>
      <c r="AC171" s="1650"/>
      <c r="AD171" s="1650"/>
      <c r="AE171" s="1650"/>
      <c r="AF171" s="1916"/>
      <c r="AG171" s="906"/>
      <c r="AH171" s="906"/>
      <c r="AI171" s="906"/>
      <c r="AJ171" s="906"/>
      <c r="AK171" s="1925">
        <v>11</v>
      </c>
    </row>
    <row s="31261" customFormat="1" customHeight="1" ht="11.549999999999999">
      <c r="A172" s="1271"/>
      <c r="B172" s="1271"/>
      <c r="C172" s="1271"/>
      <c r="D172" s="1271"/>
      <c r="E172" s="1271"/>
      <c r="F172" s="1920"/>
      <c r="G172" s="1920"/>
      <c r="H172" s="635"/>
      <c r="N172" s="1650"/>
      <c r="P172" s="1650"/>
      <c r="Q172" s="1920"/>
      <c r="R172" s="1920"/>
      <c r="S172" s="1650"/>
      <c r="T172" s="1650"/>
      <c r="U172" s="1650"/>
      <c r="V172" s="1650"/>
      <c r="W172" s="1920"/>
      <c r="X172" s="1650"/>
      <c r="Y172" s="1650"/>
      <c r="Z172" s="828"/>
      <c r="AA172" s="1650"/>
      <c r="AB172" s="1650"/>
      <c r="AC172" s="1650"/>
      <c r="AD172" s="1650"/>
      <c r="AE172" s="1650"/>
      <c r="AF172" s="1916"/>
      <c r="AG172" s="906"/>
      <c r="AH172" s="906"/>
      <c r="AI172" s="906"/>
      <c r="AJ172" s="906"/>
      <c r="AK172" s="1925">
        <v>11</v>
      </c>
    </row>
    <row s="31261" customFormat="1" customHeight="1" ht="11.549999999999999">
      <c r="A173" s="1271"/>
      <c r="B173" s="1271"/>
      <c r="C173" s="1271"/>
      <c r="D173" s="1271"/>
      <c r="E173" s="1271"/>
      <c r="F173" s="1920"/>
      <c r="G173" s="1920"/>
      <c r="H173" s="635"/>
      <c r="N173" s="1650"/>
      <c r="P173" s="1650"/>
      <c r="Q173" s="1920"/>
      <c r="R173" s="1920"/>
      <c r="S173" s="1650"/>
      <c r="T173" s="1650"/>
      <c r="U173" s="1650"/>
      <c r="V173" s="1650"/>
      <c r="W173" s="1920"/>
      <c r="X173" s="1650"/>
      <c r="Y173" s="1650"/>
      <c r="Z173" s="828"/>
      <c r="AA173" s="1650"/>
      <c r="AB173" s="1650"/>
      <c r="AC173" s="1650"/>
      <c r="AD173" s="1650"/>
      <c r="AE173" s="1650"/>
      <c r="AF173" s="1916"/>
      <c r="AG173" s="906"/>
      <c r="AH173" s="906"/>
      <c r="AI173" s="906"/>
      <c r="AJ173" s="906"/>
      <c r="AK173" s="1925">
        <v>11</v>
      </c>
    </row>
    <row s="31261" customFormat="1" customHeight="1" ht="11.549999999999999">
      <c r="A174" s="1271"/>
      <c r="B174" s="1271"/>
      <c r="C174" s="1271"/>
      <c r="D174" s="1271"/>
      <c r="E174" s="1271"/>
      <c r="F174" s="1920"/>
      <c r="G174" s="1920"/>
      <c r="H174" s="635"/>
      <c r="N174" s="1650"/>
      <c r="P174" s="1650"/>
      <c r="Q174" s="1920"/>
      <c r="R174" s="1920"/>
      <c r="S174" s="1650"/>
      <c r="T174" s="1650"/>
      <c r="U174" s="1650"/>
      <c r="V174" s="1650"/>
      <c r="W174" s="1920"/>
      <c r="X174" s="1650"/>
      <c r="Y174" s="1650"/>
      <c r="Z174" s="828"/>
      <c r="AA174" s="1650"/>
      <c r="AB174" s="1650"/>
      <c r="AC174" s="1650"/>
      <c r="AD174" s="1650"/>
      <c r="AE174" s="1650"/>
      <c r="AF174" s="1916"/>
      <c r="AG174" s="906"/>
      <c r="AH174" s="906"/>
      <c r="AI174" s="906"/>
      <c r="AJ174" s="906"/>
      <c r="AK174" s="1925">
        <v>11</v>
      </c>
    </row>
    <row s="31261" customFormat="1" customHeight="1" ht="11.549999999999999">
      <c r="A175" s="1271"/>
      <c r="B175" s="1271"/>
      <c r="C175" s="1271"/>
      <c r="D175" s="1271"/>
      <c r="E175" s="1271"/>
      <c r="F175" s="1920"/>
      <c r="G175" s="1920"/>
      <c r="H175" s="635"/>
      <c r="N175" s="1650"/>
      <c r="P175" s="1650"/>
      <c r="Q175" s="1920"/>
      <c r="R175" s="1920"/>
      <c r="S175" s="1650"/>
      <c r="T175" s="1650"/>
      <c r="U175" s="1650"/>
      <c r="V175" s="1650"/>
      <c r="W175" s="1920"/>
      <c r="X175" s="1650"/>
      <c r="Y175" s="1650"/>
      <c r="Z175" s="828"/>
      <c r="AA175" s="1650"/>
      <c r="AB175" s="1650"/>
      <c r="AC175" s="1650"/>
      <c r="AD175" s="1650"/>
      <c r="AE175" s="1650"/>
      <c r="AF175" s="1916"/>
      <c r="AG175" s="906"/>
      <c r="AH175" s="906"/>
      <c r="AI175" s="906"/>
      <c r="AJ175" s="906"/>
      <c r="AK175" s="1925">
        <v>11</v>
      </c>
    </row>
    <row s="31261" customFormat="1" customHeight="1" ht="11.549999999999999">
      <c r="A176" s="1271"/>
      <c r="B176" s="1271"/>
      <c r="C176" s="1271"/>
      <c r="D176" s="1271"/>
      <c r="E176" s="1271"/>
      <c r="F176" s="1920"/>
      <c r="G176" s="1920"/>
      <c r="H176" s="635"/>
      <c r="N176" s="1650"/>
      <c r="P176" s="1650"/>
      <c r="Q176" s="1920"/>
      <c r="R176" s="1920"/>
      <c r="S176" s="1650"/>
      <c r="T176" s="1650"/>
      <c r="U176" s="1650"/>
      <c r="V176" s="1650"/>
      <c r="W176" s="1920"/>
      <c r="X176" s="1650"/>
      <c r="Y176" s="1650"/>
      <c r="Z176" s="828"/>
      <c r="AA176" s="1650"/>
      <c r="AB176" s="1650"/>
      <c r="AC176" s="1650"/>
      <c r="AD176" s="1650"/>
      <c r="AE176" s="1650"/>
      <c r="AF176" s="1916"/>
      <c r="AG176" s="906"/>
      <c r="AH176" s="906"/>
      <c r="AI176" s="906"/>
      <c r="AJ176" s="906"/>
      <c r="AK176" s="1925">
        <v>11</v>
      </c>
    </row>
    <row s="31261" customFormat="1" customHeight="1" ht="11.549999999999999">
      <c r="A177" s="1271"/>
      <c r="B177" s="1271"/>
      <c r="C177" s="1271"/>
      <c r="D177" s="1271"/>
      <c r="E177" s="1271"/>
      <c r="F177" s="1920"/>
      <c r="G177" s="1920"/>
      <c r="H177" s="635"/>
      <c r="N177" s="1650"/>
      <c r="P177" s="1650"/>
      <c r="Q177" s="1920"/>
      <c r="R177" s="1920"/>
      <c r="S177" s="1650"/>
      <c r="T177" s="1650"/>
      <c r="U177" s="1650"/>
      <c r="V177" s="1650"/>
      <c r="W177" s="1920"/>
      <c r="X177" s="1650"/>
      <c r="Y177" s="1650"/>
      <c r="Z177" s="828"/>
      <c r="AA177" s="1650"/>
      <c r="AB177" s="1650"/>
      <c r="AC177" s="1650"/>
      <c r="AD177" s="1650"/>
      <c r="AE177" s="1650"/>
      <c r="AF177" s="1916"/>
      <c r="AG177" s="906"/>
      <c r="AH177" s="906"/>
      <c r="AI177" s="906"/>
      <c r="AJ177" s="906"/>
      <c r="AK177" s="1925">
        <v>11</v>
      </c>
    </row>
    <row s="31261" customFormat="1" customHeight="1" ht="11.549999999999999">
      <c r="A178" s="1271"/>
      <c r="B178" s="1271"/>
      <c r="C178" s="1271"/>
      <c r="D178" s="1271"/>
      <c r="E178" s="1271"/>
      <c r="F178" s="1920"/>
      <c r="G178" s="1920"/>
      <c r="H178" s="635"/>
      <c r="N178" s="1650"/>
      <c r="P178" s="1650"/>
      <c r="Q178" s="1920"/>
      <c r="R178" s="1920"/>
      <c r="S178" s="1650"/>
      <c r="T178" s="1650"/>
      <c r="U178" s="1650"/>
      <c r="V178" s="1650"/>
      <c r="W178" s="1920"/>
      <c r="X178" s="1650"/>
      <c r="Y178" s="1650"/>
      <c r="Z178" s="828"/>
      <c r="AA178" s="1650"/>
      <c r="AB178" s="1650"/>
      <c r="AC178" s="1650"/>
      <c r="AD178" s="1650"/>
      <c r="AE178" s="1650"/>
      <c r="AF178" s="1916"/>
      <c r="AG178" s="906"/>
      <c r="AH178" s="906"/>
      <c r="AI178" s="906"/>
      <c r="AJ178" s="906"/>
      <c r="AK178" s="1925">
        <v>11</v>
      </c>
    </row>
    <row s="31261" customFormat="1" customHeight="1" ht="11.549999999999999">
      <c r="A179" s="1271"/>
      <c r="B179" s="1271"/>
      <c r="C179" s="1271"/>
      <c r="D179" s="1271"/>
      <c r="E179" s="1271"/>
      <c r="F179" s="1920"/>
      <c r="G179" s="1920"/>
      <c r="H179" s="635"/>
      <c r="N179" s="1650"/>
      <c r="P179" s="1650"/>
      <c r="Q179" s="1920"/>
      <c r="R179" s="1920"/>
      <c r="S179" s="1650"/>
      <c r="T179" s="1650"/>
      <c r="U179" s="1650"/>
      <c r="V179" s="1650"/>
      <c r="W179" s="1920"/>
      <c r="X179" s="1650"/>
      <c r="Y179" s="1650"/>
      <c r="Z179" s="828"/>
      <c r="AA179" s="1650"/>
      <c r="AB179" s="1650"/>
      <c r="AC179" s="1650"/>
      <c r="AD179" s="1650"/>
      <c r="AE179" s="1650"/>
      <c r="AF179" s="1916"/>
      <c r="AG179" s="906"/>
      <c r="AH179" s="906"/>
      <c r="AI179" s="906"/>
      <c r="AJ179" s="906"/>
      <c r="AK179" s="1925">
        <v>11</v>
      </c>
    </row>
    <row s="31261" customFormat="1" customHeight="1" ht="11.549999999999999">
      <c r="A180" s="1271"/>
      <c r="B180" s="1271"/>
      <c r="C180" s="1271"/>
      <c r="D180" s="1271"/>
      <c r="E180" s="1271"/>
      <c r="F180" s="1920"/>
      <c r="G180" s="1920"/>
      <c r="H180" s="635"/>
      <c r="N180" s="1650"/>
      <c r="P180" s="1650"/>
      <c r="Q180" s="1920"/>
      <c r="R180" s="1920"/>
      <c r="S180" s="1650"/>
      <c r="T180" s="1650"/>
      <c r="U180" s="1650"/>
      <c r="V180" s="1650"/>
      <c r="W180" s="1920"/>
      <c r="X180" s="1650"/>
      <c r="Y180" s="1650"/>
      <c r="Z180" s="828"/>
      <c r="AA180" s="1650"/>
      <c r="AB180" s="1650"/>
      <c r="AC180" s="1650"/>
      <c r="AD180" s="1650"/>
      <c r="AE180" s="1650"/>
      <c r="AF180" s="1916"/>
      <c r="AG180" s="906"/>
      <c r="AH180" s="906"/>
      <c r="AI180" s="906"/>
      <c r="AJ180" s="906"/>
      <c r="AK180" s="1925">
        <v>11</v>
      </c>
    </row>
    <row s="31261" customFormat="1" customHeight="1" ht="11.549999999999999">
      <c r="A181" s="1271"/>
      <c r="B181" s="1271"/>
      <c r="C181" s="1271"/>
      <c r="D181" s="1271"/>
      <c r="E181" s="1271"/>
      <c r="F181" s="1920"/>
      <c r="G181" s="1920"/>
      <c r="H181" s="635"/>
      <c r="N181" s="1650"/>
      <c r="P181" s="1650"/>
      <c r="Q181" s="1920"/>
      <c r="R181" s="1920"/>
      <c r="S181" s="1650"/>
      <c r="T181" s="1650"/>
      <c r="U181" s="1650"/>
      <c r="V181" s="1650"/>
      <c r="W181" s="1920"/>
      <c r="X181" s="1650"/>
      <c r="Y181" s="1650"/>
      <c r="Z181" s="828"/>
      <c r="AA181" s="1650"/>
      <c r="AB181" s="1650"/>
      <c r="AC181" s="1650"/>
      <c r="AD181" s="1650"/>
      <c r="AE181" s="1650"/>
      <c r="AF181" s="1916"/>
      <c r="AG181" s="906"/>
      <c r="AH181" s="906"/>
      <c r="AI181" s="906"/>
      <c r="AJ181" s="906"/>
      <c r="AK181" s="1925">
        <v>11</v>
      </c>
    </row>
    <row s="31261" customFormat="1" customHeight="1" ht="11.549999999999999">
      <c r="A182" s="1271"/>
      <c r="B182" s="1271"/>
      <c r="C182" s="1271"/>
      <c r="D182" s="1271"/>
      <c r="E182" s="1271"/>
      <c r="F182" s="1920"/>
      <c r="G182" s="1920"/>
      <c r="H182" s="635"/>
      <c r="N182" s="1650"/>
      <c r="P182" s="1650"/>
      <c r="Q182" s="1920"/>
      <c r="R182" s="1920"/>
      <c r="S182" s="1650"/>
      <c r="T182" s="1650"/>
      <c r="U182" s="1650"/>
      <c r="V182" s="1650"/>
      <c r="W182" s="1920"/>
      <c r="X182" s="1650"/>
      <c r="Y182" s="1650"/>
      <c r="Z182" s="828"/>
      <c r="AA182" s="1650"/>
      <c r="AB182" s="1650"/>
      <c r="AC182" s="1650"/>
      <c r="AD182" s="1650"/>
      <c r="AE182" s="1650"/>
      <c r="AF182" s="1916"/>
      <c r="AG182" s="906"/>
      <c r="AH182" s="906"/>
      <c r="AI182" s="906"/>
      <c r="AJ182" s="906"/>
      <c r="AK182" s="1925">
        <v>11</v>
      </c>
    </row>
    <row s="31261" customFormat="1" customHeight="1" ht="11.549999999999999">
      <c r="A183" s="1271"/>
      <c r="B183" s="1271"/>
      <c r="C183" s="1271"/>
      <c r="D183" s="1271"/>
      <c r="E183" s="1271"/>
      <c r="F183" s="1920"/>
      <c r="G183" s="1920"/>
      <c r="H183" s="635"/>
      <c r="N183" s="1650"/>
      <c r="P183" s="1650"/>
      <c r="Q183" s="1920"/>
      <c r="R183" s="1920"/>
      <c r="S183" s="1650"/>
      <c r="T183" s="1650"/>
      <c r="U183" s="1650"/>
      <c r="V183" s="1650"/>
      <c r="W183" s="1920"/>
      <c r="X183" s="1650"/>
      <c r="Y183" s="1650"/>
      <c r="Z183" s="828"/>
      <c r="AA183" s="1650"/>
      <c r="AB183" s="1650"/>
      <c r="AC183" s="1650"/>
      <c r="AD183" s="1650"/>
      <c r="AE183" s="1650"/>
      <c r="AF183" s="1916"/>
      <c r="AG183" s="906"/>
      <c r="AH183" s="906"/>
      <c r="AI183" s="906"/>
      <c r="AJ183" s="906"/>
      <c r="AK183" s="1925">
        <v>11</v>
      </c>
    </row>
    <row s="31261" customFormat="1" customHeight="1" ht="11.549999999999999">
      <c r="A184" s="1271"/>
      <c r="B184" s="1271"/>
      <c r="C184" s="1271"/>
      <c r="D184" s="1271"/>
      <c r="E184" s="1271"/>
      <c r="F184" s="1920"/>
      <c r="G184" s="1920"/>
      <c r="H184" s="635"/>
      <c r="N184" s="1650"/>
      <c r="P184" s="1650"/>
      <c r="Q184" s="1920"/>
      <c r="R184" s="1920"/>
      <c r="S184" s="1650"/>
      <c r="T184" s="1650"/>
      <c r="U184" s="1650"/>
      <c r="V184" s="1650"/>
      <c r="W184" s="1920"/>
      <c r="X184" s="1650"/>
      <c r="Y184" s="1650"/>
      <c r="Z184" s="828"/>
      <c r="AA184" s="1650"/>
      <c r="AB184" s="1650"/>
      <c r="AC184" s="1650"/>
      <c r="AD184" s="1650"/>
      <c r="AE184" s="1650"/>
      <c r="AF184" s="1916"/>
      <c r="AG184" s="906"/>
      <c r="AH184" s="906"/>
      <c r="AI184" s="906"/>
      <c r="AJ184" s="906"/>
      <c r="AK184" s="1925">
        <v>11</v>
      </c>
    </row>
    <row s="31261" customFormat="1" customHeight="1" ht="11.549999999999999">
      <c r="A185" s="1271"/>
      <c r="B185" s="1271"/>
      <c r="C185" s="1271"/>
      <c r="D185" s="1271"/>
      <c r="E185" s="1271"/>
      <c r="F185" s="1920"/>
      <c r="G185" s="1920"/>
      <c r="H185" s="635"/>
      <c r="N185" s="1650"/>
      <c r="P185" s="1650"/>
      <c r="Q185" s="1920"/>
      <c r="R185" s="1920"/>
      <c r="S185" s="1650"/>
      <c r="T185" s="1650"/>
      <c r="U185" s="1650"/>
      <c r="V185" s="1650"/>
      <c r="W185" s="1920"/>
      <c r="X185" s="1650"/>
      <c r="Y185" s="1650"/>
      <c r="Z185" s="828"/>
      <c r="AA185" s="1650"/>
      <c r="AB185" s="1650"/>
      <c r="AC185" s="1650"/>
      <c r="AD185" s="1650"/>
      <c r="AE185" s="1650"/>
      <c r="AF185" s="1916"/>
      <c r="AG185" s="906"/>
      <c r="AH185" s="906"/>
      <c r="AI185" s="906"/>
      <c r="AJ185" s="906"/>
      <c r="AK185" s="1925">
        <v>11</v>
      </c>
    </row>
    <row s="31261" customFormat="1" customHeight="1" ht="11.549999999999999">
      <c r="A186" s="1271"/>
      <c r="B186" s="1271"/>
      <c r="C186" s="1271"/>
      <c r="D186" s="1271"/>
      <c r="E186" s="1271"/>
      <c r="F186" s="1920"/>
      <c r="G186" s="1920"/>
      <c r="H186" s="635"/>
      <c r="N186" s="1650"/>
      <c r="P186" s="1650"/>
      <c r="Q186" s="1920"/>
      <c r="R186" s="1920"/>
      <c r="S186" s="1650"/>
      <c r="T186" s="1650"/>
      <c r="U186" s="1650"/>
      <c r="V186" s="1650"/>
      <c r="W186" s="1920"/>
      <c r="X186" s="1650"/>
      <c r="Y186" s="1650"/>
      <c r="Z186" s="828"/>
      <c r="AA186" s="1650"/>
      <c r="AB186" s="1650"/>
      <c r="AC186" s="1650"/>
      <c r="AD186" s="1650"/>
      <c r="AE186" s="1650"/>
      <c r="AF186" s="1916"/>
      <c r="AG186" s="906"/>
      <c r="AH186" s="906"/>
      <c r="AI186" s="906"/>
      <c r="AJ186" s="906"/>
      <c r="AK186" s="1925">
        <v>11</v>
      </c>
    </row>
    <row s="31261" customFormat="1" customHeight="1" ht="11.549999999999999">
      <c r="A187" s="1271"/>
      <c r="B187" s="1271"/>
      <c r="C187" s="1271"/>
      <c r="D187" s="1271"/>
      <c r="E187" s="1271"/>
      <c r="F187" s="1920"/>
      <c r="G187" s="1920"/>
      <c r="H187" s="635"/>
      <c r="N187" s="1650"/>
      <c r="P187" s="1650"/>
      <c r="Q187" s="1920"/>
      <c r="R187" s="1920"/>
      <c r="S187" s="1650"/>
      <c r="T187" s="1650"/>
      <c r="U187" s="1650"/>
      <c r="V187" s="1650"/>
      <c r="W187" s="1920"/>
      <c r="X187" s="1650"/>
      <c r="Y187" s="1650"/>
      <c r="Z187" s="828"/>
      <c r="AA187" s="1650"/>
      <c r="AB187" s="1650"/>
      <c r="AC187" s="1650"/>
      <c r="AD187" s="1650"/>
      <c r="AE187" s="1650"/>
      <c r="AF187" s="1916"/>
      <c r="AG187" s="906"/>
      <c r="AH187" s="906"/>
      <c r="AI187" s="906"/>
      <c r="AJ187" s="906"/>
      <c r="AK187" s="1925">
        <v>11</v>
      </c>
    </row>
    <row s="31261" customFormat="1" customHeight="1" ht="11.549999999999999">
      <c r="A188" s="1271"/>
      <c r="B188" s="1271"/>
      <c r="C188" s="1271"/>
      <c r="D188" s="1271"/>
      <c r="E188" s="1271"/>
      <c r="F188" s="1920"/>
      <c r="G188" s="1920"/>
      <c r="H188" s="635"/>
      <c r="N188" s="1650"/>
      <c r="P188" s="1650"/>
      <c r="Q188" s="1920"/>
      <c r="R188" s="1920"/>
      <c r="S188" s="1650"/>
      <c r="T188" s="1650"/>
      <c r="U188" s="1650"/>
      <c r="V188" s="1650"/>
      <c r="W188" s="1920"/>
      <c r="X188" s="1650"/>
      <c r="Y188" s="1650"/>
      <c r="Z188" s="828"/>
      <c r="AA188" s="1650"/>
      <c r="AB188" s="1650"/>
      <c r="AC188" s="1650"/>
      <c r="AD188" s="1650"/>
      <c r="AE188" s="1650"/>
      <c r="AF188" s="1916"/>
      <c r="AG188" s="906"/>
      <c r="AH188" s="906"/>
      <c r="AI188" s="906"/>
      <c r="AJ188" s="906"/>
      <c r="AK188" s="1925">
        <v>11</v>
      </c>
    </row>
    <row s="31261" customFormat="1" customHeight="1" ht="11.549999999999999">
      <c r="A189" s="1271"/>
      <c r="B189" s="1271"/>
      <c r="C189" s="1271"/>
      <c r="D189" s="1271"/>
      <c r="E189" s="1271"/>
      <c r="F189" s="1920"/>
      <c r="G189" s="1920"/>
      <c r="H189" s="635"/>
      <c r="N189" s="1650"/>
      <c r="P189" s="1650"/>
      <c r="Q189" s="1920"/>
      <c r="R189" s="1920"/>
      <c r="S189" s="1650"/>
      <c r="T189" s="1650"/>
      <c r="U189" s="1650"/>
      <c r="V189" s="1650"/>
      <c r="W189" s="1920"/>
      <c r="X189" s="1650"/>
      <c r="Y189" s="1650"/>
      <c r="Z189" s="828"/>
      <c r="AA189" s="1650"/>
      <c r="AB189" s="1650"/>
      <c r="AC189" s="1650"/>
      <c r="AD189" s="1650"/>
      <c r="AE189" s="1650"/>
      <c r="AF189" s="1916"/>
      <c r="AG189" s="906"/>
      <c r="AH189" s="906"/>
      <c r="AI189" s="906"/>
      <c r="AJ189" s="906"/>
      <c r="AK189" s="1925">
        <v>11</v>
      </c>
    </row>
    <row customHeight="1" ht="11.549999999999999">
      <c r="AK190" s="1915">
        <v>11</v>
      </c>
    </row>
    <row customHeight="1" ht="11.549999999999999">
      <c r="AK191" s="1915">
        <v>11</v>
      </c>
    </row>
    <row customHeight="1" ht="11.549999999999999">
      <c r="AK192" s="1915">
        <v>11</v>
      </c>
    </row>
    <row customHeight="1" ht="11.549999999999999">
      <c r="A193" s="1274"/>
      <c r="B193" s="1274"/>
      <c r="C193" s="1274"/>
      <c r="D193" s="1274"/>
      <c r="E193" s="1274"/>
      <c r="F193" s="1915"/>
      <c r="H193" s="1915"/>
      <c r="N193" s="1915"/>
      <c r="P193" s="1915"/>
      <c r="S193" s="1915"/>
      <c r="T193" s="1915"/>
      <c r="U193" s="1915"/>
      <c r="V193" s="1915"/>
      <c r="X193" s="1915"/>
      <c r="Y193" s="1915"/>
      <c r="Z193" s="1915"/>
      <c r="AA193" s="1915"/>
      <c r="AB193" s="1915"/>
      <c r="AC193" s="1915"/>
      <c r="AD193" s="1915"/>
      <c r="AE193" s="1915"/>
      <c r="AF193" s="1915"/>
      <c r="AG193" s="1915"/>
      <c r="AH193" s="1915"/>
      <c r="AI193" s="1915"/>
      <c r="AJ193" s="1915"/>
      <c r="AK193" s="1915">
        <v>11</v>
      </c>
    </row>
    <row customHeight="1" ht="11.549999999999999">
      <c r="A194" s="1274"/>
      <c r="B194" s="1274"/>
      <c r="C194" s="1274"/>
      <c r="D194" s="1274"/>
      <c r="E194" s="1274"/>
      <c r="F194" s="1915"/>
      <c r="H194" s="1915"/>
      <c r="N194" s="1915"/>
      <c r="P194" s="1915"/>
      <c r="S194" s="1915"/>
      <c r="T194" s="1915"/>
      <c r="U194" s="1915"/>
      <c r="V194" s="1915"/>
      <c r="X194" s="1915"/>
      <c r="Y194" s="1915"/>
      <c r="Z194" s="1915"/>
      <c r="AA194" s="1915"/>
      <c r="AB194" s="1915"/>
      <c r="AC194" s="1915"/>
      <c r="AD194" s="1915"/>
      <c r="AE194" s="1915"/>
      <c r="AF194" s="1915"/>
      <c r="AG194" s="1915"/>
      <c r="AH194" s="1915"/>
      <c r="AI194" s="1915"/>
      <c r="AJ194" s="1915"/>
      <c r="AK194" s="1915">
        <v>11</v>
      </c>
    </row>
    <row customHeight="1" ht="11.549999999999999">
      <c r="A195" s="1274"/>
      <c r="B195" s="1274"/>
      <c r="C195" s="1274"/>
      <c r="D195" s="1274"/>
      <c r="E195" s="1274"/>
      <c r="F195" s="1915"/>
      <c r="H195" s="1915"/>
      <c r="N195" s="1915"/>
      <c r="P195" s="1915"/>
      <c r="S195" s="1915"/>
      <c r="T195" s="1915"/>
      <c r="U195" s="1915"/>
      <c r="V195" s="1915"/>
      <c r="X195" s="1915"/>
      <c r="Y195" s="1915"/>
      <c r="Z195" s="1915"/>
      <c r="AA195" s="1915"/>
      <c r="AB195" s="1915"/>
      <c r="AC195" s="1915"/>
      <c r="AD195" s="1915"/>
      <c r="AE195" s="1915"/>
      <c r="AF195" s="1915"/>
      <c r="AG195" s="1915"/>
      <c r="AH195" s="1915"/>
      <c r="AI195" s="1915"/>
      <c r="AJ195" s="1915"/>
      <c r="AK195" s="1915">
        <v>11</v>
      </c>
    </row>
    <row customHeight="1" ht="11.549999999999999">
      <c r="A196" s="1274"/>
      <c r="B196" s="1274"/>
      <c r="C196" s="1274"/>
      <c r="D196" s="1274"/>
      <c r="E196" s="1274"/>
      <c r="F196" s="1915"/>
      <c r="H196" s="1915"/>
      <c r="N196" s="1915"/>
      <c r="P196" s="1915"/>
      <c r="S196" s="1915"/>
      <c r="T196" s="1915"/>
      <c r="U196" s="1915"/>
      <c r="V196" s="1915"/>
      <c r="X196" s="1915"/>
      <c r="Y196" s="1915"/>
      <c r="Z196" s="1915"/>
      <c r="AA196" s="1915"/>
      <c r="AB196" s="1915"/>
      <c r="AC196" s="1915"/>
      <c r="AD196" s="1915"/>
      <c r="AE196" s="1915"/>
      <c r="AF196" s="1915"/>
      <c r="AG196" s="1915"/>
      <c r="AH196" s="1915"/>
      <c r="AI196" s="1915"/>
      <c r="AJ196" s="1915"/>
      <c r="AK196" s="1915">
        <v>11</v>
      </c>
    </row>
    <row customHeight="1" ht="11.549999999999999">
      <c r="A197" s="1274"/>
      <c r="B197" s="1274"/>
      <c r="C197" s="1274"/>
      <c r="D197" s="1274"/>
      <c r="E197" s="1274"/>
      <c r="F197" s="1915"/>
      <c r="H197" s="1915"/>
      <c r="N197" s="1915"/>
      <c r="P197" s="1915"/>
      <c r="S197" s="1915"/>
      <c r="T197" s="1915"/>
      <c r="U197" s="1915"/>
      <c r="V197" s="1915"/>
      <c r="X197" s="1915"/>
      <c r="Y197" s="1915"/>
      <c r="Z197" s="1915"/>
      <c r="AA197" s="1915"/>
      <c r="AB197" s="1915"/>
      <c r="AC197" s="1915"/>
      <c r="AD197" s="1915"/>
      <c r="AE197" s="1915"/>
      <c r="AF197" s="1915"/>
      <c r="AG197" s="1915"/>
      <c r="AH197" s="1915"/>
      <c r="AI197" s="1915"/>
      <c r="AJ197" s="1915"/>
      <c r="AK197" s="1915">
        <v>11</v>
      </c>
    </row>
    <row customHeight="1" ht="11.549999999999999">
      <c r="A198" s="1274"/>
      <c r="B198" s="1274"/>
      <c r="C198" s="1274"/>
      <c r="D198" s="1274"/>
      <c r="E198" s="1274"/>
      <c r="F198" s="1915"/>
      <c r="H198" s="1915"/>
      <c r="N198" s="1915"/>
      <c r="P198" s="1915"/>
      <c r="S198" s="1915"/>
      <c r="T198" s="1915"/>
      <c r="U198" s="1915"/>
      <c r="V198" s="1915"/>
      <c r="X198" s="1915"/>
      <c r="Y198" s="1915"/>
      <c r="Z198" s="1915"/>
      <c r="AA198" s="1915"/>
      <c r="AB198" s="1915"/>
      <c r="AC198" s="1915"/>
      <c r="AD198" s="1915"/>
      <c r="AE198" s="1915"/>
      <c r="AF198" s="1915"/>
      <c r="AG198" s="1915"/>
      <c r="AH198" s="1915"/>
      <c r="AI198" s="1915"/>
      <c r="AJ198" s="1915"/>
      <c r="AK198" s="1915">
        <v>11</v>
      </c>
    </row>
    <row customHeight="1" ht="11.549999999999999">
      <c r="A199" s="1274"/>
      <c r="B199" s="1274"/>
      <c r="C199" s="1274"/>
      <c r="D199" s="1274"/>
      <c r="E199" s="1274"/>
      <c r="F199" s="1915"/>
      <c r="H199" s="1915"/>
      <c r="N199" s="1915"/>
      <c r="P199" s="1915"/>
      <c r="S199" s="1915"/>
      <c r="T199" s="1915"/>
      <c r="U199" s="1915"/>
      <c r="V199" s="1915"/>
      <c r="X199" s="1915"/>
      <c r="Y199" s="1915"/>
      <c r="Z199" s="1915"/>
      <c r="AA199" s="1915"/>
      <c r="AB199" s="1915"/>
      <c r="AC199" s="1915"/>
      <c r="AD199" s="1915"/>
      <c r="AE199" s="1915"/>
      <c r="AF199" s="1915"/>
      <c r="AG199" s="1915"/>
      <c r="AH199" s="1915"/>
      <c r="AI199" s="1915"/>
      <c r="AJ199" s="1915"/>
      <c r="AK199" s="1915">
        <v>11</v>
      </c>
    </row>
    <row customHeight="1" ht="11.549999999999999">
      <c r="A200" s="1274"/>
      <c r="B200" s="1274"/>
      <c r="C200" s="1274"/>
      <c r="D200" s="1274"/>
      <c r="E200" s="1274"/>
      <c r="F200" s="1915"/>
      <c r="H200" s="1915"/>
      <c r="N200" s="1915"/>
      <c r="P200" s="1915"/>
      <c r="S200" s="1915"/>
      <c r="T200" s="1915"/>
      <c r="U200" s="1915"/>
      <c r="V200" s="1915"/>
      <c r="X200" s="1915"/>
      <c r="Y200" s="1915"/>
      <c r="Z200" s="1915"/>
      <c r="AA200" s="1915"/>
      <c r="AB200" s="1915"/>
      <c r="AC200" s="1915"/>
      <c r="AD200" s="1915"/>
      <c r="AE200" s="1915"/>
      <c r="AF200" s="1915"/>
      <c r="AG200" s="1915"/>
      <c r="AH200" s="1915"/>
      <c r="AI200" s="1915"/>
      <c r="AJ200" s="1915"/>
      <c r="AK200" s="1915">
        <v>11</v>
      </c>
    </row>
    <row customHeight="1" ht="11.549999999999999">
      <c r="A201" s="1274"/>
      <c r="B201" s="1274"/>
      <c r="C201" s="1274"/>
      <c r="D201" s="1274"/>
      <c r="E201" s="1274"/>
      <c r="F201" s="1915"/>
      <c r="H201" s="1915"/>
      <c r="N201" s="1915"/>
      <c r="P201" s="1915"/>
      <c r="S201" s="1915"/>
      <c r="T201" s="1915"/>
      <c r="U201" s="1915"/>
      <c r="V201" s="1915"/>
      <c r="X201" s="1915"/>
      <c r="Y201" s="1915"/>
      <c r="Z201" s="1915"/>
      <c r="AA201" s="1915"/>
      <c r="AB201" s="1915"/>
      <c r="AC201" s="1915"/>
      <c r="AD201" s="1915"/>
      <c r="AE201" s="1915"/>
      <c r="AF201" s="1915"/>
      <c r="AG201" s="1915"/>
      <c r="AH201" s="1915"/>
      <c r="AI201" s="1915"/>
      <c r="AJ201" s="1915"/>
      <c r="AK201" s="1915">
        <v>11</v>
      </c>
    </row>
    <row customHeight="1" ht="11.549999999999999">
      <c r="A202" s="1274"/>
      <c r="B202" s="1274"/>
      <c r="C202" s="1274"/>
      <c r="D202" s="1274"/>
      <c r="E202" s="1274"/>
      <c r="F202" s="1915"/>
      <c r="H202" s="1915"/>
      <c r="N202" s="1915"/>
      <c r="P202" s="1915"/>
      <c r="S202" s="1915"/>
      <c r="T202" s="1915"/>
      <c r="U202" s="1915"/>
      <c r="V202" s="1915"/>
      <c r="X202" s="1915"/>
      <c r="Y202" s="1915"/>
      <c r="Z202" s="1915"/>
      <c r="AA202" s="1915"/>
      <c r="AB202" s="1915"/>
      <c r="AC202" s="1915"/>
      <c r="AD202" s="1915"/>
      <c r="AE202" s="1915"/>
      <c r="AF202" s="1915"/>
      <c r="AG202" s="1915"/>
      <c r="AH202" s="1915"/>
      <c r="AI202" s="1915"/>
      <c r="AJ202" s="1915"/>
      <c r="AK202" s="1915">
        <v>11</v>
      </c>
    </row>
    <row customHeight="1" ht="11.549999999999999">
      <c r="A203" s="1274"/>
      <c r="B203" s="1274"/>
      <c r="C203" s="1274"/>
      <c r="D203" s="1274"/>
      <c r="E203" s="1274"/>
      <c r="F203" s="1915"/>
      <c r="H203" s="1915"/>
      <c r="N203" s="1915"/>
      <c r="P203" s="1915"/>
      <c r="S203" s="1915"/>
      <c r="T203" s="1915"/>
      <c r="U203" s="1915"/>
      <c r="V203" s="1915"/>
      <c r="X203" s="1915"/>
      <c r="Y203" s="1915"/>
      <c r="Z203" s="1915"/>
      <c r="AA203" s="1915"/>
      <c r="AB203" s="1915"/>
      <c r="AC203" s="1915"/>
      <c r="AD203" s="1915"/>
      <c r="AE203" s="1915"/>
      <c r="AF203" s="1915"/>
      <c r="AG203" s="1915"/>
      <c r="AH203" s="1915"/>
      <c r="AI203" s="1915"/>
      <c r="AJ203" s="1915"/>
      <c r="AK203" s="1915">
        <v>11</v>
      </c>
    </row>
    <row customHeight="1" ht="12.75" hidden="1">
      <c r="A204" s="1271" t="s">
        <v>85</v>
      </c>
      <c r="B204" s="1271" t="s">
        <v>179</v>
      </c>
      <c r="C204" s="1271" t="s">
        <v>179</v>
      </c>
      <c r="D204" s="1271" t="s">
        <v>179</v>
      </c>
      <c r="E204" s="1271" t="s">
        <v>179</v>
      </c>
      <c r="F204" s="1919">
        <v>16</v>
      </c>
      <c r="G204" s="1920">
        <v>0</v>
      </c>
      <c r="H204" s="1919">
        <v>3</v>
      </c>
      <c r="I204" s="1915">
        <v>7</v>
      </c>
      <c r="J204" s="1915">
        <v>56</v>
      </c>
      <c r="K204" s="1915">
        <v>10</v>
      </c>
      <c r="L204" s="1915">
        <v>40</v>
      </c>
      <c r="M204" s="1915">
        <v>40</v>
      </c>
      <c r="N204" s="1650">
        <v>9</v>
      </c>
      <c r="O204" s="1915">
        <v>102</v>
      </c>
      <c r="P204" s="1650">
        <v>9</v>
      </c>
      <c r="Q204" s="1920">
        <v>5</v>
      </c>
      <c r="R204" s="1920">
        <v>3</v>
      </c>
      <c r="S204" s="1650">
        <v>3</v>
      </c>
      <c r="T204" s="1650">
        <v>3</v>
      </c>
      <c r="U204" s="1650">
        <v>3</v>
      </c>
      <c r="V204" s="1650">
        <v>3</v>
      </c>
      <c r="W204" s="1920">
        <v>10</v>
      </c>
      <c r="X204" s="1650">
        <v>34</v>
      </c>
      <c r="Y204" s="1650">
        <v>9</v>
      </c>
      <c r="Z204" s="828">
        <v>8</v>
      </c>
      <c r="AA204" s="1650">
        <v>8</v>
      </c>
      <c r="AB204" s="1650">
        <v>8</v>
      </c>
      <c r="AC204" s="1650">
        <v>8</v>
      </c>
      <c r="AD204" s="1650">
        <v>8</v>
      </c>
      <c r="AE204" s="1650">
        <v>8</v>
      </c>
      <c r="AF204" s="1916">
        <v>8</v>
      </c>
      <c r="AG204" s="1916">
        <v>8</v>
      </c>
      <c r="AH204" s="1916">
        <v>8</v>
      </c>
      <c r="AI204" s="1916">
        <v>8</v>
      </c>
      <c r="AJ204" s="1916">
        <v>8</v>
      </c>
      <c r="AK204" s="1915">
        <v>11</v>
      </c>
    </row>
  </sheetData>
  <sheetProtection sheet="1" sort="1" autoFilter="0" insertRows="1" insertColumns="1" deleteRows="1" deleteColumns="1"/>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FBBCE2-F208-0D24-2B1D-3476DB13ADFA}"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30541" width="10.57421875" hidden="1"/>
    <col min="5" max="5" style="31504" width="9.140625" hidden="1" customWidth="1"/>
    <col min="6" max="7" style="30620" width="9.140625" hidden="1" customWidth="1"/>
    <col min="8" max="8" style="31505" width="3.00390625" customWidth="1"/>
    <col min="9" max="9" style="30541" width="6.00390625" customWidth="1"/>
    <col min="10" max="10" style="30541" width="63.00390625" customWidth="1"/>
    <col min="11" max="11" style="30541" width="9.00390625" customWidth="1"/>
    <col min="12" max="12" style="30541" width="39.00390625" customWidth="1"/>
    <col min="13" max="13" style="30541" width="89.00390625" customWidth="1"/>
    <col min="14" max="14" style="30541" width="10.00390625" customWidth="1"/>
    <col min="15" max="16" style="30727" width="10.00390625" customWidth="1"/>
    <col min="17" max="22" style="30541" width="10.00390625" customWidth="1"/>
    <col min="23" max="23" style="30541" width="10.57421875" hidden="1"/>
  </cols>
  <sheetData>
    <row customHeight="1" ht="22.5" hidden="1">
      <c r="S1" s="539"/>
      <c r="T1" s="539"/>
      <c r="V1" s="539"/>
      <c r="W1" s="1915" t="s">
        <v>14</v>
      </c>
    </row>
    <row customHeight="1" ht="22.5" hidden="1">
      <c r="B2" s="2337" t="s">
        <v>759</v>
      </c>
      <c r="C2" s="2337" t="s">
        <v>760</v>
      </c>
      <c r="D2" s="2336" t="s">
        <v>699</v>
      </c>
      <c r="E2" s="2342">
        <f>I2-3</f>
        <v>-3</v>
      </c>
      <c r="F2" s="2342">
        <f>J2</f>
        <v>0</v>
      </c>
      <c r="H2" s="2014" t="s">
        <v>106</v>
      </c>
      <c r="I2" s="2308"/>
      <c r="J2" s="1966"/>
      <c r="K2" s="2302" t="s">
        <v>366</v>
      </c>
      <c r="L2" s="1448"/>
      <c r="M2" s="581"/>
      <c r="N2" s="1908"/>
      <c r="P2" s="1915"/>
      <c r="W2" s="1915">
        <v>0</v>
      </c>
    </row>
    <row customHeight="1" ht="14.25" hidden="1">
      <c r="W3" s="1915">
        <v>0</v>
      </c>
    </row>
    <row customHeight="1" ht="6.3">
      <c r="H4" s="660"/>
      <c r="I4" s="741"/>
      <c r="J4" s="741"/>
      <c r="K4" s="741"/>
      <c r="L4" s="369"/>
      <c r="M4" s="369"/>
      <c r="W4" s="1915">
        <v>6</v>
      </c>
    </row>
    <row customHeight="1" ht="50.25">
      <c r="H5" s="660"/>
      <c r="I5" s="2532" t="s">
        <v>761</v>
      </c>
      <c r="J5" s="2532"/>
      <c r="K5" s="2532"/>
      <c r="L5" s="2532"/>
      <c r="M5" s="550"/>
      <c r="W5" s="1915">
        <v>48</v>
      </c>
    </row>
    <row customHeight="1" ht="18">
      <c r="H6" s="660"/>
      <c r="I6" s="2533" t="str">
        <f>IF(org=0,"Не определено",org)</f>
        <v>АО "ДГК"</v>
      </c>
      <c r="J6" s="2533"/>
      <c r="K6" s="2533"/>
      <c r="L6" s="2533"/>
      <c r="M6" s="550"/>
      <c r="W6" s="1915">
        <v>17</v>
      </c>
    </row>
    <row customHeight="1" ht="14.699999999999998">
      <c r="H7" s="660"/>
      <c r="I7" s="741"/>
      <c r="J7" s="747"/>
      <c r="K7" s="747"/>
      <c r="L7" s="1036"/>
      <c r="M7" s="477"/>
      <c r="W7" s="1915">
        <v>14</v>
      </c>
    </row>
    <row customHeight="1" ht="14.699999999999998">
      <c r="H8" s="660"/>
      <c r="I8" s="2670" t="s">
        <v>360</v>
      </c>
      <c r="J8" s="2671"/>
      <c r="K8" s="2671"/>
      <c r="L8" s="2672"/>
      <c r="M8" s="2673" t="s">
        <v>361</v>
      </c>
      <c r="W8" s="1915">
        <v>14</v>
      </c>
    </row>
    <row customHeight="1" ht="35.699999999999996">
      <c r="E9" s="2335" t="s">
        <v>690</v>
      </c>
      <c r="F9" s="2335" t="s">
        <v>696</v>
      </c>
      <c r="H9" s="660"/>
      <c r="I9" s="2309" t="s">
        <v>91</v>
      </c>
      <c r="J9" s="2310" t="s">
        <v>362</v>
      </c>
      <c r="K9" s="2348" t="s">
        <v>638</v>
      </c>
      <c r="L9" s="2349" t="s">
        <v>363</v>
      </c>
      <c r="M9" s="2673"/>
      <c r="W9" s="1915">
        <v>34</v>
      </c>
    </row>
    <row customHeight="1" ht="35.699999999999996">
      <c r="B10" s="2337" t="s">
        <v>762</v>
      </c>
      <c r="C10" s="2337" t="s">
        <v>763</v>
      </c>
      <c r="D10" s="2336" t="s">
        <v>699</v>
      </c>
      <c r="E10" s="2340" t="s">
        <v>700</v>
      </c>
      <c r="F10" s="2340" t="s">
        <v>700</v>
      </c>
      <c r="H10" s="660"/>
      <c r="I10" s="2308" t="s">
        <v>141</v>
      </c>
      <c r="J10" s="2170" t="s">
        <v>764</v>
      </c>
      <c r="K10" s="2302" t="s">
        <v>366</v>
      </c>
      <c r="L10" s="1102"/>
      <c r="M10" s="581" t="s">
        <v>765</v>
      </c>
      <c r="W10" s="1915">
        <v>34</v>
      </c>
    </row>
    <row customHeight="1" ht="50.25">
      <c r="B11" s="2337" t="s">
        <v>766</v>
      </c>
      <c r="C11" s="2337" t="s">
        <v>767</v>
      </c>
      <c r="D11" s="2336" t="s">
        <v>699</v>
      </c>
      <c r="E11" s="2340" t="s">
        <v>700</v>
      </c>
      <c r="F11" s="2340" t="s">
        <v>700</v>
      </c>
      <c r="H11" s="660"/>
      <c r="I11" s="2308" t="s">
        <v>105</v>
      </c>
      <c r="J11" s="2170" t="s">
        <v>768</v>
      </c>
      <c r="K11" s="2302" t="s">
        <v>366</v>
      </c>
      <c r="L11" s="1102"/>
      <c r="M11" s="581" t="s">
        <v>765</v>
      </c>
      <c r="W11" s="1915">
        <v>48</v>
      </c>
    </row>
    <row customHeight="1" ht="48.29999999999999">
      <c r="B12" s="2337" t="s">
        <v>769</v>
      </c>
      <c r="C12" s="2337" t="s">
        <v>770</v>
      </c>
      <c r="D12" s="2336" t="s">
        <v>699</v>
      </c>
      <c r="E12" s="2340" t="s">
        <v>700</v>
      </c>
      <c r="F12" s="2340" t="s">
        <v>700</v>
      </c>
      <c r="H12" s="1972"/>
      <c r="I12" s="2308" t="s">
        <v>93</v>
      </c>
      <c r="J12" s="2315" t="s">
        <v>771</v>
      </c>
      <c r="K12" s="2302" t="s">
        <v>366</v>
      </c>
      <c r="L12" s="1102"/>
      <c r="M12" s="581" t="s">
        <v>772</v>
      </c>
      <c r="N12" s="1908"/>
      <c r="P12" s="1915"/>
      <c r="W12" s="1915">
        <v>46</v>
      </c>
    </row>
    <row customHeight="1" ht="14.699999999999998">
      <c r="E13" s="627"/>
      <c r="H13" s="660"/>
      <c r="I13" s="631"/>
      <c r="J13" s="935" t="s">
        <v>773</v>
      </c>
      <c r="K13" s="855"/>
      <c r="L13" s="498"/>
      <c r="M13" s="581"/>
      <c r="W13" s="1915">
        <v>14</v>
      </c>
    </row>
    <row customHeight="1" ht="14.699999999999998">
      <c r="E14" s="627"/>
      <c r="H14" s="660"/>
      <c r="I14" s="1341"/>
      <c r="J14" s="1961"/>
      <c r="K14" s="1962"/>
      <c r="L14" s="1963"/>
      <c r="M14" s="2312"/>
      <c r="W14" s="1915">
        <v>14</v>
      </c>
    </row>
    <row customHeight="1" ht="14.699999999999998">
      <c r="I15" s="1965"/>
      <c r="J15" s="2669"/>
      <c r="K15" s="2669"/>
      <c r="L15" s="2669"/>
      <c r="M15" s="2669"/>
      <c r="W15" s="1915">
        <v>14</v>
      </c>
    </row>
    <row customHeight="1" ht="21" hidden="1">
      <c r="A16" s="2314" t="s">
        <v>85</v>
      </c>
      <c r="B16" s="1915">
        <v>9</v>
      </c>
      <c r="C16" s="1915">
        <v>9</v>
      </c>
      <c r="D16" s="1915">
        <v>9</v>
      </c>
      <c r="E16" s="2314" t="s">
        <v>178</v>
      </c>
      <c r="F16" s="2339" t="s">
        <v>178</v>
      </c>
      <c r="G16" s="2341"/>
      <c r="H16" s="628">
        <v>3</v>
      </c>
      <c r="I16" s="1915">
        <v>6</v>
      </c>
      <c r="J16" s="1915">
        <v>63</v>
      </c>
      <c r="K16" s="1915">
        <v>9</v>
      </c>
      <c r="L16" s="1915">
        <v>39</v>
      </c>
      <c r="M16" s="1915">
        <v>89</v>
      </c>
      <c r="N16" s="1915">
        <v>10</v>
      </c>
      <c r="O16" s="1908">
        <v>10</v>
      </c>
      <c r="P16" s="1908">
        <v>10</v>
      </c>
      <c r="Q16" s="1915">
        <v>10</v>
      </c>
      <c r="R16" s="1915">
        <v>10</v>
      </c>
      <c r="S16" s="1915">
        <v>10</v>
      </c>
      <c r="T16" s="1915">
        <v>10</v>
      </c>
      <c r="U16" s="1915">
        <v>10</v>
      </c>
      <c r="V16" s="1915">
        <v>10</v>
      </c>
      <c r="W16" s="1915">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D122A4-FB44-7BCF-C67C-EC96288BBF87}" mc:Ignorable="x14ac xr xr2 xr3">
  <sheetPr>
    <tabColor theme="9" tint="-0.25"/>
  </sheetPr>
  <dimension ref="A1:AF217"/>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37533" width="10.7109375" hidden="1" customWidth="1"/>
    <col min="2" max="2" style="30620" width="16.8515625" hidden="1" customWidth="1"/>
    <col min="3" max="3" style="30621" width="5.57421875" hidden="1" customWidth="1"/>
    <col min="4" max="4" style="30541" width="3.00390625" customWidth="1"/>
    <col min="5" max="5" style="30541" width="7.00390625" customWidth="1"/>
    <col min="6" max="6" style="30541" width="56.00390625" customWidth="1"/>
    <col min="7" max="7" style="30541" width="10.00390625" customWidth="1"/>
    <col min="8" max="8" style="30541" width="40.7109375" hidden="1" customWidth="1"/>
    <col min="9" max="9" style="30541" width="40.00390625" customWidth="1"/>
    <col min="10" max="10" style="30541" width="102.00390625" customWidth="1"/>
    <col min="11" max="11" style="30620" width="9.00390625" customWidth="1"/>
    <col min="12" max="12" style="30621" width="5.00390625" customWidth="1"/>
    <col min="13" max="13" style="30621" width="3.00390625" customWidth="1"/>
    <col min="14" max="17" style="30620" width="3.00390625" customWidth="1"/>
    <col min="18" max="18" style="30621" width="10.00390625" customWidth="1"/>
    <col min="19" max="19" style="30620" width="34.00390625" customWidth="1"/>
    <col min="20" max="20" style="30620" width="9.00390625" customWidth="1"/>
    <col min="21" max="21" style="37534" width="8.00390625" customWidth="1"/>
    <col min="22" max="26" style="30620" width="8.00390625" customWidth="1"/>
    <col min="27" max="31" style="30505" width="8.00390625" customWidth="1"/>
    <col min="32" max="32" style="30541" width="10.421875" hidden="1" customWidth="1"/>
  </cols>
  <sheetData>
    <row s="30620" customFormat="1" customHeight="1" ht="22.5" hidden="1">
      <c r="A1" s="1271"/>
      <c r="C1" s="1920"/>
      <c r="D1" s="821"/>
      <c r="H1" s="1444">
        <v>4</v>
      </c>
      <c r="I1" s="1444">
        <v>4</v>
      </c>
      <c r="L1" s="1920"/>
      <c r="M1" s="1920"/>
      <c r="R1" s="1920"/>
      <c r="AF1" s="1444" t="s">
        <v>14</v>
      </c>
    </row>
    <row s="30620" customFormat="1" customHeight="1" ht="22.5" hidden="1">
      <c r="A2" s="1271"/>
      <c r="C2" s="1920"/>
      <c r="D2" s="822"/>
      <c r="E2" s="1921"/>
      <c r="F2" s="824"/>
      <c r="G2" s="1923" t="s">
        <v>624</v>
      </c>
      <c r="H2" s="825"/>
      <c r="I2" s="825"/>
      <c r="J2" s="826" t="s">
        <v>774</v>
      </c>
      <c r="K2" s="827"/>
      <c r="L2" s="1920"/>
      <c r="M2" s="1920"/>
      <c r="R2" s="1920"/>
      <c r="U2" s="828"/>
      <c r="AA2" s="1916"/>
      <c r="AB2" s="1916"/>
      <c r="AC2" s="1916"/>
      <c r="AD2" s="1916"/>
      <c r="AE2" s="1916"/>
      <c r="AF2" s="1444">
        <v>0</v>
      </c>
    </row>
    <row customHeight="1" ht="11.25" hidden="1">
      <c r="AF3" s="1915">
        <v>0</v>
      </c>
    </row>
    <row s="30505" customFormat="1" customHeight="1" ht="11.25" hidden="1">
      <c r="A4" s="1271"/>
      <c r="B4" s="1444"/>
      <c r="C4" s="1920"/>
      <c r="D4" s="646"/>
      <c r="J4" s="1916">
        <v>4</v>
      </c>
      <c r="K4" s="1444"/>
      <c r="L4" s="1920"/>
      <c r="M4" s="1920"/>
      <c r="N4" s="1444"/>
      <c r="O4" s="1444"/>
      <c r="P4" s="1444"/>
      <c r="Q4" s="1444"/>
      <c r="R4" s="1920"/>
      <c r="S4" s="1444"/>
      <c r="T4" s="1444"/>
      <c r="U4" s="828"/>
      <c r="V4" s="1444"/>
      <c r="W4" s="1444"/>
      <c r="X4" s="1444"/>
      <c r="Y4" s="1444"/>
      <c r="Z4" s="1444"/>
      <c r="AF4" s="1916">
        <v>0</v>
      </c>
    </row>
    <row customHeight="1" ht="11.549999999999999">
      <c r="AF5" s="1915">
        <v>11</v>
      </c>
    </row>
    <row customHeight="1" ht="31.5">
      <c r="E6" s="2591" t="s">
        <v>775</v>
      </c>
      <c r="F6" s="2591"/>
      <c r="G6" s="2591"/>
      <c r="H6" s="2591"/>
      <c r="I6" s="2591"/>
      <c r="J6" s="840"/>
      <c r="AF6" s="1915">
        <v>30</v>
      </c>
    </row>
    <row customHeight="1" ht="11.549999999999999">
      <c r="E7" s="2533" t="str">
        <f>IF(org=0,"Не определено",org)</f>
        <v>АО "ДГК"</v>
      </c>
      <c r="F7" s="2533"/>
      <c r="G7" s="2533"/>
      <c r="H7" s="2533"/>
      <c r="I7" s="2533"/>
      <c r="AF7" s="1915">
        <v>11</v>
      </c>
    </row>
    <row customHeight="1" ht="11.549999999999999">
      <c r="E8" s="1419"/>
      <c r="F8" s="1419"/>
      <c r="G8" s="1419"/>
      <c r="H8" s="1419"/>
      <c r="I8" s="1419"/>
      <c r="AF8" s="1915">
        <v>11</v>
      </c>
    </row>
    <row s="30621" customFormat="1" customHeight="1" ht="4.2">
      <c r="A9" s="1451"/>
      <c r="D9" s="1926"/>
      <c r="H9" s="1173"/>
      <c r="I9" s="1173" t="s">
        <v>147</v>
      </c>
      <c r="AF9" s="1920">
        <v>4</v>
      </c>
    </row>
    <row customHeight="1" ht="11.549999999999999">
      <c r="E10" s="995"/>
      <c r="F10" s="2651" t="s">
        <v>137</v>
      </c>
      <c r="G10" s="2652"/>
      <c r="H10" s="1836" t="str">
        <f>IF(H9="","",INDEX(DIFFERENTIATION_UNMERGE_VD,MATCH(H9,DIFFERENTIATION_ID_DIFF,0)))</f>
        <v/>
      </c>
      <c r="I10" s="1836">
        <f>IF(I9="","",INDEX(DIFFERENTIATION_UNMERGE_VD,MATCH(I9,DIFFERENTIATION_ID_DIFF,0)))</f>
        <v>0</v>
      </c>
      <c r="J10" s="2411"/>
      <c r="AF10" s="1915">
        <v>11</v>
      </c>
    </row>
    <row customHeight="1" ht="11.549999999999999">
      <c r="E11" s="995"/>
      <c r="F11" s="2651" t="s">
        <v>636</v>
      </c>
      <c r="G11" s="2652"/>
      <c r="H11" s="1836" t="str">
        <f>IF(H9="","",INDEX(DIFFERENTIATION_UNMERGE_AREA,MATCH(H9,DIFFERENTIATION_ID_DIFF,0)))</f>
        <v/>
      </c>
      <c r="I11" s="1836" t="str">
        <f>IF(I9="","",INDEX(DIFFERENTIATION_UNMERGE_AREA,MATCH(I9,DIFFERENTIATION_ID_DIFF,0)))</f>
        <v/>
      </c>
      <c r="J11" s="2411"/>
      <c r="AF11" s="1915">
        <v>11</v>
      </c>
    </row>
    <row customHeight="1" ht="1.05">
      <c r="E12" s="1946"/>
      <c r="F12" s="2674" t="s">
        <v>637</v>
      </c>
      <c r="G12" s="2675"/>
      <c r="H12" s="1947" t="str">
        <f>IF(H9="","",INDEX(DIFFERENTIATION_UNMERGE_SYSTEM,MATCH(H9,DIFFERENTIATION_ID_DIFF,0)))</f>
        <v/>
      </c>
      <c r="I12" s="1947" t="str">
        <f>IF(I9="","",INDEX(DIFFERENTIATION_UNMERGE_SYSTEM,MATCH(I9,DIFFERENTIATION_ID_DIFF,0)))</f>
        <v>без дифференциации</v>
      </c>
      <c r="J12" s="2411"/>
      <c r="AF12" s="1915">
        <v>1</v>
      </c>
    </row>
    <row customHeight="1" ht="11.549999999999999">
      <c r="E13" s="2653" t="s">
        <v>360</v>
      </c>
      <c r="F13" s="2654"/>
      <c r="G13" s="2654"/>
      <c r="H13" s="1835"/>
      <c r="I13" s="1835"/>
      <c r="J13" s="2411"/>
      <c r="AF13" s="1915">
        <v>11</v>
      </c>
    </row>
    <row customHeight="1" ht="24">
      <c r="E14" s="1923" t="s">
        <v>91</v>
      </c>
      <c r="F14" s="1918" t="s">
        <v>362</v>
      </c>
      <c r="G14" s="1918" t="s">
        <v>638</v>
      </c>
      <c r="H14" s="1918" t="s">
        <v>363</v>
      </c>
      <c r="I14" s="1918" t="s">
        <v>363</v>
      </c>
      <c r="J14" s="2411"/>
      <c r="AF14" s="1915">
        <v>23</v>
      </c>
    </row>
    <row customHeight="1" ht="19.95">
      <c r="D15" s="1922"/>
      <c r="E15" s="1914" t="s">
        <v>141</v>
      </c>
      <c r="F15" s="991" t="s">
        <v>776</v>
      </c>
      <c r="G15" s="1930" t="s">
        <v>624</v>
      </c>
      <c r="H15" s="841"/>
      <c r="I15" s="841"/>
      <c r="J15" s="573" t="s">
        <v>777</v>
      </c>
      <c r="K15" s="827" t="s">
        <v>702</v>
      </c>
      <c r="AF15" s="1915">
        <v>19</v>
      </c>
    </row>
    <row customHeight="1" ht="35.699999999999996">
      <c r="D16" s="1922"/>
      <c r="E16" s="1914" t="s">
        <v>105</v>
      </c>
      <c r="F16" s="991" t="s">
        <v>778</v>
      </c>
      <c r="G16" s="1930" t="s">
        <v>624</v>
      </c>
      <c r="H16" s="842">
        <f>SUM(H17,H20:H32)</f>
        <v>0</v>
      </c>
      <c r="I16" s="842">
        <f>SUM(I17,I20,I23,I26,I29:I32)</f>
        <v>0</v>
      </c>
      <c r="J16" s="573" t="s">
        <v>779</v>
      </c>
      <c r="K16" s="827" t="s">
        <v>702</v>
      </c>
      <c r="AF16" s="1915">
        <v>34</v>
      </c>
    </row>
    <row customHeight="1" ht="19.95">
      <c r="D17" s="1922"/>
      <c r="E17" s="1948" t="s">
        <v>780</v>
      </c>
      <c r="F17" s="1238" t="s">
        <v>781</v>
      </c>
      <c r="G17" s="1927" t="s">
        <v>624</v>
      </c>
      <c r="H17" s="841"/>
      <c r="I17" s="841"/>
      <c r="J17" s="573" t="s">
        <v>782</v>
      </c>
      <c r="K17" s="827"/>
      <c r="AF17" s="1915">
        <v>19</v>
      </c>
    </row>
    <row customHeight="1" ht="24">
      <c r="D18" s="1922"/>
      <c r="E18" s="1948" t="s">
        <v>783</v>
      </c>
      <c r="F18" s="1934" t="s">
        <v>784</v>
      </c>
      <c r="G18" s="1927" t="s">
        <v>624</v>
      </c>
      <c r="H18" s="841"/>
      <c r="I18" s="841"/>
      <c r="J18" s="573" t="s">
        <v>785</v>
      </c>
      <c r="K18" s="827"/>
      <c r="AF18" s="1915">
        <v>23</v>
      </c>
    </row>
    <row customHeight="1" ht="35.699999999999996">
      <c r="D19" s="1922"/>
      <c r="E19" s="1948" t="s">
        <v>786</v>
      </c>
      <c r="F19" s="1934" t="s">
        <v>787</v>
      </c>
      <c r="G19" s="1927" t="s">
        <v>624</v>
      </c>
      <c r="H19" s="841"/>
      <c r="I19" s="841"/>
      <c r="J19" s="573"/>
      <c r="K19" s="827"/>
      <c r="AF19" s="1915">
        <v>34</v>
      </c>
    </row>
    <row customHeight="1" ht="19.95">
      <c r="D20" s="1922"/>
      <c r="E20" s="1948" t="s">
        <v>367</v>
      </c>
      <c r="F20" s="1238" t="s">
        <v>788</v>
      </c>
      <c r="G20" s="1927" t="s">
        <v>624</v>
      </c>
      <c r="H20" s="841"/>
      <c r="I20" s="841"/>
      <c r="J20" s="573" t="s">
        <v>789</v>
      </c>
      <c r="K20" s="827"/>
      <c r="AF20" s="1915">
        <v>19</v>
      </c>
    </row>
    <row customHeight="1" ht="19.95">
      <c r="D21" s="1922"/>
      <c r="E21" s="1948" t="s">
        <v>790</v>
      </c>
      <c r="F21" s="1934" t="s">
        <v>791</v>
      </c>
      <c r="G21" s="1927" t="s">
        <v>624</v>
      </c>
      <c r="H21" s="841"/>
      <c r="I21" s="841"/>
      <c r="J21" s="573"/>
      <c r="K21" s="827"/>
      <c r="AF21" s="1915">
        <v>19</v>
      </c>
    </row>
    <row customHeight="1" ht="19.95">
      <c r="D22" s="1922"/>
      <c r="E22" s="1948" t="s">
        <v>792</v>
      </c>
      <c r="F22" s="1934" t="s">
        <v>793</v>
      </c>
      <c r="G22" s="1927" t="s">
        <v>624</v>
      </c>
      <c r="H22" s="841"/>
      <c r="I22" s="841"/>
      <c r="J22" s="573"/>
      <c r="K22" s="827"/>
      <c r="AF22" s="1915">
        <v>19</v>
      </c>
    </row>
    <row customHeight="1" ht="24">
      <c r="D23" s="1922"/>
      <c r="E23" s="1948" t="s">
        <v>370</v>
      </c>
      <c r="F23" s="1238" t="s">
        <v>794</v>
      </c>
      <c r="G23" s="1927" t="s">
        <v>624</v>
      </c>
      <c r="H23" s="841"/>
      <c r="I23" s="841"/>
      <c r="J23" s="573" t="s">
        <v>795</v>
      </c>
      <c r="K23" s="827"/>
      <c r="AF23" s="1915">
        <v>23</v>
      </c>
    </row>
    <row customHeight="1" ht="19.95">
      <c r="D24" s="1922"/>
      <c r="E24" s="1948" t="s">
        <v>796</v>
      </c>
      <c r="F24" s="1934" t="s">
        <v>797</v>
      </c>
      <c r="G24" s="1927" t="s">
        <v>624</v>
      </c>
      <c r="H24" s="841"/>
      <c r="I24" s="841"/>
      <c r="J24" s="573"/>
      <c r="K24" s="827"/>
      <c r="AF24" s="1915">
        <v>19</v>
      </c>
    </row>
    <row customHeight="1" ht="35.699999999999996">
      <c r="D25" s="1922"/>
      <c r="E25" s="1948" t="s">
        <v>798</v>
      </c>
      <c r="F25" s="1934" t="s">
        <v>799</v>
      </c>
      <c r="G25" s="1927" t="s">
        <v>624</v>
      </c>
      <c r="H25" s="841"/>
      <c r="I25" s="841"/>
      <c r="J25" s="573"/>
      <c r="K25" s="827"/>
      <c r="AF25" s="1915">
        <v>34</v>
      </c>
    </row>
    <row customHeight="1" ht="24">
      <c r="D26" s="1922"/>
      <c r="E26" s="1948" t="s">
        <v>800</v>
      </c>
      <c r="F26" s="1238" t="s">
        <v>801</v>
      </c>
      <c r="G26" s="1927" t="s">
        <v>624</v>
      </c>
      <c r="H26" s="841"/>
      <c r="I26" s="841"/>
      <c r="J26" s="573" t="s">
        <v>802</v>
      </c>
      <c r="K26" s="827"/>
      <c r="AF26" s="1915">
        <v>23</v>
      </c>
    </row>
    <row customHeight="1" ht="19.95">
      <c r="D27" s="1922"/>
      <c r="E27" s="1959" t="s">
        <v>803</v>
      </c>
      <c r="F27" s="1934" t="s">
        <v>804</v>
      </c>
      <c r="G27" s="1938" t="s">
        <v>624</v>
      </c>
      <c r="H27" s="1960"/>
      <c r="I27" s="1960"/>
      <c r="J27" s="573"/>
      <c r="K27" s="827"/>
      <c r="AF27" s="1915">
        <v>19</v>
      </c>
    </row>
    <row customHeight="1" ht="19.95">
      <c r="D28" s="1922"/>
      <c r="E28" s="1959" t="s">
        <v>805</v>
      </c>
      <c r="F28" s="1934" t="s">
        <v>806</v>
      </c>
      <c r="G28" s="1938" t="s">
        <v>624</v>
      </c>
      <c r="H28" s="1960"/>
      <c r="I28" s="1960"/>
      <c r="J28" s="573"/>
      <c r="K28" s="827"/>
      <c r="AF28" s="1915">
        <v>19</v>
      </c>
    </row>
    <row customHeight="1" ht="19.95">
      <c r="D29" s="1922"/>
      <c r="E29" s="1959" t="s">
        <v>807</v>
      </c>
      <c r="F29" s="1238" t="s">
        <v>808</v>
      </c>
      <c r="G29" s="1938" t="s">
        <v>624</v>
      </c>
      <c r="H29" s="1960"/>
      <c r="I29" s="1960"/>
      <c r="J29" s="573"/>
      <c r="K29" s="827"/>
      <c r="AF29" s="1915">
        <v>19</v>
      </c>
    </row>
    <row customHeight="1" ht="19.95">
      <c r="D30" s="1922"/>
      <c r="E30" s="1959" t="s">
        <v>809</v>
      </c>
      <c r="F30" s="1238" t="s">
        <v>810</v>
      </c>
      <c r="G30" s="1938" t="s">
        <v>624</v>
      </c>
      <c r="H30" s="1960"/>
      <c r="I30" s="1960"/>
      <c r="J30" s="573"/>
      <c r="K30" s="827"/>
      <c r="AF30" s="1915">
        <v>19</v>
      </c>
    </row>
    <row customHeight="1" ht="19.95">
      <c r="D31" s="1922"/>
      <c r="E31" s="1959" t="s">
        <v>811</v>
      </c>
      <c r="F31" s="1238" t="s">
        <v>812</v>
      </c>
      <c r="G31" s="1938" t="s">
        <v>624</v>
      </c>
      <c r="H31" s="1960"/>
      <c r="I31" s="1960"/>
      <c r="J31" s="573"/>
      <c r="K31" s="827"/>
      <c r="AF31" s="1915">
        <v>19</v>
      </c>
    </row>
    <row s="30620" customFormat="1" customHeight="1" ht="35.699999999999996">
      <c r="A32" s="1271"/>
      <c r="C32" s="1920"/>
      <c r="D32" s="1922"/>
      <c r="E32" s="1959" t="s">
        <v>813</v>
      </c>
      <c r="F32" s="1238" t="s">
        <v>814</v>
      </c>
      <c r="G32" s="1928" t="s">
        <v>624</v>
      </c>
      <c r="H32" s="863">
        <f>SUM(H33:H34)</f>
        <v>0</v>
      </c>
      <c r="I32" s="863">
        <f>SUM(I33:I34)</f>
        <v>0</v>
      </c>
      <c r="J32" s="573" t="s">
        <v>815</v>
      </c>
      <c r="K32" s="827"/>
      <c r="L32" s="1920"/>
      <c r="M32" s="1920"/>
      <c r="R32" s="1920"/>
      <c r="U32" s="828"/>
      <c r="AA32" s="1916"/>
      <c r="AB32" s="1916"/>
      <c r="AC32" s="1916"/>
      <c r="AD32" s="1916"/>
      <c r="AE32" s="1916"/>
      <c r="AF32" s="1444">
        <v>34</v>
      </c>
    </row>
    <row s="30621" customFormat="1" customHeight="1" ht="1.05">
      <c r="A33" s="1451"/>
      <c r="D33" s="832"/>
      <c r="E33" s="1086" t="str">
        <f>E32&amp;".0"</f>
        <v>2.8.0</v>
      </c>
      <c r="F33" s="1275"/>
      <c r="G33" s="835"/>
      <c r="H33" s="1276"/>
      <c r="I33" s="1276"/>
      <c r="J33" s="1277"/>
      <c r="AF33" s="1920">
        <v>1</v>
      </c>
    </row>
    <row s="30620" customFormat="1" customHeight="1" ht="19.95">
      <c r="A34" s="1271"/>
      <c r="C34" s="1920"/>
      <c r="D34" s="1917"/>
      <c r="E34" s="854"/>
      <c r="F34" s="1950" t="s">
        <v>649</v>
      </c>
      <c r="G34" s="856"/>
      <c r="H34" s="857"/>
      <c r="I34" s="857"/>
      <c r="J34" s="585" t="s">
        <v>816</v>
      </c>
      <c r="K34" s="827"/>
      <c r="L34" s="1920"/>
      <c r="M34" s="1920"/>
      <c r="R34" s="1920"/>
      <c r="U34" s="828"/>
      <c r="AA34" s="1916"/>
      <c r="AB34" s="1916"/>
      <c r="AC34" s="1916"/>
      <c r="AD34" s="1916"/>
      <c r="AE34" s="1916"/>
      <c r="AF34" s="1444">
        <v>19</v>
      </c>
    </row>
    <row customHeight="1" ht="60">
      <c r="D35" s="1922"/>
      <c r="E35" s="1959" t="s">
        <v>817</v>
      </c>
      <c r="F35" s="1238" t="s">
        <v>818</v>
      </c>
      <c r="G35" s="1938" t="s">
        <v>624</v>
      </c>
      <c r="H35" s="1960"/>
      <c r="I35" s="1960"/>
      <c r="J35" s="573" t="s">
        <v>819</v>
      </c>
      <c r="K35" s="827"/>
      <c r="AF35" s="1915">
        <v>57</v>
      </c>
    </row>
    <row s="30620" customFormat="1" customHeight="1" ht="24">
      <c r="A36" s="1273" t="s">
        <v>650</v>
      </c>
      <c r="C36" s="1920"/>
      <c r="D36" s="1922"/>
      <c r="E36" s="1948" t="s">
        <v>93</v>
      </c>
      <c r="F36" s="991" t="s">
        <v>820</v>
      </c>
      <c r="G36" s="1927" t="s">
        <v>624</v>
      </c>
      <c r="H36" s="841"/>
      <c r="I36" s="841"/>
      <c r="J36" s="573" t="s">
        <v>821</v>
      </c>
      <c r="K36" s="827"/>
      <c r="L36" s="1920"/>
      <c r="M36" s="1920"/>
      <c r="R36" s="1920"/>
      <c r="U36" s="828"/>
      <c r="AA36" s="1916"/>
      <c r="AB36" s="1916"/>
      <c r="AC36" s="1916"/>
      <c r="AD36" s="1916"/>
      <c r="AE36" s="1916"/>
      <c r="AF36" s="1444">
        <v>23</v>
      </c>
    </row>
    <row s="30620" customFormat="1" customHeight="1" ht="35.699999999999996">
      <c r="A37" s="1273"/>
      <c r="C37" s="1920"/>
      <c r="D37" s="1922"/>
      <c r="E37" s="1948" t="s">
        <v>384</v>
      </c>
      <c r="F37" s="1238" t="s">
        <v>822</v>
      </c>
      <c r="G37" s="1938"/>
      <c r="H37" s="841"/>
      <c r="I37" s="841"/>
      <c r="J37" s="573"/>
      <c r="K37" s="827"/>
      <c r="L37" s="1920"/>
      <c r="M37" s="1920"/>
      <c r="R37" s="1920"/>
      <c r="U37" s="828"/>
      <c r="AA37" s="1916"/>
      <c r="AB37" s="1916"/>
      <c r="AC37" s="1916"/>
      <c r="AD37" s="1916"/>
      <c r="AE37" s="1916"/>
      <c r="AF37" s="1444">
        <v>34</v>
      </c>
    </row>
    <row s="30620" customFormat="1" customHeight="1" ht="19.95">
      <c r="A38" s="1271"/>
      <c r="C38" s="1920"/>
      <c r="D38" s="859"/>
      <c r="E38" s="1948" t="s">
        <v>94</v>
      </c>
      <c r="F38" s="991" t="s">
        <v>823</v>
      </c>
      <c r="G38" s="1927" t="s">
        <v>624</v>
      </c>
      <c r="H38" s="841"/>
      <c r="I38" s="841"/>
      <c r="J38" s="573" t="s">
        <v>824</v>
      </c>
      <c r="K38" s="827"/>
      <c r="L38" s="1920"/>
      <c r="M38" s="1920"/>
      <c r="R38" s="1920"/>
      <c r="U38" s="828"/>
      <c r="AA38" s="1916"/>
      <c r="AB38" s="1916"/>
      <c r="AC38" s="1916"/>
      <c r="AD38" s="1916"/>
      <c r="AE38" s="1916"/>
      <c r="AF38" s="1444">
        <v>19</v>
      </c>
    </row>
    <row s="30620" customFormat="1" customHeight="1" ht="24">
      <c r="A39" s="1271"/>
      <c r="C39" s="1920"/>
      <c r="D39" s="859"/>
      <c r="E39" s="1948" t="s">
        <v>825</v>
      </c>
      <c r="F39" s="1238" t="s">
        <v>826</v>
      </c>
      <c r="G39" s="1938" t="s">
        <v>624</v>
      </c>
      <c r="H39" s="841"/>
      <c r="I39" s="841"/>
      <c r="J39" s="573" t="s">
        <v>827</v>
      </c>
      <c r="K39" s="827"/>
      <c r="L39" s="1920"/>
      <c r="M39" s="1920"/>
      <c r="R39" s="1920"/>
      <c r="U39" s="828"/>
      <c r="AA39" s="1916"/>
      <c r="AB39" s="1916"/>
      <c r="AC39" s="1916"/>
      <c r="AD39" s="1916"/>
      <c r="AE39" s="1916"/>
      <c r="AF39" s="1444">
        <v>23</v>
      </c>
    </row>
    <row s="30620" customFormat="1" customHeight="1" ht="24">
      <c r="A40" s="1271"/>
      <c r="C40" s="1920"/>
      <c r="D40" s="1922"/>
      <c r="E40" s="1948" t="s">
        <v>828</v>
      </c>
      <c r="F40" s="1934" t="s">
        <v>829</v>
      </c>
      <c r="G40" s="1927" t="s">
        <v>624</v>
      </c>
      <c r="H40" s="841"/>
      <c r="I40" s="841"/>
      <c r="J40" s="573" t="s">
        <v>830</v>
      </c>
      <c r="K40" s="827"/>
      <c r="L40" s="1920"/>
      <c r="M40" s="1920"/>
      <c r="R40" s="1920"/>
      <c r="U40" s="828"/>
      <c r="AA40" s="1916"/>
      <c r="AB40" s="1916"/>
      <c r="AC40" s="1916"/>
      <c r="AD40" s="1916"/>
      <c r="AE40" s="1916"/>
      <c r="AF40" s="1444">
        <v>23</v>
      </c>
    </row>
    <row s="30620" customFormat="1" customHeight="1" ht="24">
      <c r="A41" s="1271"/>
      <c r="C41" s="1920"/>
      <c r="D41" s="1922"/>
      <c r="E41" s="1948" t="s">
        <v>831</v>
      </c>
      <c r="F41" s="1934" t="s">
        <v>832</v>
      </c>
      <c r="G41" s="1927" t="s">
        <v>624</v>
      </c>
      <c r="H41" s="841"/>
      <c r="I41" s="841"/>
      <c r="J41" s="573" t="s">
        <v>833</v>
      </c>
      <c r="K41" s="827"/>
      <c r="L41" s="1920"/>
      <c r="M41" s="1920"/>
      <c r="R41" s="1920"/>
      <c r="U41" s="828"/>
      <c r="AA41" s="1916"/>
      <c r="AB41" s="1916"/>
      <c r="AC41" s="1916"/>
      <c r="AD41" s="1916"/>
      <c r="AE41" s="1916"/>
      <c r="AF41" s="1444">
        <v>23</v>
      </c>
    </row>
    <row s="30620" customFormat="1" customHeight="1" ht="24">
      <c r="A42" s="1271"/>
      <c r="C42" s="1920"/>
      <c r="D42" s="1922"/>
      <c r="E42" s="1948" t="s">
        <v>834</v>
      </c>
      <c r="F42" s="1934" t="s">
        <v>835</v>
      </c>
      <c r="G42" s="1927" t="s">
        <v>624</v>
      </c>
      <c r="H42" s="841"/>
      <c r="I42" s="841"/>
      <c r="J42" s="573" t="s">
        <v>836</v>
      </c>
      <c r="K42" s="827"/>
      <c r="L42" s="1920"/>
      <c r="M42" s="1920"/>
      <c r="R42" s="1920"/>
      <c r="U42" s="828"/>
      <c r="AA42" s="1916"/>
      <c r="AB42" s="1916"/>
      <c r="AC42" s="1916"/>
      <c r="AD42" s="1916"/>
      <c r="AE42" s="1916"/>
      <c r="AF42" s="1444">
        <v>23</v>
      </c>
    </row>
    <row s="30620" customFormat="1" customHeight="1" ht="35.699999999999996">
      <c r="A43" s="1271"/>
      <c r="C43" s="1920" t="s">
        <v>660</v>
      </c>
      <c r="D43" s="1922"/>
      <c r="E43" s="1948" t="s">
        <v>124</v>
      </c>
      <c r="F43" s="991" t="s">
        <v>701</v>
      </c>
      <c r="G43" s="1930" t="s">
        <v>837</v>
      </c>
      <c r="H43" s="685"/>
      <c r="I43" s="685"/>
      <c r="J43" s="573" t="s">
        <v>838</v>
      </c>
      <c r="K43" s="827"/>
      <c r="L43" s="1920"/>
      <c r="M43" s="1920"/>
      <c r="R43" s="1920"/>
      <c r="U43" s="828"/>
      <c r="AA43" s="1916"/>
      <c r="AB43" s="1916"/>
      <c r="AC43" s="1916"/>
      <c r="AD43" s="1916"/>
      <c r="AE43" s="1916"/>
      <c r="AF43" s="1444">
        <v>34</v>
      </c>
    </row>
    <row s="30620" customFormat="1" customHeight="1" ht="35.699999999999996">
      <c r="A44" s="1271"/>
      <c r="C44" s="1920"/>
      <c r="D44" s="1922"/>
      <c r="E44" s="1948" t="s">
        <v>95</v>
      </c>
      <c r="F44" s="991" t="s">
        <v>839</v>
      </c>
      <c r="G44" s="1927" t="s">
        <v>840</v>
      </c>
      <c r="H44" s="829"/>
      <c r="I44" s="829"/>
      <c r="J44" s="573" t="s">
        <v>841</v>
      </c>
      <c r="K44" s="827"/>
      <c r="L44" s="1920"/>
      <c r="M44" s="1920"/>
      <c r="R44" s="1920"/>
      <c r="U44" s="828"/>
      <c r="AA44" s="1916"/>
      <c r="AB44" s="1916"/>
      <c r="AC44" s="1916"/>
      <c r="AD44" s="1916"/>
      <c r="AE44" s="1916"/>
      <c r="AF44" s="1444">
        <v>34</v>
      </c>
    </row>
    <row s="30620" customFormat="1" customHeight="1" ht="24">
      <c r="A45" s="1271"/>
      <c r="C45" s="1920"/>
      <c r="D45" s="1922"/>
      <c r="E45" s="1948" t="s">
        <v>96</v>
      </c>
      <c r="F45" s="991" t="s">
        <v>842</v>
      </c>
      <c r="G45" s="1938" t="s">
        <v>843</v>
      </c>
      <c r="H45" s="829"/>
      <c r="I45" s="829"/>
      <c r="J45" s="573" t="s">
        <v>844</v>
      </c>
      <c r="K45" s="827"/>
      <c r="L45" s="1920"/>
      <c r="M45" s="1920"/>
      <c r="R45" s="1920"/>
      <c r="U45" s="828"/>
      <c r="AA45" s="1916"/>
      <c r="AB45" s="1916"/>
      <c r="AC45" s="1916"/>
      <c r="AD45" s="1916"/>
      <c r="AE45" s="1916"/>
      <c r="AF45" s="1444">
        <v>23</v>
      </c>
    </row>
    <row s="30620" customFormat="1" customHeight="1" ht="19.95">
      <c r="A46" s="1271"/>
      <c r="C46" s="1920"/>
      <c r="D46" s="1922"/>
      <c r="E46" s="1948" t="s">
        <v>142</v>
      </c>
      <c r="F46" s="991" t="s">
        <v>845</v>
      </c>
      <c r="G46" s="1927" t="s">
        <v>662</v>
      </c>
      <c r="H46" s="861"/>
      <c r="I46" s="861"/>
      <c r="J46" s="573"/>
      <c r="K46" s="827"/>
      <c r="L46" s="1920"/>
      <c r="M46" s="1920"/>
      <c r="R46" s="1920"/>
      <c r="U46" s="828"/>
      <c r="AA46" s="1916"/>
      <c r="AB46" s="1916"/>
      <c r="AC46" s="1916"/>
      <c r="AD46" s="1916"/>
      <c r="AE46" s="1916"/>
      <c r="AF46" s="1444">
        <v>19</v>
      </c>
    </row>
    <row customHeight="1" ht="11.549999999999999">
      <c r="D47" s="1922"/>
      <c r="AF47" s="1915">
        <v>11</v>
      </c>
    </row>
    <row s="31261" customFormat="1" customHeight="1" ht="11.549999999999999">
      <c r="A48" s="1271"/>
      <c r="B48" s="1920"/>
      <c r="C48" s="1920"/>
      <c r="D48" s="635"/>
      <c r="K48" s="1444"/>
      <c r="L48" s="1920"/>
      <c r="M48" s="1920"/>
      <c r="N48" s="1444"/>
      <c r="O48" s="1444"/>
      <c r="P48" s="1444"/>
      <c r="Q48" s="1444"/>
      <c r="R48" s="1920"/>
      <c r="S48" s="1444"/>
      <c r="T48" s="1444"/>
      <c r="U48" s="828"/>
      <c r="V48" s="1444"/>
      <c r="W48" s="1444"/>
      <c r="X48" s="1444"/>
      <c r="Y48" s="1444"/>
      <c r="Z48" s="1444"/>
      <c r="AA48" s="1916"/>
      <c r="AB48" s="850"/>
      <c r="AC48" s="850"/>
      <c r="AD48" s="850"/>
      <c r="AE48" s="850"/>
      <c r="AF48" s="1925">
        <v>11</v>
      </c>
    </row>
    <row s="31261" customFormat="1" customHeight="1" ht="11.549999999999999">
      <c r="A49" s="1271"/>
      <c r="B49" s="1920"/>
      <c r="C49" s="1920"/>
      <c r="D49" s="635"/>
      <c r="K49" s="1444"/>
      <c r="L49" s="1920"/>
      <c r="M49" s="1920"/>
      <c r="N49" s="1444"/>
      <c r="O49" s="1444"/>
      <c r="P49" s="1444"/>
      <c r="Q49" s="1444"/>
      <c r="R49" s="1920"/>
      <c r="S49" s="1444"/>
      <c r="T49" s="1444"/>
      <c r="U49" s="828"/>
      <c r="V49" s="1444"/>
      <c r="W49" s="1444"/>
      <c r="X49" s="1444"/>
      <c r="Y49" s="1444"/>
      <c r="Z49" s="1444"/>
      <c r="AA49" s="1916"/>
      <c r="AB49" s="850"/>
      <c r="AC49" s="850"/>
      <c r="AD49" s="850"/>
      <c r="AE49" s="850"/>
      <c r="AF49" s="1925">
        <v>11</v>
      </c>
    </row>
    <row s="31261" customFormat="1" customHeight="1" ht="11.549999999999999">
      <c r="A50" s="1271"/>
      <c r="B50" s="1920"/>
      <c r="C50" s="1920"/>
      <c r="D50" s="635"/>
      <c r="H50" s="850"/>
      <c r="I50" s="850"/>
      <c r="K50" s="1444"/>
      <c r="L50" s="1920"/>
      <c r="M50" s="1920"/>
      <c r="N50" s="1444"/>
      <c r="O50" s="1444"/>
      <c r="P50" s="1444"/>
      <c r="Q50" s="1444"/>
      <c r="R50" s="1920"/>
      <c r="S50" s="1444"/>
      <c r="T50" s="1444"/>
      <c r="U50" s="828"/>
      <c r="V50" s="1444"/>
      <c r="W50" s="1444"/>
      <c r="X50" s="1444"/>
      <c r="Y50" s="1444"/>
      <c r="Z50" s="1444"/>
      <c r="AA50" s="1916"/>
      <c r="AB50" s="850"/>
      <c r="AC50" s="850"/>
      <c r="AD50" s="850"/>
      <c r="AE50" s="850"/>
      <c r="AF50" s="1925">
        <v>11</v>
      </c>
    </row>
    <row s="31261" customFormat="1" customHeight="1" ht="11.549999999999999">
      <c r="A51" s="1271"/>
      <c r="B51" s="1920"/>
      <c r="C51" s="1920"/>
      <c r="D51" s="635"/>
      <c r="K51" s="1444"/>
      <c r="L51" s="1920"/>
      <c r="M51" s="1920"/>
      <c r="N51" s="1444"/>
      <c r="O51" s="1444"/>
      <c r="P51" s="1444"/>
      <c r="Q51" s="1444"/>
      <c r="R51" s="1920"/>
      <c r="S51" s="1444"/>
      <c r="T51" s="1444"/>
      <c r="U51" s="828"/>
      <c r="V51" s="1444"/>
      <c r="W51" s="1444"/>
      <c r="X51" s="1444"/>
      <c r="Y51" s="1444"/>
      <c r="Z51" s="1444"/>
      <c r="AA51" s="1916"/>
      <c r="AB51" s="850"/>
      <c r="AC51" s="850"/>
      <c r="AD51" s="850"/>
      <c r="AE51" s="850"/>
      <c r="AF51" s="1925">
        <v>11</v>
      </c>
    </row>
    <row s="31261" customFormat="1" customHeight="1" ht="11.549999999999999">
      <c r="A52" s="1271"/>
      <c r="B52" s="1920"/>
      <c r="C52" s="1920"/>
      <c r="D52" s="635"/>
      <c r="K52" s="1444"/>
      <c r="L52" s="1920"/>
      <c r="M52" s="1920"/>
      <c r="N52" s="1444"/>
      <c r="O52" s="1444"/>
      <c r="P52" s="1444"/>
      <c r="Q52" s="1444"/>
      <c r="R52" s="1920"/>
      <c r="S52" s="1444"/>
      <c r="T52" s="1444"/>
      <c r="U52" s="828"/>
      <c r="V52" s="1444"/>
      <c r="W52" s="1444"/>
      <c r="X52" s="1444"/>
      <c r="Y52" s="1444"/>
      <c r="Z52" s="1444"/>
      <c r="AA52" s="1916"/>
      <c r="AB52" s="850"/>
      <c r="AC52" s="850"/>
      <c r="AD52" s="850"/>
      <c r="AE52" s="850"/>
      <c r="AF52" s="1925">
        <v>11</v>
      </c>
    </row>
    <row s="31261" customFormat="1" customHeight="1" ht="11.549999999999999">
      <c r="A53" s="1271"/>
      <c r="B53" s="1920"/>
      <c r="C53" s="1920"/>
      <c r="D53" s="635"/>
      <c r="K53" s="1444"/>
      <c r="L53" s="1920"/>
      <c r="M53" s="1920"/>
      <c r="N53" s="1444"/>
      <c r="O53" s="1444"/>
      <c r="P53" s="1444"/>
      <c r="Q53" s="1444"/>
      <c r="R53" s="1920"/>
      <c r="S53" s="1444"/>
      <c r="T53" s="1444"/>
      <c r="U53" s="828"/>
      <c r="V53" s="1444"/>
      <c r="W53" s="1444"/>
      <c r="X53" s="1444"/>
      <c r="Y53" s="1444"/>
      <c r="Z53" s="1444"/>
      <c r="AA53" s="1916"/>
      <c r="AB53" s="850"/>
      <c r="AC53" s="850"/>
      <c r="AD53" s="850"/>
      <c r="AE53" s="850"/>
      <c r="AF53" s="1925">
        <v>11</v>
      </c>
    </row>
    <row s="31261" customFormat="1" customHeight="1" ht="11.549999999999999">
      <c r="A54" s="1271"/>
      <c r="B54" s="1920"/>
      <c r="C54" s="1920"/>
      <c r="D54" s="635"/>
      <c r="K54" s="1444"/>
      <c r="L54" s="1920"/>
      <c r="M54" s="1920"/>
      <c r="N54" s="1444"/>
      <c r="O54" s="1444"/>
      <c r="P54" s="1444"/>
      <c r="Q54" s="1444"/>
      <c r="R54" s="1920"/>
      <c r="S54" s="1444"/>
      <c r="T54" s="1444"/>
      <c r="U54" s="828"/>
      <c r="V54" s="1444"/>
      <c r="W54" s="1444"/>
      <c r="X54" s="1444"/>
      <c r="Y54" s="1444"/>
      <c r="Z54" s="1444"/>
      <c r="AA54" s="1916"/>
      <c r="AB54" s="850"/>
      <c r="AC54" s="850"/>
      <c r="AD54" s="850"/>
      <c r="AE54" s="850"/>
      <c r="AF54" s="1925">
        <v>11</v>
      </c>
    </row>
    <row s="31261" customFormat="1" customHeight="1" ht="11.549999999999999">
      <c r="A55" s="1271"/>
      <c r="B55" s="1920"/>
      <c r="C55" s="1920"/>
      <c r="D55" s="635"/>
      <c r="K55" s="1444"/>
      <c r="L55" s="1920"/>
      <c r="M55" s="1920"/>
      <c r="N55" s="1444"/>
      <c r="O55" s="1444"/>
      <c r="P55" s="1444"/>
      <c r="Q55" s="1444"/>
      <c r="R55" s="1920"/>
      <c r="S55" s="1444"/>
      <c r="T55" s="1444"/>
      <c r="U55" s="828"/>
      <c r="V55" s="1444"/>
      <c r="W55" s="1444"/>
      <c r="X55" s="1444"/>
      <c r="Y55" s="1444"/>
      <c r="Z55" s="1444"/>
      <c r="AA55" s="1916"/>
      <c r="AB55" s="850"/>
      <c r="AC55" s="850"/>
      <c r="AD55" s="850"/>
      <c r="AE55" s="850"/>
      <c r="AF55" s="1925">
        <v>11</v>
      </c>
    </row>
    <row s="31261" customFormat="1" customHeight="1" ht="11.549999999999999">
      <c r="A56" s="1271"/>
      <c r="B56" s="1920"/>
      <c r="C56" s="1920"/>
      <c r="D56" s="635"/>
      <c r="K56" s="1444"/>
      <c r="L56" s="1920"/>
      <c r="M56" s="1920"/>
      <c r="N56" s="1444"/>
      <c r="O56" s="1444"/>
      <c r="P56" s="1444"/>
      <c r="Q56" s="1444"/>
      <c r="R56" s="1920"/>
      <c r="S56" s="1444"/>
      <c r="T56" s="1444"/>
      <c r="U56" s="828"/>
      <c r="V56" s="1444"/>
      <c r="W56" s="1444"/>
      <c r="X56" s="1444"/>
      <c r="Y56" s="1444"/>
      <c r="Z56" s="1444"/>
      <c r="AA56" s="1916"/>
      <c r="AB56" s="850"/>
      <c r="AC56" s="850"/>
      <c r="AD56" s="850"/>
      <c r="AE56" s="850"/>
      <c r="AF56" s="1925">
        <v>11</v>
      </c>
    </row>
    <row s="31261" customFormat="1" customHeight="1" ht="11.549999999999999">
      <c r="A57" s="1271"/>
      <c r="B57" s="1920"/>
      <c r="C57" s="1920"/>
      <c r="D57" s="635"/>
      <c r="K57" s="1444"/>
      <c r="L57" s="1920"/>
      <c r="M57" s="1920"/>
      <c r="N57" s="1444"/>
      <c r="O57" s="1444"/>
      <c r="P57" s="1444"/>
      <c r="Q57" s="1444"/>
      <c r="R57" s="1920"/>
      <c r="S57" s="1444"/>
      <c r="T57" s="1444"/>
      <c r="U57" s="828"/>
      <c r="V57" s="1444"/>
      <c r="W57" s="1444"/>
      <c r="X57" s="1444"/>
      <c r="Y57" s="1444"/>
      <c r="Z57" s="1444"/>
      <c r="AA57" s="1916"/>
      <c r="AB57" s="850"/>
      <c r="AC57" s="850"/>
      <c r="AD57" s="850"/>
      <c r="AE57" s="850"/>
      <c r="AF57" s="1925">
        <v>11</v>
      </c>
    </row>
    <row s="31261" customFormat="1" customHeight="1" ht="11.549999999999999">
      <c r="A58" s="1271"/>
      <c r="B58" s="1920"/>
      <c r="C58" s="1920"/>
      <c r="D58" s="635"/>
      <c r="K58" s="1444"/>
      <c r="L58" s="1920"/>
      <c r="M58" s="1920"/>
      <c r="N58" s="1444"/>
      <c r="O58" s="1444"/>
      <c r="P58" s="1444"/>
      <c r="Q58" s="1444"/>
      <c r="R58" s="1920"/>
      <c r="S58" s="1444"/>
      <c r="T58" s="1444"/>
      <c r="U58" s="828"/>
      <c r="V58" s="1444"/>
      <c r="W58" s="1444"/>
      <c r="X58" s="1444"/>
      <c r="Y58" s="1444"/>
      <c r="Z58" s="1444"/>
      <c r="AA58" s="1916"/>
      <c r="AB58" s="850"/>
      <c r="AC58" s="850"/>
      <c r="AD58" s="850"/>
      <c r="AE58" s="850"/>
      <c r="AF58" s="1925">
        <v>11</v>
      </c>
    </row>
    <row s="31261" customFormat="1" customHeight="1" ht="11.549999999999999">
      <c r="A59" s="1271"/>
      <c r="B59" s="1920"/>
      <c r="C59" s="1920"/>
      <c r="D59" s="635"/>
      <c r="K59" s="1444"/>
      <c r="L59" s="1920"/>
      <c r="M59" s="1920"/>
      <c r="N59" s="1444"/>
      <c r="O59" s="1444"/>
      <c r="P59" s="1444"/>
      <c r="Q59" s="1444"/>
      <c r="R59" s="1920"/>
      <c r="S59" s="1444"/>
      <c r="T59" s="1444"/>
      <c r="U59" s="828"/>
      <c r="V59" s="1444"/>
      <c r="W59" s="1444"/>
      <c r="X59" s="1444"/>
      <c r="Y59" s="1444"/>
      <c r="Z59" s="1444"/>
      <c r="AA59" s="1916"/>
      <c r="AB59" s="850"/>
      <c r="AC59" s="850"/>
      <c r="AD59" s="850"/>
      <c r="AE59" s="850"/>
      <c r="AF59" s="1925">
        <v>11</v>
      </c>
    </row>
    <row s="31261" customFormat="1" customHeight="1" ht="11.549999999999999">
      <c r="A60" s="1271"/>
      <c r="B60" s="1920"/>
      <c r="C60" s="1920"/>
      <c r="D60" s="635"/>
      <c r="K60" s="1444"/>
      <c r="L60" s="1920"/>
      <c r="M60" s="1920"/>
      <c r="N60" s="1444"/>
      <c r="O60" s="1444"/>
      <c r="P60" s="1444"/>
      <c r="Q60" s="1444"/>
      <c r="R60" s="1920"/>
      <c r="S60" s="1444"/>
      <c r="T60" s="1444"/>
      <c r="U60" s="828"/>
      <c r="V60" s="1444"/>
      <c r="W60" s="1444"/>
      <c r="X60" s="1444"/>
      <c r="Y60" s="1444"/>
      <c r="Z60" s="1444"/>
      <c r="AA60" s="1916"/>
      <c r="AB60" s="850"/>
      <c r="AC60" s="850"/>
      <c r="AD60" s="850"/>
      <c r="AE60" s="850"/>
      <c r="AF60" s="1925">
        <v>11</v>
      </c>
    </row>
    <row s="31261" customFormat="1" customHeight="1" ht="11.549999999999999">
      <c r="A61" s="1271"/>
      <c r="B61" s="1920"/>
      <c r="C61" s="1920"/>
      <c r="D61" s="635"/>
      <c r="K61" s="1444"/>
      <c r="L61" s="1920"/>
      <c r="M61" s="1920"/>
      <c r="N61" s="1444"/>
      <c r="O61" s="1444"/>
      <c r="P61" s="1444"/>
      <c r="Q61" s="1444"/>
      <c r="R61" s="1920"/>
      <c r="S61" s="1444"/>
      <c r="T61" s="1444"/>
      <c r="U61" s="828"/>
      <c r="V61" s="1444"/>
      <c r="W61" s="1444"/>
      <c r="X61" s="1444"/>
      <c r="Y61" s="1444"/>
      <c r="Z61" s="1444"/>
      <c r="AA61" s="1916"/>
      <c r="AB61" s="850"/>
      <c r="AC61" s="850"/>
      <c r="AD61" s="850"/>
      <c r="AE61" s="850"/>
      <c r="AF61" s="1925">
        <v>11</v>
      </c>
    </row>
    <row s="31261" customFormat="1" customHeight="1" ht="11.549999999999999">
      <c r="A62" s="1271"/>
      <c r="B62" s="1920"/>
      <c r="C62" s="1920"/>
      <c r="D62" s="635"/>
      <c r="K62" s="1444"/>
      <c r="L62" s="1920"/>
      <c r="M62" s="1920"/>
      <c r="N62" s="1444"/>
      <c r="O62" s="1444"/>
      <c r="P62" s="1444"/>
      <c r="Q62" s="1444"/>
      <c r="R62" s="1920"/>
      <c r="S62" s="1444"/>
      <c r="T62" s="1444"/>
      <c r="U62" s="828"/>
      <c r="V62" s="1444"/>
      <c r="W62" s="1444"/>
      <c r="X62" s="1444"/>
      <c r="Y62" s="1444"/>
      <c r="Z62" s="1444"/>
      <c r="AA62" s="1916"/>
      <c r="AB62" s="850"/>
      <c r="AC62" s="850"/>
      <c r="AD62" s="850"/>
      <c r="AE62" s="850"/>
      <c r="AF62" s="1925">
        <v>11</v>
      </c>
    </row>
    <row s="31261" customFormat="1" customHeight="1" ht="11.549999999999999">
      <c r="A63" s="1271"/>
      <c r="B63" s="1920"/>
      <c r="C63" s="1920"/>
      <c r="D63" s="635"/>
      <c r="K63" s="1444"/>
      <c r="L63" s="1920"/>
      <c r="M63" s="1920"/>
      <c r="N63" s="1444"/>
      <c r="O63" s="1444"/>
      <c r="P63" s="1444"/>
      <c r="Q63" s="1444"/>
      <c r="R63" s="1920"/>
      <c r="S63" s="1444"/>
      <c r="T63" s="1444"/>
      <c r="U63" s="828"/>
      <c r="V63" s="1444"/>
      <c r="W63" s="1444"/>
      <c r="X63" s="1444"/>
      <c r="Y63" s="1444"/>
      <c r="Z63" s="1444"/>
      <c r="AA63" s="1916"/>
      <c r="AB63" s="850"/>
      <c r="AC63" s="850"/>
      <c r="AD63" s="850"/>
      <c r="AE63" s="850"/>
      <c r="AF63" s="1925">
        <v>11</v>
      </c>
    </row>
    <row s="31261" customFormat="1" customHeight="1" ht="11.549999999999999">
      <c r="A64" s="1271"/>
      <c r="B64" s="1920"/>
      <c r="C64" s="1920"/>
      <c r="D64" s="635"/>
      <c r="K64" s="1444"/>
      <c r="L64" s="1920"/>
      <c r="M64" s="1920"/>
      <c r="N64" s="1444"/>
      <c r="O64" s="1444"/>
      <c r="P64" s="1444"/>
      <c r="Q64" s="1444"/>
      <c r="R64" s="1920"/>
      <c r="S64" s="1444"/>
      <c r="T64" s="1444"/>
      <c r="U64" s="828"/>
      <c r="V64" s="1444"/>
      <c r="W64" s="1444"/>
      <c r="X64" s="1444"/>
      <c r="Y64" s="1444"/>
      <c r="Z64" s="1444"/>
      <c r="AA64" s="1916"/>
      <c r="AB64" s="850"/>
      <c r="AC64" s="850"/>
      <c r="AD64" s="850"/>
      <c r="AE64" s="850"/>
      <c r="AF64" s="1925">
        <v>11</v>
      </c>
    </row>
    <row s="31261" customFormat="1" customHeight="1" ht="11.549999999999999">
      <c r="A65" s="1271"/>
      <c r="B65" s="1920"/>
      <c r="C65" s="1920"/>
      <c r="D65" s="635"/>
      <c r="K65" s="1444"/>
      <c r="L65" s="1920"/>
      <c r="M65" s="1920"/>
      <c r="N65" s="1444"/>
      <c r="O65" s="1444"/>
      <c r="P65" s="1444"/>
      <c r="Q65" s="1444"/>
      <c r="R65" s="1920"/>
      <c r="S65" s="1444"/>
      <c r="T65" s="1444"/>
      <c r="U65" s="828"/>
      <c r="V65" s="1444"/>
      <c r="W65" s="1444"/>
      <c r="X65" s="1444"/>
      <c r="Y65" s="1444"/>
      <c r="Z65" s="1444"/>
      <c r="AA65" s="1916"/>
      <c r="AB65" s="850"/>
      <c r="AC65" s="850"/>
      <c r="AD65" s="850"/>
      <c r="AE65" s="850"/>
      <c r="AF65" s="1925">
        <v>11</v>
      </c>
    </row>
    <row s="31261" customFormat="1" customHeight="1" ht="11.549999999999999">
      <c r="A66" s="1271"/>
      <c r="B66" s="1920"/>
      <c r="C66" s="1920"/>
      <c r="D66" s="635"/>
      <c r="K66" s="1444"/>
      <c r="L66" s="1920"/>
      <c r="M66" s="1920"/>
      <c r="N66" s="1444"/>
      <c r="O66" s="1444"/>
      <c r="P66" s="1444"/>
      <c r="Q66" s="1444"/>
      <c r="R66" s="1920"/>
      <c r="S66" s="1444"/>
      <c r="T66" s="1444"/>
      <c r="U66" s="828"/>
      <c r="V66" s="1444"/>
      <c r="W66" s="1444"/>
      <c r="X66" s="1444"/>
      <c r="Y66" s="1444"/>
      <c r="Z66" s="1444"/>
      <c r="AA66" s="1916"/>
      <c r="AB66" s="850"/>
      <c r="AC66" s="850"/>
      <c r="AD66" s="850"/>
      <c r="AE66" s="850"/>
      <c r="AF66" s="1925">
        <v>11</v>
      </c>
    </row>
    <row s="31261" customFormat="1" customHeight="1" ht="11.549999999999999">
      <c r="A67" s="1271"/>
      <c r="B67" s="1920"/>
      <c r="C67" s="1920"/>
      <c r="D67" s="635"/>
      <c r="K67" s="1444"/>
      <c r="L67" s="1920"/>
      <c r="M67" s="1920"/>
      <c r="N67" s="1444"/>
      <c r="O67" s="1444"/>
      <c r="P67" s="1444"/>
      <c r="Q67" s="1444"/>
      <c r="R67" s="1920"/>
      <c r="S67" s="1444"/>
      <c r="T67" s="1444"/>
      <c r="U67" s="828"/>
      <c r="V67" s="1444"/>
      <c r="W67" s="1444"/>
      <c r="X67" s="1444"/>
      <c r="Y67" s="1444"/>
      <c r="Z67" s="1444"/>
      <c r="AA67" s="1916"/>
      <c r="AB67" s="850"/>
      <c r="AC67" s="850"/>
      <c r="AD67" s="850"/>
      <c r="AE67" s="850"/>
      <c r="AF67" s="1925">
        <v>11</v>
      </c>
    </row>
    <row s="31261" customFormat="1" customHeight="1" ht="11.549999999999999">
      <c r="A68" s="1271"/>
      <c r="B68" s="1920"/>
      <c r="C68" s="1920"/>
      <c r="D68" s="635"/>
      <c r="K68" s="1444"/>
      <c r="L68" s="1920"/>
      <c r="M68" s="1920"/>
      <c r="N68" s="1444"/>
      <c r="O68" s="1444"/>
      <c r="P68" s="1444"/>
      <c r="Q68" s="1444"/>
      <c r="R68" s="1920"/>
      <c r="S68" s="1444"/>
      <c r="T68" s="1444"/>
      <c r="U68" s="828"/>
      <c r="V68" s="1444"/>
      <c r="W68" s="1444"/>
      <c r="X68" s="1444"/>
      <c r="Y68" s="1444"/>
      <c r="Z68" s="1444"/>
      <c r="AA68" s="1916"/>
      <c r="AB68" s="850"/>
      <c r="AC68" s="850"/>
      <c r="AD68" s="850"/>
      <c r="AE68" s="850"/>
      <c r="AF68" s="1925">
        <v>11</v>
      </c>
    </row>
    <row s="31261" customFormat="1" customHeight="1" ht="11.549999999999999">
      <c r="A69" s="1271"/>
      <c r="B69" s="1920"/>
      <c r="C69" s="1920"/>
      <c r="D69" s="635"/>
      <c r="K69" s="1444"/>
      <c r="L69" s="1920"/>
      <c r="M69" s="1920"/>
      <c r="N69" s="1444"/>
      <c r="O69" s="1444"/>
      <c r="P69" s="1444"/>
      <c r="Q69" s="1444"/>
      <c r="R69" s="1920"/>
      <c r="S69" s="1444"/>
      <c r="T69" s="1444"/>
      <c r="U69" s="828"/>
      <c r="V69" s="1444"/>
      <c r="W69" s="1444"/>
      <c r="X69" s="1444"/>
      <c r="Y69" s="1444"/>
      <c r="Z69" s="1444"/>
      <c r="AA69" s="1916"/>
      <c r="AB69" s="850"/>
      <c r="AC69" s="850"/>
      <c r="AD69" s="850"/>
      <c r="AE69" s="850"/>
      <c r="AF69" s="1925">
        <v>11</v>
      </c>
    </row>
    <row s="31261" customFormat="1" customHeight="1" ht="11.549999999999999">
      <c r="A70" s="1271"/>
      <c r="B70" s="1920"/>
      <c r="C70" s="1920"/>
      <c r="D70" s="635"/>
      <c r="K70" s="1444"/>
      <c r="L70" s="1920"/>
      <c r="M70" s="1920"/>
      <c r="N70" s="1444"/>
      <c r="O70" s="1444"/>
      <c r="P70" s="1444"/>
      <c r="Q70" s="1444"/>
      <c r="R70" s="1920"/>
      <c r="S70" s="1444"/>
      <c r="T70" s="1444"/>
      <c r="U70" s="828"/>
      <c r="V70" s="1444"/>
      <c r="W70" s="1444"/>
      <c r="X70" s="1444"/>
      <c r="Y70" s="1444"/>
      <c r="Z70" s="1444"/>
      <c r="AA70" s="1916"/>
      <c r="AB70" s="850"/>
      <c r="AC70" s="850"/>
      <c r="AD70" s="850"/>
      <c r="AE70" s="850"/>
      <c r="AF70" s="1925">
        <v>11</v>
      </c>
    </row>
    <row s="31261" customFormat="1" customHeight="1" ht="11.549999999999999">
      <c r="A71" s="1271"/>
      <c r="B71" s="1920"/>
      <c r="C71" s="1920"/>
      <c r="D71" s="635"/>
      <c r="K71" s="1444"/>
      <c r="L71" s="1920"/>
      <c r="M71" s="1920"/>
      <c r="N71" s="1444"/>
      <c r="O71" s="1444"/>
      <c r="P71" s="1444"/>
      <c r="Q71" s="1444"/>
      <c r="R71" s="1920"/>
      <c r="S71" s="1444"/>
      <c r="T71" s="1444"/>
      <c r="U71" s="828"/>
      <c r="V71" s="1444"/>
      <c r="W71" s="1444"/>
      <c r="X71" s="1444"/>
      <c r="Y71" s="1444"/>
      <c r="Z71" s="1444"/>
      <c r="AA71" s="1916"/>
      <c r="AB71" s="850"/>
      <c r="AC71" s="850"/>
      <c r="AD71" s="850"/>
      <c r="AE71" s="850"/>
      <c r="AF71" s="1925">
        <v>11</v>
      </c>
    </row>
    <row s="31261" customFormat="1" customHeight="1" ht="11.549999999999999">
      <c r="A72" s="1271"/>
      <c r="B72" s="1920"/>
      <c r="C72" s="1920"/>
      <c r="D72" s="635"/>
      <c r="K72" s="1444"/>
      <c r="L72" s="1920"/>
      <c r="M72" s="1920"/>
      <c r="N72" s="1444"/>
      <c r="O72" s="1444"/>
      <c r="P72" s="1444"/>
      <c r="Q72" s="1444"/>
      <c r="R72" s="1920"/>
      <c r="S72" s="1444"/>
      <c r="T72" s="1444"/>
      <c r="U72" s="828"/>
      <c r="V72" s="1444"/>
      <c r="W72" s="1444"/>
      <c r="X72" s="1444"/>
      <c r="Y72" s="1444"/>
      <c r="Z72" s="1444"/>
      <c r="AA72" s="1916"/>
      <c r="AB72" s="850"/>
      <c r="AC72" s="850"/>
      <c r="AD72" s="850"/>
      <c r="AE72" s="850"/>
      <c r="AF72" s="1925">
        <v>11</v>
      </c>
    </row>
    <row s="31261" customFormat="1" customHeight="1" ht="11.549999999999999">
      <c r="A73" s="1271"/>
      <c r="B73" s="1920"/>
      <c r="C73" s="1920"/>
      <c r="D73" s="635"/>
      <c r="K73" s="1444"/>
      <c r="L73" s="1920"/>
      <c r="M73" s="1920"/>
      <c r="N73" s="1444"/>
      <c r="O73" s="1444"/>
      <c r="P73" s="1444"/>
      <c r="Q73" s="1444"/>
      <c r="R73" s="1920"/>
      <c r="S73" s="1444"/>
      <c r="T73" s="1444"/>
      <c r="U73" s="828"/>
      <c r="V73" s="1444"/>
      <c r="W73" s="1444"/>
      <c r="X73" s="1444"/>
      <c r="Y73" s="1444"/>
      <c r="Z73" s="1444"/>
      <c r="AA73" s="1916"/>
      <c r="AB73" s="850"/>
      <c r="AC73" s="850"/>
      <c r="AD73" s="850"/>
      <c r="AE73" s="850"/>
      <c r="AF73" s="1925">
        <v>11</v>
      </c>
    </row>
    <row s="31261" customFormat="1" customHeight="1" ht="11.549999999999999">
      <c r="A74" s="1271"/>
      <c r="B74" s="1920"/>
      <c r="C74" s="1920"/>
      <c r="D74" s="635"/>
      <c r="K74" s="1444"/>
      <c r="L74" s="1920"/>
      <c r="M74" s="1920"/>
      <c r="N74" s="1444"/>
      <c r="O74" s="1444"/>
      <c r="P74" s="1444"/>
      <c r="Q74" s="1444"/>
      <c r="R74" s="1920"/>
      <c r="S74" s="1444"/>
      <c r="T74" s="1444"/>
      <c r="U74" s="828"/>
      <c r="V74" s="1444"/>
      <c r="W74" s="1444"/>
      <c r="X74" s="1444"/>
      <c r="Y74" s="1444"/>
      <c r="Z74" s="1444"/>
      <c r="AA74" s="1916"/>
      <c r="AB74" s="850"/>
      <c r="AC74" s="850"/>
      <c r="AD74" s="850"/>
      <c r="AE74" s="850"/>
      <c r="AF74" s="1925">
        <v>11</v>
      </c>
    </row>
    <row s="31261" customFormat="1" customHeight="1" ht="11.549999999999999">
      <c r="A75" s="1271"/>
      <c r="B75" s="1920"/>
      <c r="C75" s="1920"/>
      <c r="D75" s="635"/>
      <c r="K75" s="1444"/>
      <c r="L75" s="1920"/>
      <c r="M75" s="1920"/>
      <c r="N75" s="1444"/>
      <c r="O75" s="1444"/>
      <c r="P75" s="1444"/>
      <c r="Q75" s="1444"/>
      <c r="R75" s="1920"/>
      <c r="S75" s="1444"/>
      <c r="T75" s="1444"/>
      <c r="U75" s="828"/>
      <c r="V75" s="1444"/>
      <c r="W75" s="1444"/>
      <c r="X75" s="1444"/>
      <c r="Y75" s="1444"/>
      <c r="Z75" s="1444"/>
      <c r="AA75" s="1916"/>
      <c r="AB75" s="850"/>
      <c r="AC75" s="850"/>
      <c r="AD75" s="850"/>
      <c r="AE75" s="850"/>
      <c r="AF75" s="1925">
        <v>11</v>
      </c>
    </row>
    <row s="31261" customFormat="1" customHeight="1" ht="11.549999999999999">
      <c r="A76" s="1271"/>
      <c r="B76" s="1920"/>
      <c r="C76" s="1920"/>
      <c r="D76" s="635"/>
      <c r="K76" s="1444"/>
      <c r="L76" s="1920"/>
      <c r="M76" s="1920"/>
      <c r="N76" s="1444"/>
      <c r="O76" s="1444"/>
      <c r="P76" s="1444"/>
      <c r="Q76" s="1444"/>
      <c r="R76" s="1920"/>
      <c r="S76" s="1444"/>
      <c r="T76" s="1444"/>
      <c r="U76" s="828"/>
      <c r="V76" s="1444"/>
      <c r="W76" s="1444"/>
      <c r="X76" s="1444"/>
      <c r="Y76" s="1444"/>
      <c r="Z76" s="1444"/>
      <c r="AA76" s="1916"/>
      <c r="AB76" s="850"/>
      <c r="AC76" s="850"/>
      <c r="AD76" s="850"/>
      <c r="AE76" s="850"/>
      <c r="AF76" s="1925">
        <v>11</v>
      </c>
    </row>
    <row s="31261" customFormat="1" customHeight="1" ht="11.549999999999999">
      <c r="A77" s="1271"/>
      <c r="B77" s="1920"/>
      <c r="C77" s="1920"/>
      <c r="D77" s="635"/>
      <c r="K77" s="1444"/>
      <c r="L77" s="1920"/>
      <c r="M77" s="1920"/>
      <c r="N77" s="1444"/>
      <c r="O77" s="1444"/>
      <c r="P77" s="1444"/>
      <c r="Q77" s="1444"/>
      <c r="R77" s="1920"/>
      <c r="S77" s="1444"/>
      <c r="T77" s="1444"/>
      <c r="U77" s="828"/>
      <c r="V77" s="1444"/>
      <c r="W77" s="1444"/>
      <c r="X77" s="1444"/>
      <c r="Y77" s="1444"/>
      <c r="Z77" s="1444"/>
      <c r="AA77" s="1916"/>
      <c r="AB77" s="850"/>
      <c r="AC77" s="850"/>
      <c r="AD77" s="850"/>
      <c r="AE77" s="850"/>
      <c r="AF77" s="1925">
        <v>11</v>
      </c>
    </row>
    <row s="31261" customFormat="1" customHeight="1" ht="11.549999999999999">
      <c r="A78" s="1271"/>
      <c r="B78" s="1920"/>
      <c r="C78" s="1920"/>
      <c r="D78" s="635"/>
      <c r="K78" s="1444"/>
      <c r="L78" s="1920"/>
      <c r="M78" s="1920"/>
      <c r="N78" s="1444"/>
      <c r="O78" s="1444"/>
      <c r="P78" s="1444"/>
      <c r="Q78" s="1444"/>
      <c r="R78" s="1920"/>
      <c r="S78" s="1444"/>
      <c r="T78" s="1444"/>
      <c r="U78" s="828"/>
      <c r="V78" s="1444"/>
      <c r="W78" s="1444"/>
      <c r="X78" s="1444"/>
      <c r="Y78" s="1444"/>
      <c r="Z78" s="1444"/>
      <c r="AA78" s="1916"/>
      <c r="AB78" s="850"/>
      <c r="AC78" s="850"/>
      <c r="AD78" s="850"/>
      <c r="AE78" s="850"/>
      <c r="AF78" s="1925">
        <v>11</v>
      </c>
    </row>
    <row s="31261" customFormat="1" customHeight="1" ht="11.549999999999999">
      <c r="A79" s="1271"/>
      <c r="B79" s="1920"/>
      <c r="C79" s="1920"/>
      <c r="D79" s="635"/>
      <c r="K79" s="1444"/>
      <c r="L79" s="1920"/>
      <c r="M79" s="1920"/>
      <c r="N79" s="1444"/>
      <c r="O79" s="1444"/>
      <c r="P79" s="1444"/>
      <c r="Q79" s="1444"/>
      <c r="R79" s="1920"/>
      <c r="S79" s="1444"/>
      <c r="T79" s="1444"/>
      <c r="U79" s="828"/>
      <c r="V79" s="1444"/>
      <c r="W79" s="1444"/>
      <c r="X79" s="1444"/>
      <c r="Y79" s="1444"/>
      <c r="Z79" s="1444"/>
      <c r="AA79" s="1916"/>
      <c r="AB79" s="850"/>
      <c r="AC79" s="850"/>
      <c r="AD79" s="850"/>
      <c r="AE79" s="850"/>
      <c r="AF79" s="1925">
        <v>11</v>
      </c>
    </row>
    <row s="31261" customFormat="1" customHeight="1" ht="11.549999999999999">
      <c r="A80" s="1271"/>
      <c r="B80" s="1920"/>
      <c r="C80" s="1920"/>
      <c r="D80" s="635"/>
      <c r="K80" s="1444"/>
      <c r="L80" s="1920"/>
      <c r="M80" s="1920"/>
      <c r="N80" s="1444"/>
      <c r="O80" s="1444"/>
      <c r="P80" s="1444"/>
      <c r="Q80" s="1444"/>
      <c r="R80" s="1920"/>
      <c r="S80" s="1444"/>
      <c r="T80" s="1444"/>
      <c r="U80" s="828"/>
      <c r="V80" s="1444"/>
      <c r="W80" s="1444"/>
      <c r="X80" s="1444"/>
      <c r="Y80" s="1444"/>
      <c r="Z80" s="1444"/>
      <c r="AA80" s="1916"/>
      <c r="AB80" s="850"/>
      <c r="AC80" s="850"/>
      <c r="AD80" s="850"/>
      <c r="AE80" s="850"/>
      <c r="AF80" s="1925">
        <v>11</v>
      </c>
    </row>
    <row s="31261" customFormat="1" customHeight="1" ht="11.549999999999999">
      <c r="A81" s="1271"/>
      <c r="B81" s="1920"/>
      <c r="C81" s="1920"/>
      <c r="D81" s="635"/>
      <c r="K81" s="1444"/>
      <c r="L81" s="1920"/>
      <c r="M81" s="1920"/>
      <c r="N81" s="1444"/>
      <c r="O81" s="1444"/>
      <c r="P81" s="1444"/>
      <c r="Q81" s="1444"/>
      <c r="R81" s="1920"/>
      <c r="S81" s="1444"/>
      <c r="T81" s="1444"/>
      <c r="U81" s="828"/>
      <c r="V81" s="1444"/>
      <c r="W81" s="1444"/>
      <c r="X81" s="1444"/>
      <c r="Y81" s="1444"/>
      <c r="Z81" s="1444"/>
      <c r="AA81" s="1916"/>
      <c r="AB81" s="850"/>
      <c r="AC81" s="850"/>
      <c r="AD81" s="850"/>
      <c r="AE81" s="850"/>
      <c r="AF81" s="1925">
        <v>11</v>
      </c>
    </row>
    <row s="31261" customFormat="1" customHeight="1" ht="11.549999999999999">
      <c r="A82" s="1271"/>
      <c r="B82" s="1920"/>
      <c r="C82" s="1920"/>
      <c r="D82" s="635"/>
      <c r="K82" s="1444"/>
      <c r="L82" s="1920"/>
      <c r="M82" s="1920"/>
      <c r="N82" s="1444"/>
      <c r="O82" s="1444"/>
      <c r="P82" s="1444"/>
      <c r="Q82" s="1444"/>
      <c r="R82" s="1920"/>
      <c r="S82" s="1444"/>
      <c r="T82" s="1444"/>
      <c r="U82" s="828"/>
      <c r="V82" s="1444"/>
      <c r="W82" s="1444"/>
      <c r="X82" s="1444"/>
      <c r="Y82" s="1444"/>
      <c r="Z82" s="1444"/>
      <c r="AA82" s="1916"/>
      <c r="AB82" s="850"/>
      <c r="AC82" s="850"/>
      <c r="AD82" s="850"/>
      <c r="AE82" s="850"/>
      <c r="AF82" s="1925">
        <v>11</v>
      </c>
    </row>
    <row s="31261" customFormat="1" customHeight="1" ht="11.549999999999999">
      <c r="A83" s="1271"/>
      <c r="B83" s="1920"/>
      <c r="C83" s="1920"/>
      <c r="D83" s="635"/>
      <c r="K83" s="1444"/>
      <c r="L83" s="1920"/>
      <c r="M83" s="1920"/>
      <c r="N83" s="1444"/>
      <c r="O83" s="1444"/>
      <c r="P83" s="1444"/>
      <c r="Q83" s="1444"/>
      <c r="R83" s="1920"/>
      <c r="S83" s="1444"/>
      <c r="T83" s="1444"/>
      <c r="U83" s="828"/>
      <c r="V83" s="1444"/>
      <c r="W83" s="1444"/>
      <c r="X83" s="1444"/>
      <c r="Y83" s="1444"/>
      <c r="Z83" s="1444"/>
      <c r="AA83" s="1916"/>
      <c r="AB83" s="850"/>
      <c r="AC83" s="850"/>
      <c r="AD83" s="850"/>
      <c r="AE83" s="850"/>
      <c r="AF83" s="1925">
        <v>11</v>
      </c>
    </row>
    <row s="31261" customFormat="1" customHeight="1" ht="11.549999999999999">
      <c r="A84" s="1271"/>
      <c r="B84" s="1920"/>
      <c r="C84" s="1920"/>
      <c r="D84" s="635"/>
      <c r="K84" s="1444"/>
      <c r="L84" s="1920"/>
      <c r="M84" s="1920"/>
      <c r="N84" s="1444"/>
      <c r="O84" s="1444"/>
      <c r="P84" s="1444"/>
      <c r="Q84" s="1444"/>
      <c r="R84" s="1920"/>
      <c r="S84" s="1444"/>
      <c r="T84" s="1444"/>
      <c r="U84" s="828"/>
      <c r="V84" s="1444"/>
      <c r="W84" s="1444"/>
      <c r="X84" s="1444"/>
      <c r="Y84" s="1444"/>
      <c r="Z84" s="1444"/>
      <c r="AA84" s="1916"/>
      <c r="AB84" s="850"/>
      <c r="AC84" s="850"/>
      <c r="AD84" s="850"/>
      <c r="AE84" s="850"/>
      <c r="AF84" s="1925">
        <v>11</v>
      </c>
    </row>
    <row s="31261" customFormat="1" customHeight="1" ht="11.549999999999999">
      <c r="A85" s="1271"/>
      <c r="B85" s="1920"/>
      <c r="C85" s="1920"/>
      <c r="D85" s="635"/>
      <c r="K85" s="1444"/>
      <c r="L85" s="1920"/>
      <c r="M85" s="1920"/>
      <c r="N85" s="1444"/>
      <c r="O85" s="1444"/>
      <c r="P85" s="1444"/>
      <c r="Q85" s="1444"/>
      <c r="R85" s="1920"/>
      <c r="S85" s="1444"/>
      <c r="T85" s="1444"/>
      <c r="U85" s="828"/>
      <c r="V85" s="1444"/>
      <c r="W85" s="1444"/>
      <c r="X85" s="1444"/>
      <c r="Y85" s="1444"/>
      <c r="Z85" s="1444"/>
      <c r="AA85" s="1916"/>
      <c r="AB85" s="850"/>
      <c r="AC85" s="850"/>
      <c r="AD85" s="850"/>
      <c r="AE85" s="850"/>
      <c r="AF85" s="1925">
        <v>11</v>
      </c>
    </row>
    <row s="31261" customFormat="1" customHeight="1" ht="11.549999999999999">
      <c r="A86" s="1271"/>
      <c r="B86" s="1920"/>
      <c r="C86" s="1920"/>
      <c r="D86" s="635"/>
      <c r="K86" s="1444"/>
      <c r="L86" s="1920"/>
      <c r="M86" s="1920"/>
      <c r="N86" s="1444"/>
      <c r="O86" s="1444"/>
      <c r="P86" s="1444"/>
      <c r="Q86" s="1444"/>
      <c r="R86" s="1920"/>
      <c r="S86" s="1444"/>
      <c r="T86" s="1444"/>
      <c r="U86" s="828"/>
      <c r="V86" s="1444"/>
      <c r="W86" s="1444"/>
      <c r="X86" s="1444"/>
      <c r="Y86" s="1444"/>
      <c r="Z86" s="1444"/>
      <c r="AA86" s="1916"/>
      <c r="AB86" s="850"/>
      <c r="AC86" s="850"/>
      <c r="AD86" s="850"/>
      <c r="AE86" s="850"/>
      <c r="AF86" s="1925">
        <v>11</v>
      </c>
    </row>
    <row s="31261" customFormat="1" customHeight="1" ht="11.549999999999999">
      <c r="A87" s="1271"/>
      <c r="B87" s="1920"/>
      <c r="C87" s="1920"/>
      <c r="D87" s="635"/>
      <c r="K87" s="1444"/>
      <c r="L87" s="1920"/>
      <c r="M87" s="1920"/>
      <c r="N87" s="1444"/>
      <c r="O87" s="1444"/>
      <c r="P87" s="1444"/>
      <c r="Q87" s="1444"/>
      <c r="R87" s="1920"/>
      <c r="S87" s="1444"/>
      <c r="T87" s="1444"/>
      <c r="U87" s="828"/>
      <c r="V87" s="1444"/>
      <c r="W87" s="1444"/>
      <c r="X87" s="1444"/>
      <c r="Y87" s="1444"/>
      <c r="Z87" s="1444"/>
      <c r="AA87" s="1916"/>
      <c r="AB87" s="850"/>
      <c r="AC87" s="850"/>
      <c r="AD87" s="850"/>
      <c r="AE87" s="850"/>
      <c r="AF87" s="1925">
        <v>11</v>
      </c>
    </row>
    <row s="31261" customFormat="1" customHeight="1" ht="11.549999999999999">
      <c r="A88" s="1271"/>
      <c r="B88" s="1920"/>
      <c r="C88" s="1920"/>
      <c r="D88" s="635"/>
      <c r="K88" s="1444"/>
      <c r="L88" s="1920"/>
      <c r="M88" s="1920"/>
      <c r="N88" s="1444"/>
      <c r="O88" s="1444"/>
      <c r="P88" s="1444"/>
      <c r="Q88" s="1444"/>
      <c r="R88" s="1920"/>
      <c r="S88" s="1444"/>
      <c r="T88" s="1444"/>
      <c r="U88" s="828"/>
      <c r="V88" s="1444"/>
      <c r="W88" s="1444"/>
      <c r="X88" s="1444"/>
      <c r="Y88" s="1444"/>
      <c r="Z88" s="1444"/>
      <c r="AA88" s="1916"/>
      <c r="AB88" s="850"/>
      <c r="AC88" s="850"/>
      <c r="AD88" s="850"/>
      <c r="AE88" s="850"/>
      <c r="AF88" s="1925">
        <v>11</v>
      </c>
    </row>
    <row s="31261" customFormat="1" customHeight="1" ht="11.549999999999999">
      <c r="A89" s="1271"/>
      <c r="B89" s="1920"/>
      <c r="C89" s="1920"/>
      <c r="D89" s="635"/>
      <c r="K89" s="1444"/>
      <c r="L89" s="1920"/>
      <c r="M89" s="1920"/>
      <c r="N89" s="1444"/>
      <c r="O89" s="1444"/>
      <c r="P89" s="1444"/>
      <c r="Q89" s="1444"/>
      <c r="R89" s="1920"/>
      <c r="S89" s="1444"/>
      <c r="T89" s="1444"/>
      <c r="U89" s="828"/>
      <c r="V89" s="1444"/>
      <c r="W89" s="1444"/>
      <c r="X89" s="1444"/>
      <c r="Y89" s="1444"/>
      <c r="Z89" s="1444"/>
      <c r="AA89" s="1916"/>
      <c r="AB89" s="850"/>
      <c r="AC89" s="850"/>
      <c r="AD89" s="850"/>
      <c r="AE89" s="850"/>
      <c r="AF89" s="1925">
        <v>11</v>
      </c>
    </row>
    <row s="31261" customFormat="1" customHeight="1" ht="11.549999999999999">
      <c r="A90" s="1271"/>
      <c r="B90" s="1920"/>
      <c r="C90" s="1920"/>
      <c r="D90" s="635"/>
      <c r="K90" s="1444"/>
      <c r="L90" s="1920"/>
      <c r="M90" s="1920"/>
      <c r="N90" s="1444"/>
      <c r="O90" s="1444"/>
      <c r="P90" s="1444"/>
      <c r="Q90" s="1444"/>
      <c r="R90" s="1920"/>
      <c r="S90" s="1444"/>
      <c r="T90" s="1444"/>
      <c r="U90" s="828"/>
      <c r="V90" s="1444"/>
      <c r="W90" s="1444"/>
      <c r="X90" s="1444"/>
      <c r="Y90" s="1444"/>
      <c r="Z90" s="1444"/>
      <c r="AA90" s="1916"/>
      <c r="AB90" s="850"/>
      <c r="AC90" s="850"/>
      <c r="AD90" s="850"/>
      <c r="AE90" s="850"/>
      <c r="AF90" s="1925">
        <v>11</v>
      </c>
    </row>
    <row s="31261" customFormat="1" customHeight="1" ht="11.549999999999999">
      <c r="A91" s="1271"/>
      <c r="B91" s="1920"/>
      <c r="C91" s="1920"/>
      <c r="D91" s="635"/>
      <c r="K91" s="1444"/>
      <c r="L91" s="1920"/>
      <c r="M91" s="1920"/>
      <c r="N91" s="1444"/>
      <c r="O91" s="1444"/>
      <c r="P91" s="1444"/>
      <c r="Q91" s="1444"/>
      <c r="R91" s="1920"/>
      <c r="S91" s="1444"/>
      <c r="T91" s="1444"/>
      <c r="U91" s="828"/>
      <c r="V91" s="1444"/>
      <c r="W91" s="1444"/>
      <c r="X91" s="1444"/>
      <c r="Y91" s="1444"/>
      <c r="Z91" s="1444"/>
      <c r="AA91" s="1916"/>
      <c r="AB91" s="850"/>
      <c r="AC91" s="850"/>
      <c r="AD91" s="850"/>
      <c r="AE91" s="850"/>
      <c r="AF91" s="1925">
        <v>11</v>
      </c>
    </row>
    <row s="31261" customFormat="1" customHeight="1" ht="11.549999999999999">
      <c r="A92" s="1271"/>
      <c r="B92" s="1920"/>
      <c r="C92" s="1920"/>
      <c r="D92" s="635"/>
      <c r="K92" s="1444"/>
      <c r="L92" s="1920"/>
      <c r="M92" s="1920"/>
      <c r="N92" s="1444"/>
      <c r="O92" s="1444"/>
      <c r="P92" s="1444"/>
      <c r="Q92" s="1444"/>
      <c r="R92" s="1920"/>
      <c r="S92" s="1444"/>
      <c r="T92" s="1444"/>
      <c r="U92" s="828"/>
      <c r="V92" s="1444"/>
      <c r="W92" s="1444"/>
      <c r="X92" s="1444"/>
      <c r="Y92" s="1444"/>
      <c r="Z92" s="1444"/>
      <c r="AA92" s="1916"/>
      <c r="AB92" s="850"/>
      <c r="AC92" s="850"/>
      <c r="AD92" s="850"/>
      <c r="AE92" s="850"/>
      <c r="AF92" s="1925">
        <v>11</v>
      </c>
    </row>
    <row s="31261" customFormat="1" customHeight="1" ht="11.549999999999999">
      <c r="A93" s="1271"/>
      <c r="B93" s="1920"/>
      <c r="C93" s="1920"/>
      <c r="D93" s="635"/>
      <c r="K93" s="1444"/>
      <c r="L93" s="1920"/>
      <c r="M93" s="1920"/>
      <c r="N93" s="1444"/>
      <c r="O93" s="1444"/>
      <c r="P93" s="1444"/>
      <c r="Q93" s="1444"/>
      <c r="R93" s="1920"/>
      <c r="S93" s="1444"/>
      <c r="T93" s="1444"/>
      <c r="U93" s="828"/>
      <c r="V93" s="1444"/>
      <c r="W93" s="1444"/>
      <c r="X93" s="1444"/>
      <c r="Y93" s="1444"/>
      <c r="Z93" s="1444"/>
      <c r="AA93" s="1916"/>
      <c r="AB93" s="850"/>
      <c r="AC93" s="850"/>
      <c r="AD93" s="850"/>
      <c r="AE93" s="850"/>
      <c r="AF93" s="1925">
        <v>11</v>
      </c>
    </row>
    <row s="31261" customFormat="1" customHeight="1" ht="11.549999999999999">
      <c r="A94" s="1271"/>
      <c r="B94" s="1920"/>
      <c r="C94" s="1920"/>
      <c r="D94" s="635"/>
      <c r="K94" s="1444"/>
      <c r="L94" s="1920"/>
      <c r="M94" s="1920"/>
      <c r="N94" s="1444"/>
      <c r="O94" s="1444"/>
      <c r="P94" s="1444"/>
      <c r="Q94" s="1444"/>
      <c r="R94" s="1920"/>
      <c r="S94" s="1444"/>
      <c r="T94" s="1444"/>
      <c r="U94" s="828"/>
      <c r="V94" s="1444"/>
      <c r="W94" s="1444"/>
      <c r="X94" s="1444"/>
      <c r="Y94" s="1444"/>
      <c r="Z94" s="1444"/>
      <c r="AA94" s="1916"/>
      <c r="AB94" s="850"/>
      <c r="AC94" s="850"/>
      <c r="AD94" s="850"/>
      <c r="AE94" s="850"/>
      <c r="AF94" s="1925">
        <v>11</v>
      </c>
    </row>
    <row s="31261" customFormat="1" customHeight="1" ht="11.549999999999999">
      <c r="A95" s="1271"/>
      <c r="B95" s="1920"/>
      <c r="C95" s="1920"/>
      <c r="D95" s="635"/>
      <c r="K95" s="1444"/>
      <c r="L95" s="1920"/>
      <c r="M95" s="1920"/>
      <c r="N95" s="1444"/>
      <c r="O95" s="1444"/>
      <c r="P95" s="1444"/>
      <c r="Q95" s="1444"/>
      <c r="R95" s="1920"/>
      <c r="S95" s="1444"/>
      <c r="T95" s="1444"/>
      <c r="U95" s="828"/>
      <c r="V95" s="1444"/>
      <c r="W95" s="1444"/>
      <c r="X95" s="1444"/>
      <c r="Y95" s="1444"/>
      <c r="Z95" s="1444"/>
      <c r="AA95" s="1916"/>
      <c r="AB95" s="850"/>
      <c r="AC95" s="850"/>
      <c r="AD95" s="850"/>
      <c r="AE95" s="850"/>
      <c r="AF95" s="1925">
        <v>11</v>
      </c>
    </row>
    <row s="31261" customFormat="1" customHeight="1" ht="11.549999999999999">
      <c r="A96" s="1271"/>
      <c r="B96" s="1920"/>
      <c r="C96" s="1920"/>
      <c r="D96" s="635"/>
      <c r="K96" s="1444"/>
      <c r="L96" s="1920"/>
      <c r="M96" s="1920"/>
      <c r="N96" s="1444"/>
      <c r="O96" s="1444"/>
      <c r="P96" s="1444"/>
      <c r="Q96" s="1444"/>
      <c r="R96" s="1920"/>
      <c r="S96" s="1444"/>
      <c r="T96" s="1444"/>
      <c r="U96" s="828"/>
      <c r="V96" s="1444"/>
      <c r="W96" s="1444"/>
      <c r="X96" s="1444"/>
      <c r="Y96" s="1444"/>
      <c r="Z96" s="1444"/>
      <c r="AA96" s="1916"/>
      <c r="AB96" s="850"/>
      <c r="AC96" s="850"/>
      <c r="AD96" s="850"/>
      <c r="AE96" s="850"/>
      <c r="AF96" s="1925">
        <v>11</v>
      </c>
    </row>
    <row s="31261" customFormat="1" customHeight="1" ht="11.549999999999999">
      <c r="A97" s="1271"/>
      <c r="B97" s="1920"/>
      <c r="C97" s="1920"/>
      <c r="D97" s="635"/>
      <c r="K97" s="1444"/>
      <c r="L97" s="1920"/>
      <c r="M97" s="1920"/>
      <c r="N97" s="1444"/>
      <c r="O97" s="1444"/>
      <c r="P97" s="1444"/>
      <c r="Q97" s="1444"/>
      <c r="R97" s="1920"/>
      <c r="S97" s="1444"/>
      <c r="T97" s="1444"/>
      <c r="U97" s="828"/>
      <c r="V97" s="1444"/>
      <c r="W97" s="1444"/>
      <c r="X97" s="1444"/>
      <c r="Y97" s="1444"/>
      <c r="Z97" s="1444"/>
      <c r="AA97" s="1916"/>
      <c r="AB97" s="850"/>
      <c r="AC97" s="850"/>
      <c r="AD97" s="850"/>
      <c r="AE97" s="850"/>
      <c r="AF97" s="1925">
        <v>11</v>
      </c>
    </row>
    <row s="31261" customFormat="1" customHeight="1" ht="11.549999999999999">
      <c r="A98" s="1271"/>
      <c r="B98" s="1920"/>
      <c r="C98" s="1920"/>
      <c r="D98" s="635"/>
      <c r="K98" s="1444"/>
      <c r="L98" s="1920"/>
      <c r="M98" s="1920"/>
      <c r="N98" s="1444"/>
      <c r="O98" s="1444"/>
      <c r="P98" s="1444"/>
      <c r="Q98" s="1444"/>
      <c r="R98" s="1920"/>
      <c r="S98" s="1444"/>
      <c r="T98" s="1444"/>
      <c r="U98" s="828"/>
      <c r="V98" s="1444"/>
      <c r="W98" s="1444"/>
      <c r="X98" s="1444"/>
      <c r="Y98" s="1444"/>
      <c r="Z98" s="1444"/>
      <c r="AA98" s="1916"/>
      <c r="AB98" s="850"/>
      <c r="AC98" s="850"/>
      <c r="AD98" s="850"/>
      <c r="AE98" s="850"/>
      <c r="AF98" s="1925">
        <v>11</v>
      </c>
    </row>
    <row s="31261" customFormat="1" customHeight="1" ht="11.549999999999999">
      <c r="A99" s="1271"/>
      <c r="B99" s="1920"/>
      <c r="C99" s="1920"/>
      <c r="D99" s="635"/>
      <c r="K99" s="1444"/>
      <c r="L99" s="1920"/>
      <c r="M99" s="1920"/>
      <c r="N99" s="1444"/>
      <c r="O99" s="1444"/>
      <c r="P99" s="1444"/>
      <c r="Q99" s="1444"/>
      <c r="R99" s="1920"/>
      <c r="S99" s="1444"/>
      <c r="T99" s="1444"/>
      <c r="U99" s="828"/>
      <c r="V99" s="1444"/>
      <c r="W99" s="1444"/>
      <c r="X99" s="1444"/>
      <c r="Y99" s="1444"/>
      <c r="Z99" s="1444"/>
      <c r="AA99" s="1916"/>
      <c r="AB99" s="850"/>
      <c r="AC99" s="850"/>
      <c r="AD99" s="850"/>
      <c r="AE99" s="850"/>
      <c r="AF99" s="1925">
        <v>11</v>
      </c>
    </row>
    <row s="31261" customFormat="1" customHeight="1" ht="11.549999999999999">
      <c r="A100" s="1271"/>
      <c r="B100" s="1920"/>
      <c r="C100" s="1920"/>
      <c r="D100" s="635"/>
      <c r="K100" s="1444"/>
      <c r="L100" s="1920"/>
      <c r="M100" s="1920"/>
      <c r="N100" s="1444"/>
      <c r="O100" s="1444"/>
      <c r="P100" s="1444"/>
      <c r="Q100" s="1444"/>
      <c r="R100" s="1920"/>
      <c r="S100" s="1444"/>
      <c r="T100" s="1444"/>
      <c r="U100" s="828"/>
      <c r="V100" s="1444"/>
      <c r="W100" s="1444"/>
      <c r="X100" s="1444"/>
      <c r="Y100" s="1444"/>
      <c r="Z100" s="1444"/>
      <c r="AA100" s="1916"/>
      <c r="AB100" s="850"/>
      <c r="AC100" s="850"/>
      <c r="AD100" s="850"/>
      <c r="AE100" s="850"/>
      <c r="AF100" s="1925">
        <v>11</v>
      </c>
    </row>
    <row s="31261" customFormat="1" customHeight="1" ht="11.549999999999999">
      <c r="A101" s="1271"/>
      <c r="B101" s="1920"/>
      <c r="C101" s="1920"/>
      <c r="D101" s="635"/>
      <c r="K101" s="1444"/>
      <c r="L101" s="1920"/>
      <c r="M101" s="1920"/>
      <c r="N101" s="1444"/>
      <c r="O101" s="1444"/>
      <c r="P101" s="1444"/>
      <c r="Q101" s="1444"/>
      <c r="R101" s="1920"/>
      <c r="S101" s="1444"/>
      <c r="T101" s="1444"/>
      <c r="U101" s="828"/>
      <c r="V101" s="1444"/>
      <c r="W101" s="1444"/>
      <c r="X101" s="1444"/>
      <c r="Y101" s="1444"/>
      <c r="Z101" s="1444"/>
      <c r="AA101" s="1916"/>
      <c r="AB101" s="850"/>
      <c r="AC101" s="850"/>
      <c r="AD101" s="850"/>
      <c r="AE101" s="850"/>
      <c r="AF101" s="1925">
        <v>11</v>
      </c>
    </row>
    <row s="31261" customFormat="1" customHeight="1" ht="11.549999999999999">
      <c r="A102" s="1271"/>
      <c r="B102" s="1920"/>
      <c r="C102" s="1920"/>
      <c r="D102" s="635"/>
      <c r="K102" s="1444"/>
      <c r="L102" s="1920"/>
      <c r="M102" s="1920"/>
      <c r="N102" s="1444"/>
      <c r="O102" s="1444"/>
      <c r="P102" s="1444"/>
      <c r="Q102" s="1444"/>
      <c r="R102" s="1920"/>
      <c r="S102" s="1444"/>
      <c r="T102" s="1444"/>
      <c r="U102" s="828"/>
      <c r="V102" s="1444"/>
      <c r="W102" s="1444"/>
      <c r="X102" s="1444"/>
      <c r="Y102" s="1444"/>
      <c r="Z102" s="1444"/>
      <c r="AA102" s="1916"/>
      <c r="AB102" s="850"/>
      <c r="AC102" s="850"/>
      <c r="AD102" s="850"/>
      <c r="AE102" s="850"/>
      <c r="AF102" s="1925">
        <v>11</v>
      </c>
    </row>
    <row s="31261" customFormat="1" customHeight="1" ht="11.549999999999999">
      <c r="A103" s="1271"/>
      <c r="B103" s="1920"/>
      <c r="C103" s="1920"/>
      <c r="D103" s="635"/>
      <c r="K103" s="1444"/>
      <c r="L103" s="1920"/>
      <c r="M103" s="1920"/>
      <c r="N103" s="1444"/>
      <c r="O103" s="1444"/>
      <c r="P103" s="1444"/>
      <c r="Q103" s="1444"/>
      <c r="R103" s="1920"/>
      <c r="S103" s="1444"/>
      <c r="T103" s="1444"/>
      <c r="U103" s="828"/>
      <c r="V103" s="1444"/>
      <c r="W103" s="1444"/>
      <c r="X103" s="1444"/>
      <c r="Y103" s="1444"/>
      <c r="Z103" s="1444"/>
      <c r="AA103" s="1916"/>
      <c r="AB103" s="850"/>
      <c r="AC103" s="850"/>
      <c r="AD103" s="850"/>
      <c r="AE103" s="850"/>
      <c r="AF103" s="1925">
        <v>11</v>
      </c>
    </row>
    <row s="31261" customFormat="1" customHeight="1" ht="11.549999999999999">
      <c r="A104" s="1271"/>
      <c r="B104" s="1920"/>
      <c r="C104" s="1920"/>
      <c r="D104" s="635"/>
      <c r="K104" s="1444"/>
      <c r="L104" s="1920"/>
      <c r="M104" s="1920"/>
      <c r="N104" s="1444"/>
      <c r="O104" s="1444"/>
      <c r="P104" s="1444"/>
      <c r="Q104" s="1444"/>
      <c r="R104" s="1920"/>
      <c r="S104" s="1444"/>
      <c r="T104" s="1444"/>
      <c r="U104" s="828"/>
      <c r="V104" s="1444"/>
      <c r="W104" s="1444"/>
      <c r="X104" s="1444"/>
      <c r="Y104" s="1444"/>
      <c r="Z104" s="1444"/>
      <c r="AA104" s="1916"/>
      <c r="AB104" s="850"/>
      <c r="AC104" s="850"/>
      <c r="AD104" s="850"/>
      <c r="AE104" s="850"/>
      <c r="AF104" s="1925">
        <v>11</v>
      </c>
    </row>
    <row s="31261" customFormat="1" customHeight="1" ht="11.549999999999999">
      <c r="A105" s="1271"/>
      <c r="B105" s="1920"/>
      <c r="C105" s="1920"/>
      <c r="D105" s="635"/>
      <c r="K105" s="1444"/>
      <c r="L105" s="1920"/>
      <c r="M105" s="1920"/>
      <c r="N105" s="1444"/>
      <c r="O105" s="1444"/>
      <c r="P105" s="1444"/>
      <c r="Q105" s="1444"/>
      <c r="R105" s="1920"/>
      <c r="S105" s="1444"/>
      <c r="T105" s="1444"/>
      <c r="U105" s="828"/>
      <c r="V105" s="1444"/>
      <c r="W105" s="1444"/>
      <c r="X105" s="1444"/>
      <c r="Y105" s="1444"/>
      <c r="Z105" s="1444"/>
      <c r="AA105" s="1916"/>
      <c r="AB105" s="850"/>
      <c r="AC105" s="850"/>
      <c r="AD105" s="850"/>
      <c r="AE105" s="850"/>
      <c r="AF105" s="1925">
        <v>11</v>
      </c>
    </row>
    <row s="31261" customFormat="1" customHeight="1" ht="11.549999999999999">
      <c r="A106" s="1271"/>
      <c r="B106" s="1920"/>
      <c r="C106" s="1920"/>
      <c r="D106" s="635"/>
      <c r="K106" s="1444"/>
      <c r="L106" s="1920"/>
      <c r="M106" s="1920"/>
      <c r="N106" s="1444"/>
      <c r="O106" s="1444"/>
      <c r="P106" s="1444"/>
      <c r="Q106" s="1444"/>
      <c r="R106" s="1920"/>
      <c r="S106" s="1444"/>
      <c r="T106" s="1444"/>
      <c r="U106" s="828"/>
      <c r="V106" s="1444"/>
      <c r="W106" s="1444"/>
      <c r="X106" s="1444"/>
      <c r="Y106" s="1444"/>
      <c r="Z106" s="1444"/>
      <c r="AA106" s="1916"/>
      <c r="AB106" s="850"/>
      <c r="AC106" s="850"/>
      <c r="AD106" s="850"/>
      <c r="AE106" s="850"/>
      <c r="AF106" s="1925">
        <v>11</v>
      </c>
    </row>
    <row s="31261" customFormat="1" customHeight="1" ht="11.549999999999999">
      <c r="A107" s="1271"/>
      <c r="B107" s="1920"/>
      <c r="C107" s="1920"/>
      <c r="D107" s="635"/>
      <c r="K107" s="1444"/>
      <c r="L107" s="1920"/>
      <c r="M107" s="1920"/>
      <c r="N107" s="1444"/>
      <c r="O107" s="1444"/>
      <c r="P107" s="1444"/>
      <c r="Q107" s="1444"/>
      <c r="R107" s="1920"/>
      <c r="S107" s="1444"/>
      <c r="T107" s="1444"/>
      <c r="U107" s="828"/>
      <c r="V107" s="1444"/>
      <c r="W107" s="1444"/>
      <c r="X107" s="1444"/>
      <c r="Y107" s="1444"/>
      <c r="Z107" s="1444"/>
      <c r="AA107" s="1916"/>
      <c r="AB107" s="850"/>
      <c r="AC107" s="850"/>
      <c r="AD107" s="850"/>
      <c r="AE107" s="850"/>
      <c r="AF107" s="1925">
        <v>11</v>
      </c>
    </row>
    <row s="31261" customFormat="1" customHeight="1" ht="11.549999999999999">
      <c r="A108" s="1271"/>
      <c r="B108" s="1920"/>
      <c r="C108" s="1920"/>
      <c r="D108" s="635"/>
      <c r="K108" s="1444"/>
      <c r="L108" s="1920"/>
      <c r="M108" s="1920"/>
      <c r="N108" s="1444"/>
      <c r="O108" s="1444"/>
      <c r="P108" s="1444"/>
      <c r="Q108" s="1444"/>
      <c r="R108" s="1920"/>
      <c r="S108" s="1444"/>
      <c r="T108" s="1444"/>
      <c r="U108" s="828"/>
      <c r="V108" s="1444"/>
      <c r="W108" s="1444"/>
      <c r="X108" s="1444"/>
      <c r="Y108" s="1444"/>
      <c r="Z108" s="1444"/>
      <c r="AA108" s="1916"/>
      <c r="AB108" s="850"/>
      <c r="AC108" s="850"/>
      <c r="AD108" s="850"/>
      <c r="AE108" s="850"/>
      <c r="AF108" s="1925">
        <v>11</v>
      </c>
    </row>
    <row s="31261" customFormat="1" customHeight="1" ht="11.549999999999999">
      <c r="A109" s="1271"/>
      <c r="B109" s="1920"/>
      <c r="C109" s="1920"/>
      <c r="D109" s="635"/>
      <c r="K109" s="1444"/>
      <c r="L109" s="1920"/>
      <c r="M109" s="1920"/>
      <c r="N109" s="1444"/>
      <c r="O109" s="1444"/>
      <c r="P109" s="1444"/>
      <c r="Q109" s="1444"/>
      <c r="R109" s="1920"/>
      <c r="S109" s="1444"/>
      <c r="T109" s="1444"/>
      <c r="U109" s="828"/>
      <c r="V109" s="1444"/>
      <c r="W109" s="1444"/>
      <c r="X109" s="1444"/>
      <c r="Y109" s="1444"/>
      <c r="Z109" s="1444"/>
      <c r="AA109" s="1916"/>
      <c r="AB109" s="850"/>
      <c r="AC109" s="850"/>
      <c r="AD109" s="850"/>
      <c r="AE109" s="850"/>
      <c r="AF109" s="1925">
        <v>11</v>
      </c>
    </row>
    <row s="31261" customFormat="1" customHeight="1" ht="11.549999999999999">
      <c r="A110" s="1271"/>
      <c r="B110" s="1920"/>
      <c r="C110" s="1920"/>
      <c r="D110" s="635"/>
      <c r="K110" s="1444"/>
      <c r="L110" s="1920"/>
      <c r="M110" s="1920"/>
      <c r="N110" s="1444"/>
      <c r="O110" s="1444"/>
      <c r="P110" s="1444"/>
      <c r="Q110" s="1444"/>
      <c r="R110" s="1920"/>
      <c r="S110" s="1444"/>
      <c r="T110" s="1444"/>
      <c r="U110" s="828"/>
      <c r="V110" s="1444"/>
      <c r="W110" s="1444"/>
      <c r="X110" s="1444"/>
      <c r="Y110" s="1444"/>
      <c r="Z110" s="1444"/>
      <c r="AA110" s="1916"/>
      <c r="AB110" s="850"/>
      <c r="AC110" s="850"/>
      <c r="AD110" s="850"/>
      <c r="AE110" s="850"/>
      <c r="AF110" s="1925">
        <v>11</v>
      </c>
    </row>
    <row s="31261" customFormat="1" customHeight="1" ht="11.549999999999999">
      <c r="A111" s="1271"/>
      <c r="B111" s="1920"/>
      <c r="C111" s="1920"/>
      <c r="D111" s="635"/>
      <c r="K111" s="1444"/>
      <c r="L111" s="1920"/>
      <c r="M111" s="1920"/>
      <c r="N111" s="1444"/>
      <c r="O111" s="1444"/>
      <c r="P111" s="1444"/>
      <c r="Q111" s="1444"/>
      <c r="R111" s="1920"/>
      <c r="S111" s="1444"/>
      <c r="T111" s="1444"/>
      <c r="U111" s="828"/>
      <c r="V111" s="1444"/>
      <c r="W111" s="1444"/>
      <c r="X111" s="1444"/>
      <c r="Y111" s="1444"/>
      <c r="Z111" s="1444"/>
      <c r="AA111" s="1916"/>
      <c r="AB111" s="850"/>
      <c r="AC111" s="850"/>
      <c r="AD111" s="850"/>
      <c r="AE111" s="850"/>
      <c r="AF111" s="1925">
        <v>11</v>
      </c>
    </row>
    <row s="31261" customFormat="1" customHeight="1" ht="11.549999999999999">
      <c r="A112" s="1271"/>
      <c r="B112" s="1920"/>
      <c r="C112" s="1920"/>
      <c r="D112" s="635"/>
      <c r="K112" s="1444"/>
      <c r="L112" s="1920"/>
      <c r="M112" s="1920"/>
      <c r="N112" s="1444"/>
      <c r="O112" s="1444"/>
      <c r="P112" s="1444"/>
      <c r="Q112" s="1444"/>
      <c r="R112" s="1920"/>
      <c r="S112" s="1444"/>
      <c r="T112" s="1444"/>
      <c r="U112" s="828"/>
      <c r="V112" s="1444"/>
      <c r="W112" s="1444"/>
      <c r="X112" s="1444"/>
      <c r="Y112" s="1444"/>
      <c r="Z112" s="1444"/>
      <c r="AA112" s="1916"/>
      <c r="AB112" s="850"/>
      <c r="AC112" s="850"/>
      <c r="AD112" s="850"/>
      <c r="AE112" s="850"/>
      <c r="AF112" s="1925">
        <v>11</v>
      </c>
    </row>
    <row s="31261" customFormat="1" customHeight="1" ht="11.549999999999999">
      <c r="A113" s="1271"/>
      <c r="B113" s="1920"/>
      <c r="C113" s="1920"/>
      <c r="D113" s="635"/>
      <c r="K113" s="1444"/>
      <c r="L113" s="1920"/>
      <c r="M113" s="1920"/>
      <c r="N113" s="1444"/>
      <c r="O113" s="1444"/>
      <c r="P113" s="1444"/>
      <c r="Q113" s="1444"/>
      <c r="R113" s="1920"/>
      <c r="S113" s="1444"/>
      <c r="T113" s="1444"/>
      <c r="U113" s="828"/>
      <c r="V113" s="1444"/>
      <c r="W113" s="1444"/>
      <c r="X113" s="1444"/>
      <c r="Y113" s="1444"/>
      <c r="Z113" s="1444"/>
      <c r="AA113" s="1916"/>
      <c r="AB113" s="850"/>
      <c r="AC113" s="850"/>
      <c r="AD113" s="850"/>
      <c r="AE113" s="850"/>
      <c r="AF113" s="1925">
        <v>11</v>
      </c>
    </row>
    <row s="31261" customFormat="1" customHeight="1" ht="11.549999999999999">
      <c r="A114" s="1271"/>
      <c r="B114" s="1920"/>
      <c r="C114" s="1920"/>
      <c r="D114" s="635"/>
      <c r="K114" s="1444"/>
      <c r="L114" s="1920"/>
      <c r="M114" s="1920"/>
      <c r="N114" s="1444"/>
      <c r="O114" s="1444"/>
      <c r="P114" s="1444"/>
      <c r="Q114" s="1444"/>
      <c r="R114" s="1920"/>
      <c r="S114" s="1444"/>
      <c r="T114" s="1444"/>
      <c r="U114" s="828"/>
      <c r="V114" s="1444"/>
      <c r="W114" s="1444"/>
      <c r="X114" s="1444"/>
      <c r="Y114" s="1444"/>
      <c r="Z114" s="1444"/>
      <c r="AA114" s="1916"/>
      <c r="AB114" s="850"/>
      <c r="AC114" s="850"/>
      <c r="AD114" s="850"/>
      <c r="AE114" s="850"/>
      <c r="AF114" s="1925">
        <v>11</v>
      </c>
    </row>
    <row s="31261" customFormat="1" customHeight="1" ht="11.549999999999999">
      <c r="A115" s="1271"/>
      <c r="B115" s="1920"/>
      <c r="C115" s="1920"/>
      <c r="D115" s="635"/>
      <c r="K115" s="1444"/>
      <c r="L115" s="1920"/>
      <c r="M115" s="1920"/>
      <c r="N115" s="1444"/>
      <c r="O115" s="1444"/>
      <c r="P115" s="1444"/>
      <c r="Q115" s="1444"/>
      <c r="R115" s="1920"/>
      <c r="S115" s="1444"/>
      <c r="T115" s="1444"/>
      <c r="U115" s="828"/>
      <c r="V115" s="1444"/>
      <c r="W115" s="1444"/>
      <c r="X115" s="1444"/>
      <c r="Y115" s="1444"/>
      <c r="Z115" s="1444"/>
      <c r="AA115" s="1916"/>
      <c r="AB115" s="850"/>
      <c r="AC115" s="850"/>
      <c r="AD115" s="850"/>
      <c r="AE115" s="850"/>
      <c r="AF115" s="1925">
        <v>11</v>
      </c>
    </row>
    <row s="31261" customFormat="1" customHeight="1" ht="11.549999999999999">
      <c r="A116" s="1271"/>
      <c r="B116" s="1920"/>
      <c r="C116" s="1920"/>
      <c r="D116" s="635"/>
      <c r="K116" s="1444"/>
      <c r="L116" s="1920"/>
      <c r="M116" s="1920"/>
      <c r="N116" s="1444"/>
      <c r="O116" s="1444"/>
      <c r="P116" s="1444"/>
      <c r="Q116" s="1444"/>
      <c r="R116" s="1920"/>
      <c r="S116" s="1444"/>
      <c r="T116" s="1444"/>
      <c r="U116" s="828"/>
      <c r="V116" s="1444"/>
      <c r="W116" s="1444"/>
      <c r="X116" s="1444"/>
      <c r="Y116" s="1444"/>
      <c r="Z116" s="1444"/>
      <c r="AA116" s="1916"/>
      <c r="AB116" s="850"/>
      <c r="AC116" s="850"/>
      <c r="AD116" s="850"/>
      <c r="AE116" s="850"/>
      <c r="AF116" s="1925">
        <v>11</v>
      </c>
    </row>
    <row s="31261" customFormat="1" customHeight="1" ht="11.549999999999999">
      <c r="A117" s="1271"/>
      <c r="B117" s="1920"/>
      <c r="C117" s="1920"/>
      <c r="D117" s="635"/>
      <c r="K117" s="1444"/>
      <c r="L117" s="1920"/>
      <c r="M117" s="1920"/>
      <c r="N117" s="1444"/>
      <c r="O117" s="1444"/>
      <c r="P117" s="1444"/>
      <c r="Q117" s="1444"/>
      <c r="R117" s="1920"/>
      <c r="S117" s="1444"/>
      <c r="T117" s="1444"/>
      <c r="U117" s="828"/>
      <c r="V117" s="1444"/>
      <c r="W117" s="1444"/>
      <c r="X117" s="1444"/>
      <c r="Y117" s="1444"/>
      <c r="Z117" s="1444"/>
      <c r="AA117" s="1916"/>
      <c r="AB117" s="850"/>
      <c r="AC117" s="850"/>
      <c r="AD117" s="850"/>
      <c r="AE117" s="850"/>
      <c r="AF117" s="1925">
        <v>11</v>
      </c>
    </row>
    <row s="31261" customFormat="1" customHeight="1" ht="11.549999999999999">
      <c r="A118" s="1271"/>
      <c r="B118" s="1920"/>
      <c r="C118" s="1920"/>
      <c r="D118" s="635"/>
      <c r="K118" s="1444"/>
      <c r="L118" s="1920"/>
      <c r="M118" s="1920"/>
      <c r="N118" s="1444"/>
      <c r="O118" s="1444"/>
      <c r="P118" s="1444"/>
      <c r="Q118" s="1444"/>
      <c r="R118" s="1920"/>
      <c r="S118" s="1444"/>
      <c r="T118" s="1444"/>
      <c r="U118" s="828"/>
      <c r="V118" s="1444"/>
      <c r="W118" s="1444"/>
      <c r="X118" s="1444"/>
      <c r="Y118" s="1444"/>
      <c r="Z118" s="1444"/>
      <c r="AA118" s="1916"/>
      <c r="AB118" s="850"/>
      <c r="AC118" s="850"/>
      <c r="AD118" s="850"/>
      <c r="AE118" s="850"/>
      <c r="AF118" s="1925">
        <v>11</v>
      </c>
    </row>
    <row s="31261" customFormat="1" customHeight="1" ht="11.549999999999999">
      <c r="A119" s="1271"/>
      <c r="B119" s="1920"/>
      <c r="C119" s="1920"/>
      <c r="D119" s="635"/>
      <c r="K119" s="1444"/>
      <c r="L119" s="1920"/>
      <c r="M119" s="1920"/>
      <c r="N119" s="1444"/>
      <c r="O119" s="1444"/>
      <c r="P119" s="1444"/>
      <c r="Q119" s="1444"/>
      <c r="R119" s="1920"/>
      <c r="S119" s="1444"/>
      <c r="T119" s="1444"/>
      <c r="U119" s="828"/>
      <c r="V119" s="1444"/>
      <c r="W119" s="1444"/>
      <c r="X119" s="1444"/>
      <c r="Y119" s="1444"/>
      <c r="Z119" s="1444"/>
      <c r="AA119" s="1916"/>
      <c r="AB119" s="850"/>
      <c r="AC119" s="850"/>
      <c r="AD119" s="850"/>
      <c r="AE119" s="850"/>
      <c r="AF119" s="1925">
        <v>11</v>
      </c>
    </row>
    <row s="31261" customFormat="1" customHeight="1" ht="11.549999999999999">
      <c r="A120" s="1271"/>
      <c r="B120" s="1920"/>
      <c r="C120" s="1920"/>
      <c r="D120" s="635"/>
      <c r="K120" s="1444"/>
      <c r="L120" s="1920"/>
      <c r="M120" s="1920"/>
      <c r="N120" s="1444"/>
      <c r="O120" s="1444"/>
      <c r="P120" s="1444"/>
      <c r="Q120" s="1444"/>
      <c r="R120" s="1920"/>
      <c r="S120" s="1444"/>
      <c r="T120" s="1444"/>
      <c r="U120" s="828"/>
      <c r="V120" s="1444"/>
      <c r="W120" s="1444"/>
      <c r="X120" s="1444"/>
      <c r="Y120" s="1444"/>
      <c r="Z120" s="1444"/>
      <c r="AA120" s="1916"/>
      <c r="AB120" s="850"/>
      <c r="AC120" s="850"/>
      <c r="AD120" s="850"/>
      <c r="AE120" s="850"/>
      <c r="AF120" s="1925">
        <v>11</v>
      </c>
    </row>
    <row s="31261" customFormat="1" customHeight="1" ht="11.549999999999999">
      <c r="A121" s="1271"/>
      <c r="B121" s="1920"/>
      <c r="C121" s="1920"/>
      <c r="D121" s="635"/>
      <c r="K121" s="1444"/>
      <c r="L121" s="1920"/>
      <c r="M121" s="1920"/>
      <c r="N121" s="1444"/>
      <c r="O121" s="1444"/>
      <c r="P121" s="1444"/>
      <c r="Q121" s="1444"/>
      <c r="R121" s="1920"/>
      <c r="S121" s="1444"/>
      <c r="T121" s="1444"/>
      <c r="U121" s="828"/>
      <c r="V121" s="1444"/>
      <c r="W121" s="1444"/>
      <c r="X121" s="1444"/>
      <c r="Y121" s="1444"/>
      <c r="Z121" s="1444"/>
      <c r="AA121" s="1916"/>
      <c r="AB121" s="850"/>
      <c r="AC121" s="850"/>
      <c r="AD121" s="850"/>
      <c r="AE121" s="850"/>
      <c r="AF121" s="1925">
        <v>11</v>
      </c>
    </row>
    <row s="31261" customFormat="1" customHeight="1" ht="11.549999999999999">
      <c r="A122" s="1271"/>
      <c r="B122" s="1920"/>
      <c r="C122" s="1920"/>
      <c r="D122" s="635"/>
      <c r="K122" s="1444"/>
      <c r="L122" s="1920"/>
      <c r="M122" s="1920"/>
      <c r="N122" s="1444"/>
      <c r="O122" s="1444"/>
      <c r="P122" s="1444"/>
      <c r="Q122" s="1444"/>
      <c r="R122" s="1920"/>
      <c r="S122" s="1444"/>
      <c r="T122" s="1444"/>
      <c r="U122" s="828"/>
      <c r="V122" s="1444"/>
      <c r="W122" s="1444"/>
      <c r="X122" s="1444"/>
      <c r="Y122" s="1444"/>
      <c r="Z122" s="1444"/>
      <c r="AA122" s="1916"/>
      <c r="AB122" s="850"/>
      <c r="AC122" s="850"/>
      <c r="AD122" s="850"/>
      <c r="AE122" s="850"/>
      <c r="AF122" s="1925">
        <v>11</v>
      </c>
    </row>
    <row s="31261" customFormat="1" customHeight="1" ht="11.549999999999999">
      <c r="A123" s="1271"/>
      <c r="B123" s="1920"/>
      <c r="C123" s="1920"/>
      <c r="D123" s="635"/>
      <c r="K123" s="1444"/>
      <c r="L123" s="1920"/>
      <c r="M123" s="1920"/>
      <c r="N123" s="1444"/>
      <c r="O123" s="1444"/>
      <c r="P123" s="1444"/>
      <c r="Q123" s="1444"/>
      <c r="R123" s="1920"/>
      <c r="S123" s="1444"/>
      <c r="T123" s="1444"/>
      <c r="U123" s="828"/>
      <c r="V123" s="1444"/>
      <c r="W123" s="1444"/>
      <c r="X123" s="1444"/>
      <c r="Y123" s="1444"/>
      <c r="Z123" s="1444"/>
      <c r="AA123" s="1916"/>
      <c r="AB123" s="850"/>
      <c r="AC123" s="850"/>
      <c r="AD123" s="850"/>
      <c r="AE123" s="850"/>
      <c r="AF123" s="1925">
        <v>11</v>
      </c>
    </row>
    <row s="31261" customFormat="1" customHeight="1" ht="11.549999999999999">
      <c r="A124" s="1271"/>
      <c r="B124" s="1920"/>
      <c r="C124" s="1920"/>
      <c r="D124" s="635"/>
      <c r="K124" s="1444"/>
      <c r="L124" s="1920"/>
      <c r="M124" s="1920"/>
      <c r="N124" s="1444"/>
      <c r="O124" s="1444"/>
      <c r="P124" s="1444"/>
      <c r="Q124" s="1444"/>
      <c r="R124" s="1920"/>
      <c r="S124" s="1444"/>
      <c r="T124" s="1444"/>
      <c r="U124" s="828"/>
      <c r="V124" s="1444"/>
      <c r="W124" s="1444"/>
      <c r="X124" s="1444"/>
      <c r="Y124" s="1444"/>
      <c r="Z124" s="1444"/>
      <c r="AA124" s="1916"/>
      <c r="AB124" s="850"/>
      <c r="AC124" s="850"/>
      <c r="AD124" s="850"/>
      <c r="AE124" s="850"/>
      <c r="AF124" s="1925">
        <v>11</v>
      </c>
    </row>
    <row s="31261" customFormat="1" customHeight="1" ht="11.549999999999999">
      <c r="A125" s="1271"/>
      <c r="B125" s="1920"/>
      <c r="C125" s="1920"/>
      <c r="D125" s="635"/>
      <c r="K125" s="1444"/>
      <c r="L125" s="1920"/>
      <c r="M125" s="1920"/>
      <c r="N125" s="1444"/>
      <c r="O125" s="1444"/>
      <c r="P125" s="1444"/>
      <c r="Q125" s="1444"/>
      <c r="R125" s="1920"/>
      <c r="S125" s="1444"/>
      <c r="T125" s="1444"/>
      <c r="U125" s="828"/>
      <c r="V125" s="1444"/>
      <c r="W125" s="1444"/>
      <c r="X125" s="1444"/>
      <c r="Y125" s="1444"/>
      <c r="Z125" s="1444"/>
      <c r="AA125" s="1916"/>
      <c r="AB125" s="850"/>
      <c r="AC125" s="850"/>
      <c r="AD125" s="850"/>
      <c r="AE125" s="850"/>
      <c r="AF125" s="1925">
        <v>11</v>
      </c>
    </row>
    <row s="31261" customFormat="1" customHeight="1" ht="11.549999999999999">
      <c r="A126" s="1271"/>
      <c r="B126" s="1920"/>
      <c r="C126" s="1920"/>
      <c r="D126" s="635"/>
      <c r="K126" s="1444"/>
      <c r="L126" s="1920"/>
      <c r="M126" s="1920"/>
      <c r="N126" s="1444"/>
      <c r="O126" s="1444"/>
      <c r="P126" s="1444"/>
      <c r="Q126" s="1444"/>
      <c r="R126" s="1920"/>
      <c r="S126" s="1444"/>
      <c r="T126" s="1444"/>
      <c r="U126" s="828"/>
      <c r="V126" s="1444"/>
      <c r="W126" s="1444"/>
      <c r="X126" s="1444"/>
      <c r="Y126" s="1444"/>
      <c r="Z126" s="1444"/>
      <c r="AA126" s="1916"/>
      <c r="AB126" s="850"/>
      <c r="AC126" s="850"/>
      <c r="AD126" s="850"/>
      <c r="AE126" s="850"/>
      <c r="AF126" s="1925">
        <v>11</v>
      </c>
    </row>
    <row s="31261" customFormat="1" customHeight="1" ht="11.549999999999999">
      <c r="A127" s="1271"/>
      <c r="B127" s="1920"/>
      <c r="C127" s="1920"/>
      <c r="D127" s="635"/>
      <c r="K127" s="1444"/>
      <c r="L127" s="1920"/>
      <c r="M127" s="1920"/>
      <c r="N127" s="1444"/>
      <c r="O127" s="1444"/>
      <c r="P127" s="1444"/>
      <c r="Q127" s="1444"/>
      <c r="R127" s="1920"/>
      <c r="S127" s="1444"/>
      <c r="T127" s="1444"/>
      <c r="U127" s="828"/>
      <c r="V127" s="1444"/>
      <c r="W127" s="1444"/>
      <c r="X127" s="1444"/>
      <c r="Y127" s="1444"/>
      <c r="Z127" s="1444"/>
      <c r="AA127" s="1916"/>
      <c r="AB127" s="850"/>
      <c r="AC127" s="850"/>
      <c r="AD127" s="850"/>
      <c r="AE127" s="850"/>
      <c r="AF127" s="1925">
        <v>11</v>
      </c>
    </row>
    <row s="31261" customFormat="1" customHeight="1" ht="11.549999999999999">
      <c r="A128" s="1271"/>
      <c r="B128" s="1920"/>
      <c r="C128" s="1920"/>
      <c r="D128" s="635"/>
      <c r="K128" s="1444"/>
      <c r="L128" s="1920"/>
      <c r="M128" s="1920"/>
      <c r="N128" s="1444"/>
      <c r="O128" s="1444"/>
      <c r="P128" s="1444"/>
      <c r="Q128" s="1444"/>
      <c r="R128" s="1920"/>
      <c r="S128" s="1444"/>
      <c r="T128" s="1444"/>
      <c r="U128" s="828"/>
      <c r="V128" s="1444"/>
      <c r="W128" s="1444"/>
      <c r="X128" s="1444"/>
      <c r="Y128" s="1444"/>
      <c r="Z128" s="1444"/>
      <c r="AA128" s="1916"/>
      <c r="AB128" s="850"/>
      <c r="AC128" s="850"/>
      <c r="AD128" s="850"/>
      <c r="AE128" s="850"/>
      <c r="AF128" s="1925">
        <v>11</v>
      </c>
    </row>
    <row s="31261" customFormat="1" customHeight="1" ht="11.549999999999999">
      <c r="A129" s="1271"/>
      <c r="B129" s="1920"/>
      <c r="C129" s="1920"/>
      <c r="D129" s="635"/>
      <c r="K129" s="1444"/>
      <c r="L129" s="1920"/>
      <c r="M129" s="1920"/>
      <c r="N129" s="1444"/>
      <c r="O129" s="1444"/>
      <c r="P129" s="1444"/>
      <c r="Q129" s="1444"/>
      <c r="R129" s="1920"/>
      <c r="S129" s="1444"/>
      <c r="T129" s="1444"/>
      <c r="U129" s="828"/>
      <c r="V129" s="1444"/>
      <c r="W129" s="1444"/>
      <c r="X129" s="1444"/>
      <c r="Y129" s="1444"/>
      <c r="Z129" s="1444"/>
      <c r="AA129" s="1916"/>
      <c r="AB129" s="850"/>
      <c r="AC129" s="850"/>
      <c r="AD129" s="850"/>
      <c r="AE129" s="850"/>
      <c r="AF129" s="1925">
        <v>11</v>
      </c>
    </row>
    <row s="31261" customFormat="1" customHeight="1" ht="11.549999999999999">
      <c r="A130" s="1271"/>
      <c r="B130" s="1920"/>
      <c r="C130" s="1920"/>
      <c r="D130" s="635"/>
      <c r="K130" s="1444"/>
      <c r="L130" s="1920"/>
      <c r="M130" s="1920"/>
      <c r="N130" s="1444"/>
      <c r="O130" s="1444"/>
      <c r="P130" s="1444"/>
      <c r="Q130" s="1444"/>
      <c r="R130" s="1920"/>
      <c r="S130" s="1444"/>
      <c r="T130" s="1444"/>
      <c r="U130" s="828"/>
      <c r="V130" s="1444"/>
      <c r="W130" s="1444"/>
      <c r="X130" s="1444"/>
      <c r="Y130" s="1444"/>
      <c r="Z130" s="1444"/>
      <c r="AA130" s="1916"/>
      <c r="AB130" s="850"/>
      <c r="AC130" s="850"/>
      <c r="AD130" s="850"/>
      <c r="AE130" s="850"/>
      <c r="AF130" s="1925">
        <v>11</v>
      </c>
    </row>
    <row s="31261" customFormat="1" customHeight="1" ht="11.549999999999999">
      <c r="A131" s="1271"/>
      <c r="B131" s="1920"/>
      <c r="C131" s="1920"/>
      <c r="D131" s="635"/>
      <c r="K131" s="1444"/>
      <c r="L131" s="1920"/>
      <c r="M131" s="1920"/>
      <c r="N131" s="1444"/>
      <c r="O131" s="1444"/>
      <c r="P131" s="1444"/>
      <c r="Q131" s="1444"/>
      <c r="R131" s="1920"/>
      <c r="S131" s="1444"/>
      <c r="T131" s="1444"/>
      <c r="U131" s="828"/>
      <c r="V131" s="1444"/>
      <c r="W131" s="1444"/>
      <c r="X131" s="1444"/>
      <c r="Y131" s="1444"/>
      <c r="Z131" s="1444"/>
      <c r="AA131" s="1916"/>
      <c r="AB131" s="850"/>
      <c r="AC131" s="850"/>
      <c r="AD131" s="850"/>
      <c r="AE131" s="850"/>
      <c r="AF131" s="1925">
        <v>11</v>
      </c>
    </row>
    <row s="31261" customFormat="1" customHeight="1" ht="11.549999999999999">
      <c r="A132" s="1271"/>
      <c r="B132" s="1920"/>
      <c r="C132" s="1920"/>
      <c r="D132" s="635"/>
      <c r="K132" s="1444"/>
      <c r="L132" s="1920"/>
      <c r="M132" s="1920"/>
      <c r="N132" s="1444"/>
      <c r="O132" s="1444"/>
      <c r="P132" s="1444"/>
      <c r="Q132" s="1444"/>
      <c r="R132" s="1920"/>
      <c r="S132" s="1444"/>
      <c r="T132" s="1444"/>
      <c r="U132" s="828"/>
      <c r="V132" s="1444"/>
      <c r="W132" s="1444"/>
      <c r="X132" s="1444"/>
      <c r="Y132" s="1444"/>
      <c r="Z132" s="1444"/>
      <c r="AA132" s="1916"/>
      <c r="AB132" s="850"/>
      <c r="AC132" s="850"/>
      <c r="AD132" s="850"/>
      <c r="AE132" s="850"/>
      <c r="AF132" s="1925">
        <v>11</v>
      </c>
    </row>
    <row s="31261" customFormat="1" customHeight="1" ht="11.549999999999999">
      <c r="A133" s="1271"/>
      <c r="B133" s="1920"/>
      <c r="C133" s="1920"/>
      <c r="D133" s="635"/>
      <c r="K133" s="1444"/>
      <c r="L133" s="1920"/>
      <c r="M133" s="1920"/>
      <c r="N133" s="1444"/>
      <c r="O133" s="1444"/>
      <c r="P133" s="1444"/>
      <c r="Q133" s="1444"/>
      <c r="R133" s="1920"/>
      <c r="S133" s="1444"/>
      <c r="T133" s="1444"/>
      <c r="U133" s="828"/>
      <c r="V133" s="1444"/>
      <c r="W133" s="1444"/>
      <c r="X133" s="1444"/>
      <c r="Y133" s="1444"/>
      <c r="Z133" s="1444"/>
      <c r="AA133" s="1916"/>
      <c r="AB133" s="850"/>
      <c r="AC133" s="850"/>
      <c r="AD133" s="850"/>
      <c r="AE133" s="850"/>
      <c r="AF133" s="1925">
        <v>11</v>
      </c>
    </row>
    <row s="31261" customFormat="1" customHeight="1" ht="11.549999999999999">
      <c r="A134" s="1271"/>
      <c r="B134" s="1920"/>
      <c r="C134" s="1920"/>
      <c r="D134" s="635"/>
      <c r="K134" s="1444"/>
      <c r="L134" s="1920"/>
      <c r="M134" s="1920"/>
      <c r="N134" s="1444"/>
      <c r="O134" s="1444"/>
      <c r="P134" s="1444"/>
      <c r="Q134" s="1444"/>
      <c r="R134" s="1920"/>
      <c r="S134" s="1444"/>
      <c r="T134" s="1444"/>
      <c r="U134" s="828"/>
      <c r="V134" s="1444"/>
      <c r="W134" s="1444"/>
      <c r="X134" s="1444"/>
      <c r="Y134" s="1444"/>
      <c r="Z134" s="1444"/>
      <c r="AA134" s="1916"/>
      <c r="AB134" s="850"/>
      <c r="AC134" s="850"/>
      <c r="AD134" s="850"/>
      <c r="AE134" s="850"/>
      <c r="AF134" s="1925">
        <v>11</v>
      </c>
    </row>
    <row s="31261" customFormat="1" customHeight="1" ht="11.549999999999999">
      <c r="A135" s="1271"/>
      <c r="B135" s="1920"/>
      <c r="C135" s="1920"/>
      <c r="D135" s="635"/>
      <c r="K135" s="1444"/>
      <c r="L135" s="1920"/>
      <c r="M135" s="1920"/>
      <c r="N135" s="1444"/>
      <c r="O135" s="1444"/>
      <c r="P135" s="1444"/>
      <c r="Q135" s="1444"/>
      <c r="R135" s="1920"/>
      <c r="S135" s="1444"/>
      <c r="T135" s="1444"/>
      <c r="U135" s="828"/>
      <c r="V135" s="1444"/>
      <c r="W135" s="1444"/>
      <c r="X135" s="1444"/>
      <c r="Y135" s="1444"/>
      <c r="Z135" s="1444"/>
      <c r="AA135" s="1916"/>
      <c r="AB135" s="850"/>
      <c r="AC135" s="850"/>
      <c r="AD135" s="850"/>
      <c r="AE135" s="850"/>
      <c r="AF135" s="1925">
        <v>11</v>
      </c>
    </row>
    <row s="31261" customFormat="1" customHeight="1" ht="11.549999999999999">
      <c r="A136" s="1271"/>
      <c r="B136" s="1920"/>
      <c r="C136" s="1920"/>
      <c r="D136" s="635"/>
      <c r="K136" s="1444"/>
      <c r="L136" s="1920"/>
      <c r="M136" s="1920"/>
      <c r="N136" s="1444"/>
      <c r="O136" s="1444"/>
      <c r="P136" s="1444"/>
      <c r="Q136" s="1444"/>
      <c r="R136" s="1920"/>
      <c r="S136" s="1444"/>
      <c r="T136" s="1444"/>
      <c r="U136" s="828"/>
      <c r="V136" s="1444"/>
      <c r="W136" s="1444"/>
      <c r="X136" s="1444"/>
      <c r="Y136" s="1444"/>
      <c r="Z136" s="1444"/>
      <c r="AA136" s="1916"/>
      <c r="AB136" s="850"/>
      <c r="AC136" s="850"/>
      <c r="AD136" s="850"/>
      <c r="AE136" s="850"/>
      <c r="AF136" s="1925">
        <v>11</v>
      </c>
    </row>
    <row s="31261" customFormat="1" customHeight="1" ht="11.549999999999999">
      <c r="A137" s="1271"/>
      <c r="B137" s="1920"/>
      <c r="C137" s="1920"/>
      <c r="D137" s="635"/>
      <c r="K137" s="1444"/>
      <c r="L137" s="1920"/>
      <c r="M137" s="1920"/>
      <c r="N137" s="1444"/>
      <c r="O137" s="1444"/>
      <c r="P137" s="1444"/>
      <c r="Q137" s="1444"/>
      <c r="R137" s="1920"/>
      <c r="S137" s="1444"/>
      <c r="T137" s="1444"/>
      <c r="U137" s="828"/>
      <c r="V137" s="1444"/>
      <c r="W137" s="1444"/>
      <c r="X137" s="1444"/>
      <c r="Y137" s="1444"/>
      <c r="Z137" s="1444"/>
      <c r="AA137" s="1916"/>
      <c r="AB137" s="850"/>
      <c r="AC137" s="850"/>
      <c r="AD137" s="850"/>
      <c r="AE137" s="850"/>
      <c r="AF137" s="1925">
        <v>11</v>
      </c>
    </row>
    <row s="31261" customFormat="1" customHeight="1" ht="11.549999999999999">
      <c r="A138" s="1271"/>
      <c r="B138" s="1920"/>
      <c r="C138" s="1920"/>
      <c r="D138" s="635"/>
      <c r="K138" s="1444"/>
      <c r="L138" s="1920"/>
      <c r="M138" s="1920"/>
      <c r="N138" s="1444"/>
      <c r="O138" s="1444"/>
      <c r="P138" s="1444"/>
      <c r="Q138" s="1444"/>
      <c r="R138" s="1920"/>
      <c r="S138" s="1444"/>
      <c r="T138" s="1444"/>
      <c r="U138" s="828"/>
      <c r="V138" s="1444"/>
      <c r="W138" s="1444"/>
      <c r="X138" s="1444"/>
      <c r="Y138" s="1444"/>
      <c r="Z138" s="1444"/>
      <c r="AA138" s="1916"/>
      <c r="AB138" s="850"/>
      <c r="AC138" s="850"/>
      <c r="AD138" s="850"/>
      <c r="AE138" s="850"/>
      <c r="AF138" s="1925">
        <v>11</v>
      </c>
    </row>
    <row s="31261" customFormat="1" customHeight="1" ht="11.549999999999999">
      <c r="A139" s="1271"/>
      <c r="B139" s="1920"/>
      <c r="C139" s="1920"/>
      <c r="D139" s="635"/>
      <c r="K139" s="1444"/>
      <c r="L139" s="1920"/>
      <c r="M139" s="1920"/>
      <c r="N139" s="1444"/>
      <c r="O139" s="1444"/>
      <c r="P139" s="1444"/>
      <c r="Q139" s="1444"/>
      <c r="R139" s="1920"/>
      <c r="S139" s="1444"/>
      <c r="T139" s="1444"/>
      <c r="U139" s="828"/>
      <c r="V139" s="1444"/>
      <c r="W139" s="1444"/>
      <c r="X139" s="1444"/>
      <c r="Y139" s="1444"/>
      <c r="Z139" s="1444"/>
      <c r="AA139" s="1916"/>
      <c r="AB139" s="850"/>
      <c r="AC139" s="850"/>
      <c r="AD139" s="850"/>
      <c r="AE139" s="850"/>
      <c r="AF139" s="1925">
        <v>11</v>
      </c>
    </row>
    <row s="31261" customFormat="1" customHeight="1" ht="11.549999999999999">
      <c r="A140" s="1271"/>
      <c r="B140" s="1920"/>
      <c r="C140" s="1920"/>
      <c r="D140" s="635"/>
      <c r="K140" s="1444"/>
      <c r="L140" s="1920"/>
      <c r="M140" s="1920"/>
      <c r="N140" s="1444"/>
      <c r="O140" s="1444"/>
      <c r="P140" s="1444"/>
      <c r="Q140" s="1444"/>
      <c r="R140" s="1920"/>
      <c r="S140" s="1444"/>
      <c r="T140" s="1444"/>
      <c r="U140" s="828"/>
      <c r="V140" s="1444"/>
      <c r="W140" s="1444"/>
      <c r="X140" s="1444"/>
      <c r="Y140" s="1444"/>
      <c r="Z140" s="1444"/>
      <c r="AA140" s="1916"/>
      <c r="AB140" s="850"/>
      <c r="AC140" s="850"/>
      <c r="AD140" s="850"/>
      <c r="AE140" s="850"/>
      <c r="AF140" s="1925">
        <v>11</v>
      </c>
    </row>
    <row s="31261" customFormat="1" customHeight="1" ht="11.549999999999999">
      <c r="A141" s="1271"/>
      <c r="B141" s="1920"/>
      <c r="C141" s="1920"/>
      <c r="D141" s="635"/>
      <c r="K141" s="1444"/>
      <c r="L141" s="1920"/>
      <c r="M141" s="1920"/>
      <c r="N141" s="1444"/>
      <c r="O141" s="1444"/>
      <c r="P141" s="1444"/>
      <c r="Q141" s="1444"/>
      <c r="R141" s="1920"/>
      <c r="S141" s="1444"/>
      <c r="T141" s="1444"/>
      <c r="U141" s="828"/>
      <c r="V141" s="1444"/>
      <c r="W141" s="1444"/>
      <c r="X141" s="1444"/>
      <c r="Y141" s="1444"/>
      <c r="Z141" s="1444"/>
      <c r="AA141" s="1916"/>
      <c r="AB141" s="850"/>
      <c r="AC141" s="850"/>
      <c r="AD141" s="850"/>
      <c r="AE141" s="850"/>
      <c r="AF141" s="1925">
        <v>11</v>
      </c>
    </row>
    <row s="31261" customFormat="1" customHeight="1" ht="11.549999999999999">
      <c r="A142" s="1271"/>
      <c r="B142" s="1920"/>
      <c r="C142" s="1920"/>
      <c r="D142" s="635"/>
      <c r="K142" s="1444"/>
      <c r="L142" s="1920"/>
      <c r="M142" s="1920"/>
      <c r="N142" s="1444"/>
      <c r="O142" s="1444"/>
      <c r="P142" s="1444"/>
      <c r="Q142" s="1444"/>
      <c r="R142" s="1920"/>
      <c r="S142" s="1444"/>
      <c r="T142" s="1444"/>
      <c r="U142" s="828"/>
      <c r="V142" s="1444"/>
      <c r="W142" s="1444"/>
      <c r="X142" s="1444"/>
      <c r="Y142" s="1444"/>
      <c r="Z142" s="1444"/>
      <c r="AA142" s="1916"/>
      <c r="AB142" s="850"/>
      <c r="AC142" s="850"/>
      <c r="AD142" s="850"/>
      <c r="AE142" s="850"/>
      <c r="AF142" s="1925">
        <v>11</v>
      </c>
    </row>
    <row s="31261" customFormat="1" customHeight="1" ht="11.549999999999999">
      <c r="A143" s="1271"/>
      <c r="B143" s="1920"/>
      <c r="C143" s="1920"/>
      <c r="D143" s="635"/>
      <c r="K143" s="1444"/>
      <c r="L143" s="1920"/>
      <c r="M143" s="1920"/>
      <c r="N143" s="1444"/>
      <c r="O143" s="1444"/>
      <c r="P143" s="1444"/>
      <c r="Q143" s="1444"/>
      <c r="R143" s="1920"/>
      <c r="S143" s="1444"/>
      <c r="T143" s="1444"/>
      <c r="U143" s="828"/>
      <c r="V143" s="1444"/>
      <c r="W143" s="1444"/>
      <c r="X143" s="1444"/>
      <c r="Y143" s="1444"/>
      <c r="Z143" s="1444"/>
      <c r="AA143" s="1916"/>
      <c r="AB143" s="850"/>
      <c r="AC143" s="850"/>
      <c r="AD143" s="850"/>
      <c r="AE143" s="850"/>
      <c r="AF143" s="1925">
        <v>11</v>
      </c>
    </row>
    <row s="31261" customFormat="1" customHeight="1" ht="11.549999999999999">
      <c r="A144" s="1271"/>
      <c r="B144" s="1920"/>
      <c r="C144" s="1920"/>
      <c r="D144" s="635"/>
      <c r="K144" s="1444"/>
      <c r="L144" s="1920"/>
      <c r="M144" s="1920"/>
      <c r="N144" s="1444"/>
      <c r="O144" s="1444"/>
      <c r="P144" s="1444"/>
      <c r="Q144" s="1444"/>
      <c r="R144" s="1920"/>
      <c r="S144" s="1444"/>
      <c r="T144" s="1444"/>
      <c r="U144" s="828"/>
      <c r="V144" s="1444"/>
      <c r="W144" s="1444"/>
      <c r="X144" s="1444"/>
      <c r="Y144" s="1444"/>
      <c r="Z144" s="1444"/>
      <c r="AA144" s="1916"/>
      <c r="AB144" s="850"/>
      <c r="AC144" s="850"/>
      <c r="AD144" s="850"/>
      <c r="AE144" s="850"/>
      <c r="AF144" s="1925">
        <v>11</v>
      </c>
    </row>
    <row s="31261" customFormat="1" customHeight="1" ht="11.549999999999999">
      <c r="A145" s="1271"/>
      <c r="B145" s="1920"/>
      <c r="C145" s="1920"/>
      <c r="D145" s="635"/>
      <c r="K145" s="1444"/>
      <c r="L145" s="1920"/>
      <c r="M145" s="1920"/>
      <c r="N145" s="1444"/>
      <c r="O145" s="1444"/>
      <c r="P145" s="1444"/>
      <c r="Q145" s="1444"/>
      <c r="R145" s="1920"/>
      <c r="S145" s="1444"/>
      <c r="T145" s="1444"/>
      <c r="U145" s="828"/>
      <c r="V145" s="1444"/>
      <c r="W145" s="1444"/>
      <c r="X145" s="1444"/>
      <c r="Y145" s="1444"/>
      <c r="Z145" s="1444"/>
      <c r="AA145" s="1916"/>
      <c r="AB145" s="850"/>
      <c r="AC145" s="850"/>
      <c r="AD145" s="850"/>
      <c r="AE145" s="850"/>
      <c r="AF145" s="1925">
        <v>11</v>
      </c>
    </row>
    <row s="31261" customFormat="1" customHeight="1" ht="11.549999999999999">
      <c r="A146" s="1271"/>
      <c r="B146" s="1920"/>
      <c r="C146" s="1920"/>
      <c r="D146" s="635"/>
      <c r="K146" s="1444"/>
      <c r="L146" s="1920"/>
      <c r="M146" s="1920"/>
      <c r="N146" s="1444"/>
      <c r="O146" s="1444"/>
      <c r="P146" s="1444"/>
      <c r="Q146" s="1444"/>
      <c r="R146" s="1920"/>
      <c r="S146" s="1444"/>
      <c r="T146" s="1444"/>
      <c r="U146" s="828"/>
      <c r="V146" s="1444"/>
      <c r="W146" s="1444"/>
      <c r="X146" s="1444"/>
      <c r="Y146" s="1444"/>
      <c r="Z146" s="1444"/>
      <c r="AA146" s="1916"/>
      <c r="AB146" s="850"/>
      <c r="AC146" s="850"/>
      <c r="AD146" s="850"/>
      <c r="AE146" s="850"/>
      <c r="AF146" s="1925">
        <v>11</v>
      </c>
    </row>
    <row s="31261" customFormat="1" customHeight="1" ht="11.549999999999999">
      <c r="A147" s="1271"/>
      <c r="B147" s="1920"/>
      <c r="C147" s="1920"/>
      <c r="D147" s="635"/>
      <c r="K147" s="1444"/>
      <c r="L147" s="1920"/>
      <c r="M147" s="1920"/>
      <c r="N147" s="1444"/>
      <c r="O147" s="1444"/>
      <c r="P147" s="1444"/>
      <c r="Q147" s="1444"/>
      <c r="R147" s="1920"/>
      <c r="S147" s="1444"/>
      <c r="T147" s="1444"/>
      <c r="U147" s="828"/>
      <c r="V147" s="1444"/>
      <c r="W147" s="1444"/>
      <c r="X147" s="1444"/>
      <c r="Y147" s="1444"/>
      <c r="Z147" s="1444"/>
      <c r="AA147" s="1916"/>
      <c r="AB147" s="850"/>
      <c r="AC147" s="850"/>
      <c r="AD147" s="850"/>
      <c r="AE147" s="850"/>
      <c r="AF147" s="1925">
        <v>11</v>
      </c>
    </row>
    <row s="31261" customFormat="1" customHeight="1" ht="11.549999999999999">
      <c r="A148" s="1271"/>
      <c r="B148" s="1920"/>
      <c r="C148" s="1920"/>
      <c r="D148" s="635"/>
      <c r="K148" s="1444"/>
      <c r="L148" s="1920"/>
      <c r="M148" s="1920"/>
      <c r="N148" s="1444"/>
      <c r="O148" s="1444"/>
      <c r="P148" s="1444"/>
      <c r="Q148" s="1444"/>
      <c r="R148" s="1920"/>
      <c r="S148" s="1444"/>
      <c r="T148" s="1444"/>
      <c r="U148" s="828"/>
      <c r="V148" s="1444"/>
      <c r="W148" s="1444"/>
      <c r="X148" s="1444"/>
      <c r="Y148" s="1444"/>
      <c r="Z148" s="1444"/>
      <c r="AA148" s="1916"/>
      <c r="AB148" s="850"/>
      <c r="AC148" s="850"/>
      <c r="AD148" s="850"/>
      <c r="AE148" s="850"/>
      <c r="AF148" s="1925">
        <v>11</v>
      </c>
    </row>
    <row s="31261" customFormat="1" customHeight="1" ht="11.549999999999999">
      <c r="A149" s="1271"/>
      <c r="B149" s="1920"/>
      <c r="C149" s="1920"/>
      <c r="D149" s="635"/>
      <c r="K149" s="1444"/>
      <c r="L149" s="1920"/>
      <c r="M149" s="1920"/>
      <c r="N149" s="1444"/>
      <c r="O149" s="1444"/>
      <c r="P149" s="1444"/>
      <c r="Q149" s="1444"/>
      <c r="R149" s="1920"/>
      <c r="S149" s="1444"/>
      <c r="T149" s="1444"/>
      <c r="U149" s="828"/>
      <c r="V149" s="1444"/>
      <c r="W149" s="1444"/>
      <c r="X149" s="1444"/>
      <c r="Y149" s="1444"/>
      <c r="Z149" s="1444"/>
      <c r="AA149" s="1916"/>
      <c r="AB149" s="850"/>
      <c r="AC149" s="850"/>
      <c r="AD149" s="850"/>
      <c r="AE149" s="850"/>
      <c r="AF149" s="1925">
        <v>11</v>
      </c>
    </row>
    <row s="31261" customFormat="1" customHeight="1" ht="11.549999999999999">
      <c r="A150" s="1271"/>
      <c r="B150" s="1920"/>
      <c r="C150" s="1920"/>
      <c r="D150" s="635"/>
      <c r="K150" s="1444"/>
      <c r="L150" s="1920"/>
      <c r="M150" s="1920"/>
      <c r="N150" s="1444"/>
      <c r="O150" s="1444"/>
      <c r="P150" s="1444"/>
      <c r="Q150" s="1444"/>
      <c r="R150" s="1920"/>
      <c r="S150" s="1444"/>
      <c r="T150" s="1444"/>
      <c r="U150" s="828"/>
      <c r="V150" s="1444"/>
      <c r="W150" s="1444"/>
      <c r="X150" s="1444"/>
      <c r="Y150" s="1444"/>
      <c r="Z150" s="1444"/>
      <c r="AA150" s="1916"/>
      <c r="AB150" s="850"/>
      <c r="AC150" s="850"/>
      <c r="AD150" s="850"/>
      <c r="AE150" s="850"/>
      <c r="AF150" s="1925">
        <v>11</v>
      </c>
    </row>
    <row s="31261" customFormat="1" customHeight="1" ht="11.549999999999999">
      <c r="A151" s="1271"/>
      <c r="B151" s="1920"/>
      <c r="C151" s="1920"/>
      <c r="D151" s="635"/>
      <c r="K151" s="1444"/>
      <c r="L151" s="1920"/>
      <c r="M151" s="1920"/>
      <c r="N151" s="1444"/>
      <c r="O151" s="1444"/>
      <c r="P151" s="1444"/>
      <c r="Q151" s="1444"/>
      <c r="R151" s="1920"/>
      <c r="S151" s="1444"/>
      <c r="T151" s="1444"/>
      <c r="U151" s="828"/>
      <c r="V151" s="1444"/>
      <c r="W151" s="1444"/>
      <c r="X151" s="1444"/>
      <c r="Y151" s="1444"/>
      <c r="Z151" s="1444"/>
      <c r="AA151" s="1916"/>
      <c r="AB151" s="850"/>
      <c r="AC151" s="850"/>
      <c r="AD151" s="850"/>
      <c r="AE151" s="850"/>
      <c r="AF151" s="1925">
        <v>11</v>
      </c>
    </row>
    <row s="31261" customFormat="1" customHeight="1" ht="11.549999999999999">
      <c r="A152" s="1271"/>
      <c r="B152" s="1920"/>
      <c r="C152" s="1920"/>
      <c r="D152" s="635"/>
      <c r="K152" s="1444"/>
      <c r="L152" s="1920"/>
      <c r="M152" s="1920"/>
      <c r="N152" s="1444"/>
      <c r="O152" s="1444"/>
      <c r="P152" s="1444"/>
      <c r="Q152" s="1444"/>
      <c r="R152" s="1920"/>
      <c r="S152" s="1444"/>
      <c r="T152" s="1444"/>
      <c r="U152" s="828"/>
      <c r="V152" s="1444"/>
      <c r="W152" s="1444"/>
      <c r="X152" s="1444"/>
      <c r="Y152" s="1444"/>
      <c r="Z152" s="1444"/>
      <c r="AA152" s="1916"/>
      <c r="AB152" s="850"/>
      <c r="AC152" s="850"/>
      <c r="AD152" s="850"/>
      <c r="AE152" s="850"/>
      <c r="AF152" s="1925">
        <v>11</v>
      </c>
    </row>
    <row s="31261" customFormat="1" customHeight="1" ht="11.549999999999999">
      <c r="A153" s="1271"/>
      <c r="B153" s="1920"/>
      <c r="C153" s="1920"/>
      <c r="D153" s="635"/>
      <c r="K153" s="1444"/>
      <c r="L153" s="1920"/>
      <c r="M153" s="1920"/>
      <c r="N153" s="1444"/>
      <c r="O153" s="1444"/>
      <c r="P153" s="1444"/>
      <c r="Q153" s="1444"/>
      <c r="R153" s="1920"/>
      <c r="S153" s="1444"/>
      <c r="T153" s="1444"/>
      <c r="U153" s="828"/>
      <c r="V153" s="1444"/>
      <c r="W153" s="1444"/>
      <c r="X153" s="1444"/>
      <c r="Y153" s="1444"/>
      <c r="Z153" s="1444"/>
      <c r="AA153" s="1916"/>
      <c r="AB153" s="850"/>
      <c r="AC153" s="850"/>
      <c r="AD153" s="850"/>
      <c r="AE153" s="850"/>
      <c r="AF153" s="1925">
        <v>11</v>
      </c>
    </row>
    <row s="31261" customFormat="1" customHeight="1" ht="11.549999999999999">
      <c r="A154" s="1271"/>
      <c r="B154" s="1920"/>
      <c r="C154" s="1920"/>
      <c r="D154" s="635"/>
      <c r="K154" s="1444"/>
      <c r="L154" s="1920"/>
      <c r="M154" s="1920"/>
      <c r="N154" s="1444"/>
      <c r="O154" s="1444"/>
      <c r="P154" s="1444"/>
      <c r="Q154" s="1444"/>
      <c r="R154" s="1920"/>
      <c r="S154" s="1444"/>
      <c r="T154" s="1444"/>
      <c r="U154" s="828"/>
      <c r="V154" s="1444"/>
      <c r="W154" s="1444"/>
      <c r="X154" s="1444"/>
      <c r="Y154" s="1444"/>
      <c r="Z154" s="1444"/>
      <c r="AA154" s="1916"/>
      <c r="AB154" s="850"/>
      <c r="AC154" s="850"/>
      <c r="AD154" s="850"/>
      <c r="AE154" s="850"/>
      <c r="AF154" s="1925">
        <v>11</v>
      </c>
    </row>
    <row s="31261" customFormat="1" customHeight="1" ht="11.549999999999999">
      <c r="A155" s="1271"/>
      <c r="B155" s="1920"/>
      <c r="C155" s="1920"/>
      <c r="D155" s="635"/>
      <c r="K155" s="1444"/>
      <c r="L155" s="1920"/>
      <c r="M155" s="1920"/>
      <c r="N155" s="1444"/>
      <c r="O155" s="1444"/>
      <c r="P155" s="1444"/>
      <c r="Q155" s="1444"/>
      <c r="R155" s="1920"/>
      <c r="S155" s="1444"/>
      <c r="T155" s="1444"/>
      <c r="U155" s="828"/>
      <c r="V155" s="1444"/>
      <c r="W155" s="1444"/>
      <c r="X155" s="1444"/>
      <c r="Y155" s="1444"/>
      <c r="Z155" s="1444"/>
      <c r="AA155" s="1916"/>
      <c r="AB155" s="850"/>
      <c r="AC155" s="850"/>
      <c r="AD155" s="850"/>
      <c r="AE155" s="850"/>
      <c r="AF155" s="1925">
        <v>11</v>
      </c>
    </row>
    <row s="31261" customFormat="1" customHeight="1" ht="11.549999999999999">
      <c r="A156" s="1271"/>
      <c r="B156" s="1920"/>
      <c r="C156" s="1920"/>
      <c r="D156" s="635"/>
      <c r="K156" s="1444"/>
      <c r="L156" s="1920"/>
      <c r="M156" s="1920"/>
      <c r="N156" s="1444"/>
      <c r="O156" s="1444"/>
      <c r="P156" s="1444"/>
      <c r="Q156" s="1444"/>
      <c r="R156" s="1920"/>
      <c r="S156" s="1444"/>
      <c r="T156" s="1444"/>
      <c r="U156" s="828"/>
      <c r="V156" s="1444"/>
      <c r="W156" s="1444"/>
      <c r="X156" s="1444"/>
      <c r="Y156" s="1444"/>
      <c r="Z156" s="1444"/>
      <c r="AA156" s="1916"/>
      <c r="AB156" s="850"/>
      <c r="AC156" s="850"/>
      <c r="AD156" s="850"/>
      <c r="AE156" s="850"/>
      <c r="AF156" s="1925">
        <v>11</v>
      </c>
    </row>
    <row s="31261" customFormat="1" customHeight="1" ht="11.549999999999999">
      <c r="A157" s="1271"/>
      <c r="B157" s="1920"/>
      <c r="C157" s="1920"/>
      <c r="D157" s="635"/>
      <c r="K157" s="1444"/>
      <c r="L157" s="1920"/>
      <c r="M157" s="1920"/>
      <c r="N157" s="1444"/>
      <c r="O157" s="1444"/>
      <c r="P157" s="1444"/>
      <c r="Q157" s="1444"/>
      <c r="R157" s="1920"/>
      <c r="S157" s="1444"/>
      <c r="T157" s="1444"/>
      <c r="U157" s="828"/>
      <c r="V157" s="1444"/>
      <c r="W157" s="1444"/>
      <c r="X157" s="1444"/>
      <c r="Y157" s="1444"/>
      <c r="Z157" s="1444"/>
      <c r="AA157" s="1916"/>
      <c r="AB157" s="850"/>
      <c r="AC157" s="850"/>
      <c r="AD157" s="850"/>
      <c r="AE157" s="850"/>
      <c r="AF157" s="1925">
        <v>11</v>
      </c>
    </row>
    <row s="31261" customFormat="1" customHeight="1" ht="11.549999999999999">
      <c r="A158" s="1271"/>
      <c r="B158" s="1920"/>
      <c r="C158" s="1920"/>
      <c r="D158" s="635"/>
      <c r="K158" s="1444"/>
      <c r="L158" s="1920"/>
      <c r="M158" s="1920"/>
      <c r="N158" s="1444"/>
      <c r="O158" s="1444"/>
      <c r="P158" s="1444"/>
      <c r="Q158" s="1444"/>
      <c r="R158" s="1920"/>
      <c r="S158" s="1444"/>
      <c r="T158" s="1444"/>
      <c r="U158" s="828"/>
      <c r="V158" s="1444"/>
      <c r="W158" s="1444"/>
      <c r="X158" s="1444"/>
      <c r="Y158" s="1444"/>
      <c r="Z158" s="1444"/>
      <c r="AA158" s="1916"/>
      <c r="AB158" s="850"/>
      <c r="AC158" s="850"/>
      <c r="AD158" s="850"/>
      <c r="AE158" s="850"/>
      <c r="AF158" s="1925">
        <v>11</v>
      </c>
    </row>
    <row s="31261" customFormat="1" customHeight="1" ht="11.549999999999999">
      <c r="A159" s="1271"/>
      <c r="B159" s="1920"/>
      <c r="C159" s="1920"/>
      <c r="D159" s="635"/>
      <c r="K159" s="1444"/>
      <c r="L159" s="1920"/>
      <c r="M159" s="1920"/>
      <c r="N159" s="1444"/>
      <c r="O159" s="1444"/>
      <c r="P159" s="1444"/>
      <c r="Q159" s="1444"/>
      <c r="R159" s="1920"/>
      <c r="S159" s="1444"/>
      <c r="T159" s="1444"/>
      <c r="U159" s="828"/>
      <c r="V159" s="1444"/>
      <c r="W159" s="1444"/>
      <c r="X159" s="1444"/>
      <c r="Y159" s="1444"/>
      <c r="Z159" s="1444"/>
      <c r="AA159" s="1916"/>
      <c r="AB159" s="850"/>
      <c r="AC159" s="850"/>
      <c r="AD159" s="850"/>
      <c r="AE159" s="850"/>
      <c r="AF159" s="1925">
        <v>11</v>
      </c>
    </row>
    <row s="31261" customFormat="1" customHeight="1" ht="11.549999999999999">
      <c r="A160" s="1271"/>
      <c r="B160" s="1920"/>
      <c r="C160" s="1920"/>
      <c r="D160" s="635"/>
      <c r="K160" s="1444"/>
      <c r="L160" s="1920"/>
      <c r="M160" s="1920"/>
      <c r="N160" s="1444"/>
      <c r="O160" s="1444"/>
      <c r="P160" s="1444"/>
      <c r="Q160" s="1444"/>
      <c r="R160" s="1920"/>
      <c r="S160" s="1444"/>
      <c r="T160" s="1444"/>
      <c r="U160" s="828"/>
      <c r="V160" s="1444"/>
      <c r="W160" s="1444"/>
      <c r="X160" s="1444"/>
      <c r="Y160" s="1444"/>
      <c r="Z160" s="1444"/>
      <c r="AA160" s="1916"/>
      <c r="AB160" s="850"/>
      <c r="AC160" s="850"/>
      <c r="AD160" s="850"/>
      <c r="AE160" s="850"/>
      <c r="AF160" s="1925">
        <v>11</v>
      </c>
    </row>
    <row s="31261" customFormat="1" customHeight="1" ht="11.549999999999999">
      <c r="A161" s="1271"/>
      <c r="B161" s="1920"/>
      <c r="C161" s="1920"/>
      <c r="D161" s="635"/>
      <c r="K161" s="1444"/>
      <c r="L161" s="1920"/>
      <c r="M161" s="1920"/>
      <c r="N161" s="1444"/>
      <c r="O161" s="1444"/>
      <c r="P161" s="1444"/>
      <c r="Q161" s="1444"/>
      <c r="R161" s="1920"/>
      <c r="S161" s="1444"/>
      <c r="T161" s="1444"/>
      <c r="U161" s="828"/>
      <c r="V161" s="1444"/>
      <c r="W161" s="1444"/>
      <c r="X161" s="1444"/>
      <c r="Y161" s="1444"/>
      <c r="Z161" s="1444"/>
      <c r="AA161" s="1916"/>
      <c r="AB161" s="850"/>
      <c r="AC161" s="850"/>
      <c r="AD161" s="850"/>
      <c r="AE161" s="850"/>
      <c r="AF161" s="1925">
        <v>11</v>
      </c>
    </row>
    <row s="31261" customFormat="1" customHeight="1" ht="11.549999999999999">
      <c r="A162" s="1271"/>
      <c r="B162" s="1920"/>
      <c r="C162" s="1920"/>
      <c r="D162" s="635"/>
      <c r="K162" s="1444"/>
      <c r="L162" s="1920"/>
      <c r="M162" s="1920"/>
      <c r="N162" s="1444"/>
      <c r="O162" s="1444"/>
      <c r="P162" s="1444"/>
      <c r="Q162" s="1444"/>
      <c r="R162" s="1920"/>
      <c r="S162" s="1444"/>
      <c r="T162" s="1444"/>
      <c r="U162" s="828"/>
      <c r="V162" s="1444"/>
      <c r="W162" s="1444"/>
      <c r="X162" s="1444"/>
      <c r="Y162" s="1444"/>
      <c r="Z162" s="1444"/>
      <c r="AA162" s="1916"/>
      <c r="AB162" s="850"/>
      <c r="AC162" s="850"/>
      <c r="AD162" s="850"/>
      <c r="AE162" s="850"/>
      <c r="AF162" s="1925">
        <v>11</v>
      </c>
    </row>
    <row s="31261" customFormat="1" customHeight="1" ht="11.549999999999999">
      <c r="A163" s="1271"/>
      <c r="B163" s="1920"/>
      <c r="C163" s="1920"/>
      <c r="D163" s="635"/>
      <c r="K163" s="1444"/>
      <c r="L163" s="1920"/>
      <c r="M163" s="1920"/>
      <c r="N163" s="1444"/>
      <c r="O163" s="1444"/>
      <c r="P163" s="1444"/>
      <c r="Q163" s="1444"/>
      <c r="R163" s="1920"/>
      <c r="S163" s="1444"/>
      <c r="T163" s="1444"/>
      <c r="U163" s="828"/>
      <c r="V163" s="1444"/>
      <c r="W163" s="1444"/>
      <c r="X163" s="1444"/>
      <c r="Y163" s="1444"/>
      <c r="Z163" s="1444"/>
      <c r="AA163" s="1916"/>
      <c r="AB163" s="850"/>
      <c r="AC163" s="850"/>
      <c r="AD163" s="850"/>
      <c r="AE163" s="850"/>
      <c r="AF163" s="1925">
        <v>11</v>
      </c>
    </row>
    <row s="31261" customFormat="1" customHeight="1" ht="11.549999999999999">
      <c r="A164" s="1271"/>
      <c r="B164" s="1920"/>
      <c r="C164" s="1920"/>
      <c r="D164" s="635"/>
      <c r="K164" s="1444"/>
      <c r="L164" s="1920"/>
      <c r="M164" s="1920"/>
      <c r="N164" s="1444"/>
      <c r="O164" s="1444"/>
      <c r="P164" s="1444"/>
      <c r="Q164" s="1444"/>
      <c r="R164" s="1920"/>
      <c r="S164" s="1444"/>
      <c r="T164" s="1444"/>
      <c r="U164" s="828"/>
      <c r="V164" s="1444"/>
      <c r="W164" s="1444"/>
      <c r="X164" s="1444"/>
      <c r="Y164" s="1444"/>
      <c r="Z164" s="1444"/>
      <c r="AA164" s="1916"/>
      <c r="AB164" s="850"/>
      <c r="AC164" s="850"/>
      <c r="AD164" s="850"/>
      <c r="AE164" s="850"/>
      <c r="AF164" s="1925">
        <v>11</v>
      </c>
    </row>
    <row s="31261" customFormat="1" customHeight="1" ht="11.549999999999999">
      <c r="A165" s="1271"/>
      <c r="B165" s="1920"/>
      <c r="C165" s="1920"/>
      <c r="D165" s="635"/>
      <c r="K165" s="1444"/>
      <c r="L165" s="1920"/>
      <c r="M165" s="1920"/>
      <c r="N165" s="1444"/>
      <c r="O165" s="1444"/>
      <c r="P165" s="1444"/>
      <c r="Q165" s="1444"/>
      <c r="R165" s="1920"/>
      <c r="S165" s="1444"/>
      <c r="T165" s="1444"/>
      <c r="U165" s="828"/>
      <c r="V165" s="1444"/>
      <c r="W165" s="1444"/>
      <c r="X165" s="1444"/>
      <c r="Y165" s="1444"/>
      <c r="Z165" s="1444"/>
      <c r="AA165" s="1916"/>
      <c r="AB165" s="850"/>
      <c r="AC165" s="850"/>
      <c r="AD165" s="850"/>
      <c r="AE165" s="850"/>
      <c r="AF165" s="1925">
        <v>11</v>
      </c>
    </row>
    <row s="31261" customFormat="1" customHeight="1" ht="11.549999999999999">
      <c r="A166" s="1271"/>
      <c r="B166" s="1920"/>
      <c r="C166" s="1920"/>
      <c r="D166" s="635"/>
      <c r="K166" s="1444"/>
      <c r="L166" s="1920"/>
      <c r="M166" s="1920"/>
      <c r="N166" s="1444"/>
      <c r="O166" s="1444"/>
      <c r="P166" s="1444"/>
      <c r="Q166" s="1444"/>
      <c r="R166" s="1920"/>
      <c r="S166" s="1444"/>
      <c r="T166" s="1444"/>
      <c r="U166" s="828"/>
      <c r="V166" s="1444"/>
      <c r="W166" s="1444"/>
      <c r="X166" s="1444"/>
      <c r="Y166" s="1444"/>
      <c r="Z166" s="1444"/>
      <c r="AA166" s="1916"/>
      <c r="AB166" s="850"/>
      <c r="AC166" s="850"/>
      <c r="AD166" s="850"/>
      <c r="AE166" s="850"/>
      <c r="AF166" s="1925">
        <v>11</v>
      </c>
    </row>
    <row s="31261" customFormat="1" customHeight="1" ht="11.549999999999999">
      <c r="A167" s="1271"/>
      <c r="B167" s="1920"/>
      <c r="C167" s="1920"/>
      <c r="D167" s="635"/>
      <c r="K167" s="1444"/>
      <c r="L167" s="1920"/>
      <c r="M167" s="1920"/>
      <c r="N167" s="1444"/>
      <c r="O167" s="1444"/>
      <c r="P167" s="1444"/>
      <c r="Q167" s="1444"/>
      <c r="R167" s="1920"/>
      <c r="S167" s="1444"/>
      <c r="T167" s="1444"/>
      <c r="U167" s="828"/>
      <c r="V167" s="1444"/>
      <c r="W167" s="1444"/>
      <c r="X167" s="1444"/>
      <c r="Y167" s="1444"/>
      <c r="Z167" s="1444"/>
      <c r="AA167" s="1916"/>
      <c r="AB167" s="850"/>
      <c r="AC167" s="850"/>
      <c r="AD167" s="850"/>
      <c r="AE167" s="850"/>
      <c r="AF167" s="1925">
        <v>11</v>
      </c>
    </row>
    <row s="31261" customFormat="1" customHeight="1" ht="11.549999999999999">
      <c r="A168" s="1271"/>
      <c r="B168" s="1920"/>
      <c r="C168" s="1920"/>
      <c r="D168" s="635"/>
      <c r="K168" s="1444"/>
      <c r="L168" s="1920"/>
      <c r="M168" s="1920"/>
      <c r="N168" s="1444"/>
      <c r="O168" s="1444"/>
      <c r="P168" s="1444"/>
      <c r="Q168" s="1444"/>
      <c r="R168" s="1920"/>
      <c r="S168" s="1444"/>
      <c r="T168" s="1444"/>
      <c r="U168" s="828"/>
      <c r="V168" s="1444"/>
      <c r="W168" s="1444"/>
      <c r="X168" s="1444"/>
      <c r="Y168" s="1444"/>
      <c r="Z168" s="1444"/>
      <c r="AA168" s="1916"/>
      <c r="AB168" s="850"/>
      <c r="AC168" s="850"/>
      <c r="AD168" s="850"/>
      <c r="AE168" s="850"/>
      <c r="AF168" s="1925">
        <v>11</v>
      </c>
    </row>
    <row s="31261" customFormat="1" customHeight="1" ht="11.549999999999999">
      <c r="A169" s="1271"/>
      <c r="B169" s="1920"/>
      <c r="C169" s="1920"/>
      <c r="D169" s="635"/>
      <c r="K169" s="1444"/>
      <c r="L169" s="1920"/>
      <c r="M169" s="1920"/>
      <c r="N169" s="1444"/>
      <c r="O169" s="1444"/>
      <c r="P169" s="1444"/>
      <c r="Q169" s="1444"/>
      <c r="R169" s="1920"/>
      <c r="S169" s="1444"/>
      <c r="T169" s="1444"/>
      <c r="U169" s="828"/>
      <c r="V169" s="1444"/>
      <c r="W169" s="1444"/>
      <c r="X169" s="1444"/>
      <c r="Y169" s="1444"/>
      <c r="Z169" s="1444"/>
      <c r="AA169" s="1916"/>
      <c r="AB169" s="850"/>
      <c r="AC169" s="850"/>
      <c r="AD169" s="850"/>
      <c r="AE169" s="850"/>
      <c r="AF169" s="1925">
        <v>11</v>
      </c>
    </row>
    <row s="31261" customFormat="1" customHeight="1" ht="11.549999999999999">
      <c r="A170" s="1271"/>
      <c r="B170" s="1920"/>
      <c r="C170" s="1920"/>
      <c r="D170" s="635"/>
      <c r="K170" s="1444"/>
      <c r="L170" s="1920"/>
      <c r="M170" s="1920"/>
      <c r="N170" s="1444"/>
      <c r="O170" s="1444"/>
      <c r="P170" s="1444"/>
      <c r="Q170" s="1444"/>
      <c r="R170" s="1920"/>
      <c r="S170" s="1444"/>
      <c r="T170" s="1444"/>
      <c r="U170" s="828"/>
      <c r="V170" s="1444"/>
      <c r="W170" s="1444"/>
      <c r="X170" s="1444"/>
      <c r="Y170" s="1444"/>
      <c r="Z170" s="1444"/>
      <c r="AA170" s="1916"/>
      <c r="AB170" s="850"/>
      <c r="AC170" s="850"/>
      <c r="AD170" s="850"/>
      <c r="AE170" s="850"/>
      <c r="AF170" s="1925">
        <v>11</v>
      </c>
    </row>
    <row s="31261" customFormat="1" customHeight="1" ht="11.549999999999999">
      <c r="A171" s="1271"/>
      <c r="B171" s="1920"/>
      <c r="C171" s="1920"/>
      <c r="D171" s="635"/>
      <c r="K171" s="1444"/>
      <c r="L171" s="1920"/>
      <c r="M171" s="1920"/>
      <c r="N171" s="1444"/>
      <c r="O171" s="1444"/>
      <c r="P171" s="1444"/>
      <c r="Q171" s="1444"/>
      <c r="R171" s="1920"/>
      <c r="S171" s="1444"/>
      <c r="T171" s="1444"/>
      <c r="U171" s="828"/>
      <c r="V171" s="1444"/>
      <c r="W171" s="1444"/>
      <c r="X171" s="1444"/>
      <c r="Y171" s="1444"/>
      <c r="Z171" s="1444"/>
      <c r="AA171" s="1916"/>
      <c r="AB171" s="850"/>
      <c r="AC171" s="850"/>
      <c r="AD171" s="850"/>
      <c r="AE171" s="850"/>
      <c r="AF171" s="1925">
        <v>11</v>
      </c>
    </row>
    <row s="31261" customFormat="1" customHeight="1" ht="11.549999999999999">
      <c r="A172" s="1271"/>
      <c r="B172" s="1920"/>
      <c r="C172" s="1920"/>
      <c r="D172" s="635"/>
      <c r="K172" s="1444"/>
      <c r="L172" s="1920"/>
      <c r="M172" s="1920"/>
      <c r="N172" s="1444"/>
      <c r="O172" s="1444"/>
      <c r="P172" s="1444"/>
      <c r="Q172" s="1444"/>
      <c r="R172" s="1920"/>
      <c r="S172" s="1444"/>
      <c r="T172" s="1444"/>
      <c r="U172" s="828"/>
      <c r="V172" s="1444"/>
      <c r="W172" s="1444"/>
      <c r="X172" s="1444"/>
      <c r="Y172" s="1444"/>
      <c r="Z172" s="1444"/>
      <c r="AA172" s="1916"/>
      <c r="AB172" s="850"/>
      <c r="AC172" s="850"/>
      <c r="AD172" s="850"/>
      <c r="AE172" s="850"/>
      <c r="AF172" s="1925">
        <v>11</v>
      </c>
    </row>
    <row s="31261" customFormat="1" customHeight="1" ht="11.549999999999999">
      <c r="A173" s="1271"/>
      <c r="B173" s="1920"/>
      <c r="C173" s="1920"/>
      <c r="D173" s="635"/>
      <c r="K173" s="1444"/>
      <c r="L173" s="1920"/>
      <c r="M173" s="1920"/>
      <c r="N173" s="1444"/>
      <c r="O173" s="1444"/>
      <c r="P173" s="1444"/>
      <c r="Q173" s="1444"/>
      <c r="R173" s="1920"/>
      <c r="S173" s="1444"/>
      <c r="T173" s="1444"/>
      <c r="U173" s="828"/>
      <c r="V173" s="1444"/>
      <c r="W173" s="1444"/>
      <c r="X173" s="1444"/>
      <c r="Y173" s="1444"/>
      <c r="Z173" s="1444"/>
      <c r="AA173" s="1916"/>
      <c r="AB173" s="850"/>
      <c r="AC173" s="850"/>
      <c r="AD173" s="850"/>
      <c r="AE173" s="850"/>
      <c r="AF173" s="1925">
        <v>11</v>
      </c>
    </row>
    <row s="31261" customFormat="1" customHeight="1" ht="11.549999999999999">
      <c r="A174" s="1271"/>
      <c r="B174" s="1920"/>
      <c r="C174" s="1920"/>
      <c r="D174" s="635"/>
      <c r="K174" s="1444"/>
      <c r="L174" s="1920"/>
      <c r="M174" s="1920"/>
      <c r="N174" s="1444"/>
      <c r="O174" s="1444"/>
      <c r="P174" s="1444"/>
      <c r="Q174" s="1444"/>
      <c r="R174" s="1920"/>
      <c r="S174" s="1444"/>
      <c r="T174" s="1444"/>
      <c r="U174" s="828"/>
      <c r="V174" s="1444"/>
      <c r="W174" s="1444"/>
      <c r="X174" s="1444"/>
      <c r="Y174" s="1444"/>
      <c r="Z174" s="1444"/>
      <c r="AA174" s="1916"/>
      <c r="AB174" s="850"/>
      <c r="AC174" s="850"/>
      <c r="AD174" s="850"/>
      <c r="AE174" s="850"/>
      <c r="AF174" s="1925">
        <v>11</v>
      </c>
    </row>
    <row s="31261" customFormat="1" customHeight="1" ht="11.549999999999999">
      <c r="A175" s="1271"/>
      <c r="B175" s="1920"/>
      <c r="C175" s="1920"/>
      <c r="D175" s="635"/>
      <c r="K175" s="1444"/>
      <c r="L175" s="1920"/>
      <c r="M175" s="1920"/>
      <c r="N175" s="1444"/>
      <c r="O175" s="1444"/>
      <c r="P175" s="1444"/>
      <c r="Q175" s="1444"/>
      <c r="R175" s="1920"/>
      <c r="S175" s="1444"/>
      <c r="T175" s="1444"/>
      <c r="U175" s="828"/>
      <c r="V175" s="1444"/>
      <c r="W175" s="1444"/>
      <c r="X175" s="1444"/>
      <c r="Y175" s="1444"/>
      <c r="Z175" s="1444"/>
      <c r="AA175" s="1916"/>
      <c r="AB175" s="850"/>
      <c r="AC175" s="850"/>
      <c r="AD175" s="850"/>
      <c r="AE175" s="850"/>
      <c r="AF175" s="1925">
        <v>11</v>
      </c>
    </row>
    <row s="31261" customFormat="1" customHeight="1" ht="11.549999999999999">
      <c r="A176" s="1271"/>
      <c r="B176" s="1920"/>
      <c r="C176" s="1920"/>
      <c r="D176" s="635"/>
      <c r="K176" s="1444"/>
      <c r="L176" s="1920"/>
      <c r="M176" s="1920"/>
      <c r="N176" s="1444"/>
      <c r="O176" s="1444"/>
      <c r="P176" s="1444"/>
      <c r="Q176" s="1444"/>
      <c r="R176" s="1920"/>
      <c r="S176" s="1444"/>
      <c r="T176" s="1444"/>
      <c r="U176" s="828"/>
      <c r="V176" s="1444"/>
      <c r="W176" s="1444"/>
      <c r="X176" s="1444"/>
      <c r="Y176" s="1444"/>
      <c r="Z176" s="1444"/>
      <c r="AA176" s="1916"/>
      <c r="AB176" s="850"/>
      <c r="AC176" s="850"/>
      <c r="AD176" s="850"/>
      <c r="AE176" s="850"/>
      <c r="AF176" s="1925">
        <v>11</v>
      </c>
    </row>
    <row s="31261" customFormat="1" customHeight="1" ht="11.549999999999999">
      <c r="A177" s="1271"/>
      <c r="B177" s="1920"/>
      <c r="C177" s="1920"/>
      <c r="D177" s="635"/>
      <c r="K177" s="1444"/>
      <c r="L177" s="1920"/>
      <c r="M177" s="1920"/>
      <c r="N177" s="1444"/>
      <c r="O177" s="1444"/>
      <c r="P177" s="1444"/>
      <c r="Q177" s="1444"/>
      <c r="R177" s="1920"/>
      <c r="S177" s="1444"/>
      <c r="T177" s="1444"/>
      <c r="U177" s="828"/>
      <c r="V177" s="1444"/>
      <c r="W177" s="1444"/>
      <c r="X177" s="1444"/>
      <c r="Y177" s="1444"/>
      <c r="Z177" s="1444"/>
      <c r="AA177" s="1916"/>
      <c r="AB177" s="850"/>
      <c r="AC177" s="850"/>
      <c r="AD177" s="850"/>
      <c r="AE177" s="850"/>
      <c r="AF177" s="1925">
        <v>11</v>
      </c>
    </row>
    <row s="31261" customFormat="1" customHeight="1" ht="11.549999999999999">
      <c r="A178" s="1271"/>
      <c r="B178" s="1920"/>
      <c r="C178" s="1920"/>
      <c r="D178" s="635"/>
      <c r="K178" s="1444"/>
      <c r="L178" s="1920"/>
      <c r="M178" s="1920"/>
      <c r="N178" s="1444"/>
      <c r="O178" s="1444"/>
      <c r="P178" s="1444"/>
      <c r="Q178" s="1444"/>
      <c r="R178" s="1920"/>
      <c r="S178" s="1444"/>
      <c r="T178" s="1444"/>
      <c r="U178" s="828"/>
      <c r="V178" s="1444"/>
      <c r="W178" s="1444"/>
      <c r="X178" s="1444"/>
      <c r="Y178" s="1444"/>
      <c r="Z178" s="1444"/>
      <c r="AA178" s="1916"/>
      <c r="AB178" s="850"/>
      <c r="AC178" s="850"/>
      <c r="AD178" s="850"/>
      <c r="AE178" s="850"/>
      <c r="AF178" s="1925">
        <v>11</v>
      </c>
    </row>
    <row s="31261" customFormat="1" customHeight="1" ht="11.549999999999999">
      <c r="A179" s="1271"/>
      <c r="B179" s="1920"/>
      <c r="C179" s="1920"/>
      <c r="D179" s="635"/>
      <c r="K179" s="1444"/>
      <c r="L179" s="1920"/>
      <c r="M179" s="1920"/>
      <c r="N179" s="1444"/>
      <c r="O179" s="1444"/>
      <c r="P179" s="1444"/>
      <c r="Q179" s="1444"/>
      <c r="R179" s="1920"/>
      <c r="S179" s="1444"/>
      <c r="T179" s="1444"/>
      <c r="U179" s="828"/>
      <c r="V179" s="1444"/>
      <c r="W179" s="1444"/>
      <c r="X179" s="1444"/>
      <c r="Y179" s="1444"/>
      <c r="Z179" s="1444"/>
      <c r="AA179" s="1916"/>
      <c r="AB179" s="850"/>
      <c r="AC179" s="850"/>
      <c r="AD179" s="850"/>
      <c r="AE179" s="850"/>
      <c r="AF179" s="1925">
        <v>11</v>
      </c>
    </row>
    <row s="31261" customFormat="1" customHeight="1" ht="11.549999999999999">
      <c r="A180" s="1271"/>
      <c r="B180" s="1920"/>
      <c r="C180" s="1920"/>
      <c r="D180" s="635"/>
      <c r="K180" s="1444"/>
      <c r="L180" s="1920"/>
      <c r="M180" s="1920"/>
      <c r="N180" s="1444"/>
      <c r="O180" s="1444"/>
      <c r="P180" s="1444"/>
      <c r="Q180" s="1444"/>
      <c r="R180" s="1920"/>
      <c r="S180" s="1444"/>
      <c r="T180" s="1444"/>
      <c r="U180" s="828"/>
      <c r="V180" s="1444"/>
      <c r="W180" s="1444"/>
      <c r="X180" s="1444"/>
      <c r="Y180" s="1444"/>
      <c r="Z180" s="1444"/>
      <c r="AA180" s="1916"/>
      <c r="AB180" s="850"/>
      <c r="AC180" s="850"/>
      <c r="AD180" s="850"/>
      <c r="AE180" s="850"/>
      <c r="AF180" s="1925">
        <v>11</v>
      </c>
    </row>
    <row s="31261" customFormat="1" customHeight="1" ht="11.549999999999999">
      <c r="A181" s="1271"/>
      <c r="B181" s="1920"/>
      <c r="C181" s="1920"/>
      <c r="D181" s="635"/>
      <c r="K181" s="1444"/>
      <c r="L181" s="1920"/>
      <c r="M181" s="1920"/>
      <c r="N181" s="1444"/>
      <c r="O181" s="1444"/>
      <c r="P181" s="1444"/>
      <c r="Q181" s="1444"/>
      <c r="R181" s="1920"/>
      <c r="S181" s="1444"/>
      <c r="T181" s="1444"/>
      <c r="U181" s="828"/>
      <c r="V181" s="1444"/>
      <c r="W181" s="1444"/>
      <c r="X181" s="1444"/>
      <c r="Y181" s="1444"/>
      <c r="Z181" s="1444"/>
      <c r="AA181" s="1916"/>
      <c r="AB181" s="850"/>
      <c r="AC181" s="850"/>
      <c r="AD181" s="850"/>
      <c r="AE181" s="850"/>
      <c r="AF181" s="1925">
        <v>11</v>
      </c>
    </row>
    <row s="31261" customFormat="1" customHeight="1" ht="11.549999999999999">
      <c r="A182" s="1271"/>
      <c r="B182" s="1920"/>
      <c r="C182" s="1920"/>
      <c r="D182" s="635"/>
      <c r="K182" s="1444"/>
      <c r="L182" s="1920"/>
      <c r="M182" s="1920"/>
      <c r="N182" s="1444"/>
      <c r="O182" s="1444"/>
      <c r="P182" s="1444"/>
      <c r="Q182" s="1444"/>
      <c r="R182" s="1920"/>
      <c r="S182" s="1444"/>
      <c r="T182" s="1444"/>
      <c r="U182" s="828"/>
      <c r="V182" s="1444"/>
      <c r="W182" s="1444"/>
      <c r="X182" s="1444"/>
      <c r="Y182" s="1444"/>
      <c r="Z182" s="1444"/>
      <c r="AA182" s="1916"/>
      <c r="AB182" s="850"/>
      <c r="AC182" s="850"/>
      <c r="AD182" s="850"/>
      <c r="AE182" s="850"/>
      <c r="AF182" s="1925">
        <v>11</v>
      </c>
    </row>
    <row s="31261" customFormat="1" customHeight="1" ht="11.549999999999999">
      <c r="A183" s="1271"/>
      <c r="B183" s="1920"/>
      <c r="C183" s="1920"/>
      <c r="D183" s="635"/>
      <c r="K183" s="1444"/>
      <c r="L183" s="1920"/>
      <c r="M183" s="1920"/>
      <c r="N183" s="1444"/>
      <c r="O183" s="1444"/>
      <c r="P183" s="1444"/>
      <c r="Q183" s="1444"/>
      <c r="R183" s="1920"/>
      <c r="S183" s="1444"/>
      <c r="T183" s="1444"/>
      <c r="U183" s="828"/>
      <c r="V183" s="1444"/>
      <c r="W183" s="1444"/>
      <c r="X183" s="1444"/>
      <c r="Y183" s="1444"/>
      <c r="Z183" s="1444"/>
      <c r="AA183" s="1916"/>
      <c r="AB183" s="850"/>
      <c r="AC183" s="850"/>
      <c r="AD183" s="850"/>
      <c r="AE183" s="850"/>
      <c r="AF183" s="1925">
        <v>11</v>
      </c>
    </row>
    <row s="31261" customFormat="1" customHeight="1" ht="11.549999999999999">
      <c r="A184" s="1271"/>
      <c r="B184" s="1920"/>
      <c r="C184" s="1920"/>
      <c r="D184" s="635"/>
      <c r="K184" s="1444"/>
      <c r="L184" s="1920"/>
      <c r="M184" s="1920"/>
      <c r="N184" s="1444"/>
      <c r="O184" s="1444"/>
      <c r="P184" s="1444"/>
      <c r="Q184" s="1444"/>
      <c r="R184" s="1920"/>
      <c r="S184" s="1444"/>
      <c r="T184" s="1444"/>
      <c r="U184" s="828"/>
      <c r="V184" s="1444"/>
      <c r="W184" s="1444"/>
      <c r="X184" s="1444"/>
      <c r="Y184" s="1444"/>
      <c r="Z184" s="1444"/>
      <c r="AA184" s="1916"/>
      <c r="AB184" s="850"/>
      <c r="AC184" s="850"/>
      <c r="AD184" s="850"/>
      <c r="AE184" s="850"/>
      <c r="AF184" s="1925">
        <v>11</v>
      </c>
    </row>
    <row s="31261" customFormat="1" customHeight="1" ht="11.549999999999999">
      <c r="A185" s="1271"/>
      <c r="B185" s="1920"/>
      <c r="C185" s="1920"/>
      <c r="D185" s="635"/>
      <c r="K185" s="1444"/>
      <c r="L185" s="1920"/>
      <c r="M185" s="1920"/>
      <c r="N185" s="1444"/>
      <c r="O185" s="1444"/>
      <c r="P185" s="1444"/>
      <c r="Q185" s="1444"/>
      <c r="R185" s="1920"/>
      <c r="S185" s="1444"/>
      <c r="T185" s="1444"/>
      <c r="U185" s="828"/>
      <c r="V185" s="1444"/>
      <c r="W185" s="1444"/>
      <c r="X185" s="1444"/>
      <c r="Y185" s="1444"/>
      <c r="Z185" s="1444"/>
      <c r="AA185" s="1916"/>
      <c r="AB185" s="850"/>
      <c r="AC185" s="850"/>
      <c r="AD185" s="850"/>
      <c r="AE185" s="850"/>
      <c r="AF185" s="1925">
        <v>11</v>
      </c>
    </row>
    <row s="31261" customFormat="1" customHeight="1" ht="11.549999999999999">
      <c r="A186" s="1271"/>
      <c r="B186" s="1920"/>
      <c r="C186" s="1920"/>
      <c r="D186" s="635"/>
      <c r="K186" s="1444"/>
      <c r="L186" s="1920"/>
      <c r="M186" s="1920"/>
      <c r="N186" s="1444"/>
      <c r="O186" s="1444"/>
      <c r="P186" s="1444"/>
      <c r="Q186" s="1444"/>
      <c r="R186" s="1920"/>
      <c r="S186" s="1444"/>
      <c r="T186" s="1444"/>
      <c r="U186" s="828"/>
      <c r="V186" s="1444"/>
      <c r="W186" s="1444"/>
      <c r="X186" s="1444"/>
      <c r="Y186" s="1444"/>
      <c r="Z186" s="1444"/>
      <c r="AA186" s="1916"/>
      <c r="AB186" s="850"/>
      <c r="AC186" s="850"/>
      <c r="AD186" s="850"/>
      <c r="AE186" s="850"/>
      <c r="AF186" s="1925">
        <v>11</v>
      </c>
    </row>
    <row s="31261" customFormat="1" customHeight="1" ht="11.549999999999999">
      <c r="A187" s="1271"/>
      <c r="B187" s="1920"/>
      <c r="C187" s="1920"/>
      <c r="D187" s="635"/>
      <c r="K187" s="1444"/>
      <c r="L187" s="1920"/>
      <c r="M187" s="1920"/>
      <c r="N187" s="1444"/>
      <c r="O187" s="1444"/>
      <c r="P187" s="1444"/>
      <c r="Q187" s="1444"/>
      <c r="R187" s="1920"/>
      <c r="S187" s="1444"/>
      <c r="T187" s="1444"/>
      <c r="U187" s="828"/>
      <c r="V187" s="1444"/>
      <c r="W187" s="1444"/>
      <c r="X187" s="1444"/>
      <c r="Y187" s="1444"/>
      <c r="Z187" s="1444"/>
      <c r="AA187" s="1916"/>
      <c r="AB187" s="850"/>
      <c r="AC187" s="850"/>
      <c r="AD187" s="850"/>
      <c r="AE187" s="850"/>
      <c r="AF187" s="1925">
        <v>11</v>
      </c>
    </row>
    <row s="31261" customFormat="1" customHeight="1" ht="11.549999999999999">
      <c r="A188" s="1271"/>
      <c r="B188" s="1920"/>
      <c r="C188" s="1920"/>
      <c r="D188" s="635"/>
      <c r="K188" s="1444"/>
      <c r="L188" s="1920"/>
      <c r="M188" s="1920"/>
      <c r="N188" s="1444"/>
      <c r="O188" s="1444"/>
      <c r="P188" s="1444"/>
      <c r="Q188" s="1444"/>
      <c r="R188" s="1920"/>
      <c r="S188" s="1444"/>
      <c r="T188" s="1444"/>
      <c r="U188" s="828"/>
      <c r="V188" s="1444"/>
      <c r="W188" s="1444"/>
      <c r="X188" s="1444"/>
      <c r="Y188" s="1444"/>
      <c r="Z188" s="1444"/>
      <c r="AA188" s="1916"/>
      <c r="AB188" s="850"/>
      <c r="AC188" s="850"/>
      <c r="AD188" s="850"/>
      <c r="AE188" s="850"/>
      <c r="AF188" s="1925">
        <v>11</v>
      </c>
    </row>
    <row s="31261" customFormat="1" customHeight="1" ht="11.549999999999999">
      <c r="A189" s="1271"/>
      <c r="B189" s="1920"/>
      <c r="C189" s="1920"/>
      <c r="D189" s="635"/>
      <c r="K189" s="1444"/>
      <c r="L189" s="1920"/>
      <c r="M189" s="1920"/>
      <c r="N189" s="1444"/>
      <c r="O189" s="1444"/>
      <c r="P189" s="1444"/>
      <c r="Q189" s="1444"/>
      <c r="R189" s="1920"/>
      <c r="S189" s="1444"/>
      <c r="T189" s="1444"/>
      <c r="U189" s="828"/>
      <c r="V189" s="1444"/>
      <c r="W189" s="1444"/>
      <c r="X189" s="1444"/>
      <c r="Y189" s="1444"/>
      <c r="Z189" s="1444"/>
      <c r="AA189" s="1916"/>
      <c r="AB189" s="850"/>
      <c r="AC189" s="850"/>
      <c r="AD189" s="850"/>
      <c r="AE189" s="850"/>
      <c r="AF189" s="1925">
        <v>11</v>
      </c>
    </row>
    <row s="31261" customFormat="1" customHeight="1" ht="11.549999999999999">
      <c r="A190" s="1271"/>
      <c r="B190" s="1920"/>
      <c r="C190" s="1920"/>
      <c r="D190" s="635"/>
      <c r="K190" s="1444"/>
      <c r="L190" s="1920"/>
      <c r="M190" s="1920"/>
      <c r="N190" s="1444"/>
      <c r="O190" s="1444"/>
      <c r="P190" s="1444"/>
      <c r="Q190" s="1444"/>
      <c r="R190" s="1920"/>
      <c r="S190" s="1444"/>
      <c r="T190" s="1444"/>
      <c r="U190" s="828"/>
      <c r="V190" s="1444"/>
      <c r="W190" s="1444"/>
      <c r="X190" s="1444"/>
      <c r="Y190" s="1444"/>
      <c r="Z190" s="1444"/>
      <c r="AA190" s="1916"/>
      <c r="AB190" s="850"/>
      <c r="AC190" s="850"/>
      <c r="AD190" s="850"/>
      <c r="AE190" s="850"/>
      <c r="AF190" s="1925">
        <v>11</v>
      </c>
    </row>
    <row s="31261" customFormat="1" customHeight="1" ht="11.549999999999999">
      <c r="A191" s="1271"/>
      <c r="B191" s="1920"/>
      <c r="C191" s="1920"/>
      <c r="D191" s="635"/>
      <c r="K191" s="1444"/>
      <c r="L191" s="1920"/>
      <c r="M191" s="1920"/>
      <c r="N191" s="1444"/>
      <c r="O191" s="1444"/>
      <c r="P191" s="1444"/>
      <c r="Q191" s="1444"/>
      <c r="R191" s="1920"/>
      <c r="S191" s="1444"/>
      <c r="T191" s="1444"/>
      <c r="U191" s="828"/>
      <c r="V191" s="1444"/>
      <c r="W191" s="1444"/>
      <c r="X191" s="1444"/>
      <c r="Y191" s="1444"/>
      <c r="Z191" s="1444"/>
      <c r="AA191" s="1916"/>
      <c r="AB191" s="850"/>
      <c r="AC191" s="850"/>
      <c r="AD191" s="850"/>
      <c r="AE191" s="850"/>
      <c r="AF191" s="1925">
        <v>11</v>
      </c>
    </row>
    <row s="31261" customFormat="1" customHeight="1" ht="11.549999999999999">
      <c r="A192" s="1271"/>
      <c r="B192" s="1920"/>
      <c r="C192" s="1920"/>
      <c r="D192" s="635"/>
      <c r="K192" s="1444"/>
      <c r="L192" s="1920"/>
      <c r="M192" s="1920"/>
      <c r="N192" s="1444"/>
      <c r="O192" s="1444"/>
      <c r="P192" s="1444"/>
      <c r="Q192" s="1444"/>
      <c r="R192" s="1920"/>
      <c r="S192" s="1444"/>
      <c r="T192" s="1444"/>
      <c r="U192" s="828"/>
      <c r="V192" s="1444"/>
      <c r="W192" s="1444"/>
      <c r="X192" s="1444"/>
      <c r="Y192" s="1444"/>
      <c r="Z192" s="1444"/>
      <c r="AA192" s="1916"/>
      <c r="AB192" s="850"/>
      <c r="AC192" s="850"/>
      <c r="AD192" s="850"/>
      <c r="AE192" s="850"/>
      <c r="AF192" s="1925">
        <v>11</v>
      </c>
    </row>
    <row s="31261" customFormat="1" customHeight="1" ht="11.549999999999999">
      <c r="A193" s="1271"/>
      <c r="B193" s="1920"/>
      <c r="C193" s="1920"/>
      <c r="D193" s="635"/>
      <c r="K193" s="1444"/>
      <c r="L193" s="1920"/>
      <c r="M193" s="1920"/>
      <c r="N193" s="1444"/>
      <c r="O193" s="1444"/>
      <c r="P193" s="1444"/>
      <c r="Q193" s="1444"/>
      <c r="R193" s="1920"/>
      <c r="S193" s="1444"/>
      <c r="T193" s="1444"/>
      <c r="U193" s="828"/>
      <c r="V193" s="1444"/>
      <c r="W193" s="1444"/>
      <c r="X193" s="1444"/>
      <c r="Y193" s="1444"/>
      <c r="Z193" s="1444"/>
      <c r="AA193" s="1916"/>
      <c r="AB193" s="850"/>
      <c r="AC193" s="850"/>
      <c r="AD193" s="850"/>
      <c r="AE193" s="850"/>
      <c r="AF193" s="1925">
        <v>11</v>
      </c>
    </row>
    <row s="31261" customFormat="1" customHeight="1" ht="11.549999999999999">
      <c r="A194" s="1271"/>
      <c r="B194" s="1920"/>
      <c r="C194" s="1920"/>
      <c r="D194" s="635"/>
      <c r="K194" s="1444"/>
      <c r="L194" s="1920"/>
      <c r="M194" s="1920"/>
      <c r="N194" s="1444"/>
      <c r="O194" s="1444"/>
      <c r="P194" s="1444"/>
      <c r="Q194" s="1444"/>
      <c r="R194" s="1920"/>
      <c r="S194" s="1444"/>
      <c r="T194" s="1444"/>
      <c r="U194" s="828"/>
      <c r="V194" s="1444"/>
      <c r="W194" s="1444"/>
      <c r="X194" s="1444"/>
      <c r="Y194" s="1444"/>
      <c r="Z194" s="1444"/>
      <c r="AA194" s="1916"/>
      <c r="AB194" s="850"/>
      <c r="AC194" s="850"/>
      <c r="AD194" s="850"/>
      <c r="AE194" s="850"/>
      <c r="AF194" s="1925">
        <v>11</v>
      </c>
    </row>
    <row s="31261" customFormat="1" customHeight="1" ht="11.549999999999999">
      <c r="A195" s="1271"/>
      <c r="B195" s="1920"/>
      <c r="C195" s="1920"/>
      <c r="D195" s="635"/>
      <c r="K195" s="1444"/>
      <c r="L195" s="1920"/>
      <c r="M195" s="1920"/>
      <c r="N195" s="1444"/>
      <c r="O195" s="1444"/>
      <c r="P195" s="1444"/>
      <c r="Q195" s="1444"/>
      <c r="R195" s="1920"/>
      <c r="S195" s="1444"/>
      <c r="T195" s="1444"/>
      <c r="U195" s="828"/>
      <c r="V195" s="1444"/>
      <c r="W195" s="1444"/>
      <c r="X195" s="1444"/>
      <c r="Y195" s="1444"/>
      <c r="Z195" s="1444"/>
      <c r="AA195" s="1916"/>
      <c r="AB195" s="850"/>
      <c r="AC195" s="850"/>
      <c r="AD195" s="850"/>
      <c r="AE195" s="850"/>
      <c r="AF195" s="1925">
        <v>11</v>
      </c>
    </row>
    <row s="31261" customFormat="1" customHeight="1" ht="11.549999999999999">
      <c r="A196" s="1271"/>
      <c r="B196" s="1920"/>
      <c r="C196" s="1920"/>
      <c r="D196" s="635"/>
      <c r="K196" s="1444"/>
      <c r="L196" s="1920"/>
      <c r="M196" s="1920"/>
      <c r="N196" s="1444"/>
      <c r="O196" s="1444"/>
      <c r="P196" s="1444"/>
      <c r="Q196" s="1444"/>
      <c r="R196" s="1920"/>
      <c r="S196" s="1444"/>
      <c r="T196" s="1444"/>
      <c r="U196" s="828"/>
      <c r="V196" s="1444"/>
      <c r="W196" s="1444"/>
      <c r="X196" s="1444"/>
      <c r="Y196" s="1444"/>
      <c r="Z196" s="1444"/>
      <c r="AA196" s="1916"/>
      <c r="AB196" s="850"/>
      <c r="AC196" s="850"/>
      <c r="AD196" s="850"/>
      <c r="AE196" s="850"/>
      <c r="AF196" s="1925">
        <v>11</v>
      </c>
    </row>
    <row s="31261" customFormat="1" customHeight="1" ht="11.549999999999999">
      <c r="A197" s="1271"/>
      <c r="B197" s="1920"/>
      <c r="C197" s="1920"/>
      <c r="D197" s="635"/>
      <c r="K197" s="1444"/>
      <c r="L197" s="1920"/>
      <c r="M197" s="1920"/>
      <c r="N197" s="1444"/>
      <c r="O197" s="1444"/>
      <c r="P197" s="1444"/>
      <c r="Q197" s="1444"/>
      <c r="R197" s="1920"/>
      <c r="S197" s="1444"/>
      <c r="T197" s="1444"/>
      <c r="U197" s="828"/>
      <c r="V197" s="1444"/>
      <c r="W197" s="1444"/>
      <c r="X197" s="1444"/>
      <c r="Y197" s="1444"/>
      <c r="Z197" s="1444"/>
      <c r="AA197" s="1916"/>
      <c r="AB197" s="850"/>
      <c r="AC197" s="850"/>
      <c r="AD197" s="850"/>
      <c r="AE197" s="850"/>
      <c r="AF197" s="1925">
        <v>11</v>
      </c>
    </row>
    <row s="31261" customFormat="1" customHeight="1" ht="11.549999999999999">
      <c r="A198" s="1271"/>
      <c r="B198" s="1920"/>
      <c r="C198" s="1920"/>
      <c r="D198" s="635"/>
      <c r="K198" s="1444"/>
      <c r="L198" s="1920"/>
      <c r="M198" s="1920"/>
      <c r="N198" s="1444"/>
      <c r="O198" s="1444"/>
      <c r="P198" s="1444"/>
      <c r="Q198" s="1444"/>
      <c r="R198" s="1920"/>
      <c r="S198" s="1444"/>
      <c r="T198" s="1444"/>
      <c r="U198" s="828"/>
      <c r="V198" s="1444"/>
      <c r="W198" s="1444"/>
      <c r="X198" s="1444"/>
      <c r="Y198" s="1444"/>
      <c r="Z198" s="1444"/>
      <c r="AA198" s="1916"/>
      <c r="AB198" s="850"/>
      <c r="AC198" s="850"/>
      <c r="AD198" s="850"/>
      <c r="AE198" s="850"/>
      <c r="AF198" s="1925">
        <v>11</v>
      </c>
    </row>
    <row s="31261" customFormat="1" customHeight="1" ht="11.549999999999999">
      <c r="A199" s="1271"/>
      <c r="B199" s="1920"/>
      <c r="C199" s="1920"/>
      <c r="D199" s="635"/>
      <c r="K199" s="1444"/>
      <c r="L199" s="1920"/>
      <c r="M199" s="1920"/>
      <c r="N199" s="1444"/>
      <c r="O199" s="1444"/>
      <c r="P199" s="1444"/>
      <c r="Q199" s="1444"/>
      <c r="R199" s="1920"/>
      <c r="S199" s="1444"/>
      <c r="T199" s="1444"/>
      <c r="U199" s="828"/>
      <c r="V199" s="1444"/>
      <c r="W199" s="1444"/>
      <c r="X199" s="1444"/>
      <c r="Y199" s="1444"/>
      <c r="Z199" s="1444"/>
      <c r="AA199" s="1916"/>
      <c r="AB199" s="850"/>
      <c r="AC199" s="850"/>
      <c r="AD199" s="850"/>
      <c r="AE199" s="850"/>
      <c r="AF199" s="1925">
        <v>11</v>
      </c>
    </row>
    <row s="31261" customFormat="1" customHeight="1" ht="11.549999999999999">
      <c r="A200" s="1271"/>
      <c r="B200" s="1920"/>
      <c r="C200" s="1920"/>
      <c r="D200" s="635"/>
      <c r="K200" s="1444"/>
      <c r="L200" s="1920"/>
      <c r="M200" s="1920"/>
      <c r="N200" s="1444"/>
      <c r="O200" s="1444"/>
      <c r="P200" s="1444"/>
      <c r="Q200" s="1444"/>
      <c r="R200" s="1920"/>
      <c r="S200" s="1444"/>
      <c r="T200" s="1444"/>
      <c r="U200" s="828"/>
      <c r="V200" s="1444"/>
      <c r="W200" s="1444"/>
      <c r="X200" s="1444"/>
      <c r="Y200" s="1444"/>
      <c r="Z200" s="1444"/>
      <c r="AA200" s="1916"/>
      <c r="AB200" s="850"/>
      <c r="AC200" s="850"/>
      <c r="AD200" s="850"/>
      <c r="AE200" s="850"/>
      <c r="AF200" s="1925">
        <v>11</v>
      </c>
    </row>
    <row s="31261" customFormat="1" customHeight="1" ht="11.549999999999999">
      <c r="A201" s="1271"/>
      <c r="B201" s="1920"/>
      <c r="C201" s="1920"/>
      <c r="D201" s="635"/>
      <c r="K201" s="1444"/>
      <c r="L201" s="1920"/>
      <c r="M201" s="1920"/>
      <c r="N201" s="1444"/>
      <c r="O201" s="1444"/>
      <c r="P201" s="1444"/>
      <c r="Q201" s="1444"/>
      <c r="R201" s="1920"/>
      <c r="S201" s="1444"/>
      <c r="T201" s="1444"/>
      <c r="U201" s="828"/>
      <c r="V201" s="1444"/>
      <c r="W201" s="1444"/>
      <c r="X201" s="1444"/>
      <c r="Y201" s="1444"/>
      <c r="Z201" s="1444"/>
      <c r="AA201" s="1916"/>
      <c r="AB201" s="850"/>
      <c r="AC201" s="850"/>
      <c r="AD201" s="850"/>
      <c r="AE201" s="850"/>
      <c r="AF201" s="1925">
        <v>11</v>
      </c>
    </row>
    <row s="31261" customFormat="1" customHeight="1" ht="11.549999999999999">
      <c r="A202" s="1271"/>
      <c r="B202" s="1920"/>
      <c r="C202" s="1920"/>
      <c r="D202" s="635"/>
      <c r="K202" s="1444"/>
      <c r="L202" s="1920"/>
      <c r="M202" s="1920"/>
      <c r="N202" s="1444"/>
      <c r="O202" s="1444"/>
      <c r="P202" s="1444"/>
      <c r="Q202" s="1444"/>
      <c r="R202" s="1920"/>
      <c r="S202" s="1444"/>
      <c r="T202" s="1444"/>
      <c r="U202" s="828"/>
      <c r="V202" s="1444"/>
      <c r="W202" s="1444"/>
      <c r="X202" s="1444"/>
      <c r="Y202" s="1444"/>
      <c r="Z202" s="1444"/>
      <c r="AA202" s="1916"/>
      <c r="AB202" s="850"/>
      <c r="AC202" s="850"/>
      <c r="AD202" s="850"/>
      <c r="AE202" s="850"/>
      <c r="AF202" s="1925">
        <v>11</v>
      </c>
    </row>
    <row customHeight="1" ht="11.549999999999999">
      <c r="AF203" s="1915">
        <v>11</v>
      </c>
    </row>
    <row customHeight="1" ht="11.549999999999999">
      <c r="AF204" s="1915">
        <v>11</v>
      </c>
    </row>
    <row customHeight="1" ht="11.549999999999999">
      <c r="AF205" s="1915">
        <v>11</v>
      </c>
    </row>
    <row customHeight="1" ht="11.549999999999999">
      <c r="A206" s="1274"/>
      <c r="B206" s="1915"/>
      <c r="D206" s="1915"/>
      <c r="K206" s="1915"/>
      <c r="N206" s="1915"/>
      <c r="O206" s="1915"/>
      <c r="P206" s="1915"/>
      <c r="Q206" s="1915"/>
      <c r="S206" s="1915"/>
      <c r="T206" s="1915"/>
      <c r="U206" s="1915"/>
      <c r="V206" s="1915"/>
      <c r="W206" s="1915"/>
      <c r="X206" s="1915"/>
      <c r="Y206" s="1915"/>
      <c r="Z206" s="1915"/>
      <c r="AA206" s="1915"/>
      <c r="AB206" s="1915"/>
      <c r="AC206" s="1915"/>
      <c r="AD206" s="1915"/>
      <c r="AE206" s="1915"/>
      <c r="AF206" s="1915">
        <v>11</v>
      </c>
    </row>
    <row customHeight="1" ht="11.549999999999999">
      <c r="A207" s="1274"/>
      <c r="B207" s="1915"/>
      <c r="D207" s="1915"/>
      <c r="K207" s="1915"/>
      <c r="N207" s="1915"/>
      <c r="O207" s="1915"/>
      <c r="P207" s="1915"/>
      <c r="Q207" s="1915"/>
      <c r="S207" s="1915"/>
      <c r="T207" s="1915"/>
      <c r="U207" s="1915"/>
      <c r="V207" s="1915"/>
      <c r="W207" s="1915"/>
      <c r="X207" s="1915"/>
      <c r="Y207" s="1915"/>
      <c r="Z207" s="1915"/>
      <c r="AA207" s="1915"/>
      <c r="AB207" s="1915"/>
      <c r="AC207" s="1915"/>
      <c r="AD207" s="1915"/>
      <c r="AE207" s="1915"/>
      <c r="AF207" s="1915">
        <v>11</v>
      </c>
    </row>
    <row customHeight="1" ht="11.549999999999999">
      <c r="A208" s="1274"/>
      <c r="B208" s="1915"/>
      <c r="D208" s="1915"/>
      <c r="K208" s="1915"/>
      <c r="N208" s="1915"/>
      <c r="O208" s="1915"/>
      <c r="P208" s="1915"/>
      <c r="Q208" s="1915"/>
      <c r="S208" s="1915"/>
      <c r="T208" s="1915"/>
      <c r="U208" s="1915"/>
      <c r="V208" s="1915"/>
      <c r="W208" s="1915"/>
      <c r="X208" s="1915"/>
      <c r="Y208" s="1915"/>
      <c r="Z208" s="1915"/>
      <c r="AA208" s="1915"/>
      <c r="AB208" s="1915"/>
      <c r="AC208" s="1915"/>
      <c r="AD208" s="1915"/>
      <c r="AE208" s="1915"/>
      <c r="AF208" s="1915">
        <v>11</v>
      </c>
    </row>
    <row customHeight="1" ht="11.549999999999999">
      <c r="A209" s="1274"/>
      <c r="B209" s="1915"/>
      <c r="D209" s="1915"/>
      <c r="K209" s="1915"/>
      <c r="N209" s="1915"/>
      <c r="O209" s="1915"/>
      <c r="P209" s="1915"/>
      <c r="Q209" s="1915"/>
      <c r="S209" s="1915"/>
      <c r="T209" s="1915"/>
      <c r="U209" s="1915"/>
      <c r="V209" s="1915"/>
      <c r="W209" s="1915"/>
      <c r="X209" s="1915"/>
      <c r="Y209" s="1915"/>
      <c r="Z209" s="1915"/>
      <c r="AA209" s="1915"/>
      <c r="AB209" s="1915"/>
      <c r="AC209" s="1915"/>
      <c r="AD209" s="1915"/>
      <c r="AE209" s="1915"/>
      <c r="AF209" s="1915">
        <v>11</v>
      </c>
    </row>
    <row customHeight="1" ht="11.549999999999999">
      <c r="A210" s="1274"/>
      <c r="B210" s="1915"/>
      <c r="D210" s="1915"/>
      <c r="K210" s="1915"/>
      <c r="N210" s="1915"/>
      <c r="O210" s="1915"/>
      <c r="P210" s="1915"/>
      <c r="Q210" s="1915"/>
      <c r="S210" s="1915"/>
      <c r="T210" s="1915"/>
      <c r="U210" s="1915"/>
      <c r="V210" s="1915"/>
      <c r="W210" s="1915"/>
      <c r="X210" s="1915"/>
      <c r="Y210" s="1915"/>
      <c r="Z210" s="1915"/>
      <c r="AA210" s="1915"/>
      <c r="AB210" s="1915"/>
      <c r="AC210" s="1915"/>
      <c r="AD210" s="1915"/>
      <c r="AE210" s="1915"/>
      <c r="AF210" s="1915">
        <v>11</v>
      </c>
    </row>
    <row customHeight="1" ht="11.549999999999999">
      <c r="A211" s="1274"/>
      <c r="B211" s="1915"/>
      <c r="D211" s="1915"/>
      <c r="K211" s="1915"/>
      <c r="N211" s="1915"/>
      <c r="O211" s="1915"/>
      <c r="P211" s="1915"/>
      <c r="Q211" s="1915"/>
      <c r="S211" s="1915"/>
      <c r="T211" s="1915"/>
      <c r="U211" s="1915"/>
      <c r="V211" s="1915"/>
      <c r="W211" s="1915"/>
      <c r="X211" s="1915"/>
      <c r="Y211" s="1915"/>
      <c r="Z211" s="1915"/>
      <c r="AA211" s="1915"/>
      <c r="AB211" s="1915"/>
      <c r="AC211" s="1915"/>
      <c r="AD211" s="1915"/>
      <c r="AE211" s="1915"/>
      <c r="AF211" s="1915">
        <v>11</v>
      </c>
    </row>
    <row customHeight="1" ht="11.549999999999999">
      <c r="A212" s="1274"/>
      <c r="B212" s="1915"/>
      <c r="D212" s="1915"/>
      <c r="K212" s="1915"/>
      <c r="N212" s="1915"/>
      <c r="O212" s="1915"/>
      <c r="P212" s="1915"/>
      <c r="Q212" s="1915"/>
      <c r="S212" s="1915"/>
      <c r="T212" s="1915"/>
      <c r="U212" s="1915"/>
      <c r="V212" s="1915"/>
      <c r="W212" s="1915"/>
      <c r="X212" s="1915"/>
      <c r="Y212" s="1915"/>
      <c r="Z212" s="1915"/>
      <c r="AA212" s="1915"/>
      <c r="AB212" s="1915"/>
      <c r="AC212" s="1915"/>
      <c r="AD212" s="1915"/>
      <c r="AE212" s="1915"/>
      <c r="AF212" s="1915">
        <v>11</v>
      </c>
    </row>
    <row customHeight="1" ht="11.549999999999999">
      <c r="A213" s="1274"/>
      <c r="B213" s="1915"/>
      <c r="D213" s="1915"/>
      <c r="K213" s="1915"/>
      <c r="N213" s="1915"/>
      <c r="O213" s="1915"/>
      <c r="P213" s="1915"/>
      <c r="Q213" s="1915"/>
      <c r="S213" s="1915"/>
      <c r="T213" s="1915"/>
      <c r="U213" s="1915"/>
      <c r="V213" s="1915"/>
      <c r="W213" s="1915"/>
      <c r="X213" s="1915"/>
      <c r="Y213" s="1915"/>
      <c r="Z213" s="1915"/>
      <c r="AA213" s="1915"/>
      <c r="AB213" s="1915"/>
      <c r="AC213" s="1915"/>
      <c r="AD213" s="1915"/>
      <c r="AE213" s="1915"/>
      <c r="AF213" s="1915">
        <v>11</v>
      </c>
    </row>
    <row customHeight="1" ht="11.549999999999999">
      <c r="A214" s="1274"/>
      <c r="B214" s="1915"/>
      <c r="D214" s="1915"/>
      <c r="K214" s="1915"/>
      <c r="N214" s="1915"/>
      <c r="O214" s="1915"/>
      <c r="P214" s="1915"/>
      <c r="Q214" s="1915"/>
      <c r="S214" s="1915"/>
      <c r="T214" s="1915"/>
      <c r="U214" s="1915"/>
      <c r="V214" s="1915"/>
      <c r="W214" s="1915"/>
      <c r="X214" s="1915"/>
      <c r="Y214" s="1915"/>
      <c r="Z214" s="1915"/>
      <c r="AA214" s="1915"/>
      <c r="AB214" s="1915"/>
      <c r="AC214" s="1915"/>
      <c r="AD214" s="1915"/>
      <c r="AE214" s="1915"/>
      <c r="AF214" s="1915">
        <v>11</v>
      </c>
    </row>
    <row customHeight="1" ht="11.549999999999999">
      <c r="A215" s="1274"/>
      <c r="B215" s="1915"/>
      <c r="D215" s="1915"/>
      <c r="K215" s="1915"/>
      <c r="N215" s="1915"/>
      <c r="O215" s="1915"/>
      <c r="P215" s="1915"/>
      <c r="Q215" s="1915"/>
      <c r="S215" s="1915"/>
      <c r="T215" s="1915"/>
      <c r="U215" s="1915"/>
      <c r="V215" s="1915"/>
      <c r="W215" s="1915"/>
      <c r="X215" s="1915"/>
      <c r="Y215" s="1915"/>
      <c r="Z215" s="1915"/>
      <c r="AA215" s="1915"/>
      <c r="AB215" s="1915"/>
      <c r="AC215" s="1915"/>
      <c r="AD215" s="1915"/>
      <c r="AE215" s="1915"/>
      <c r="AF215" s="1915">
        <v>11</v>
      </c>
    </row>
    <row customHeight="1" ht="11.549999999999999">
      <c r="A216" s="1274"/>
      <c r="B216" s="1915"/>
      <c r="D216" s="1915"/>
      <c r="K216" s="1915"/>
      <c r="N216" s="1915"/>
      <c r="O216" s="1915"/>
      <c r="P216" s="1915"/>
      <c r="Q216" s="1915"/>
      <c r="S216" s="1915"/>
      <c r="T216" s="1915"/>
      <c r="U216" s="1915"/>
      <c r="V216" s="1915"/>
      <c r="W216" s="1915"/>
      <c r="X216" s="1915"/>
      <c r="Y216" s="1915"/>
      <c r="Z216" s="1915"/>
      <c r="AA216" s="1915"/>
      <c r="AB216" s="1915"/>
      <c r="AC216" s="1915"/>
      <c r="AD216" s="1915"/>
      <c r="AE216" s="1915"/>
      <c r="AF216" s="1915">
        <v>11</v>
      </c>
    </row>
    <row customHeight="1" ht="11.25" hidden="1">
      <c r="A217" s="1271" t="s">
        <v>85</v>
      </c>
      <c r="B217" s="1444">
        <v>0</v>
      </c>
      <c r="C217" s="1920">
        <v>0</v>
      </c>
      <c r="D217" s="1919">
        <v>3</v>
      </c>
      <c r="E217" s="1915">
        <v>7</v>
      </c>
      <c r="F217" s="1915">
        <v>56</v>
      </c>
      <c r="G217" s="1915">
        <v>10</v>
      </c>
      <c r="H217" s="1915">
        <v>0</v>
      </c>
      <c r="I217" s="1915">
        <v>40</v>
      </c>
      <c r="J217" s="1915">
        <v>102</v>
      </c>
      <c r="K217" s="1444">
        <v>9</v>
      </c>
      <c r="L217" s="1920">
        <v>5</v>
      </c>
      <c r="M217" s="1920">
        <v>3</v>
      </c>
      <c r="N217" s="1444">
        <v>3</v>
      </c>
      <c r="O217" s="1444">
        <v>3</v>
      </c>
      <c r="P217" s="1444">
        <v>3</v>
      </c>
      <c r="Q217" s="1444">
        <v>3</v>
      </c>
      <c r="R217" s="1920">
        <v>10</v>
      </c>
      <c r="S217" s="1444">
        <v>34</v>
      </c>
      <c r="T217" s="1444">
        <v>9</v>
      </c>
      <c r="U217" s="828">
        <v>8</v>
      </c>
      <c r="V217" s="1444">
        <v>8</v>
      </c>
      <c r="W217" s="1444">
        <v>8</v>
      </c>
      <c r="X217" s="1444">
        <v>8</v>
      </c>
      <c r="Y217" s="1444">
        <v>8</v>
      </c>
      <c r="Z217" s="1444">
        <v>8</v>
      </c>
      <c r="AA217" s="1916">
        <v>8</v>
      </c>
      <c r="AB217" s="1916">
        <v>8</v>
      </c>
      <c r="AC217" s="1916">
        <v>8</v>
      </c>
      <c r="AD217" s="1916">
        <v>8</v>
      </c>
      <c r="AE217" s="1916">
        <v>8</v>
      </c>
      <c r="AF217" s="1915">
        <v>11</v>
      </c>
    </row>
  </sheetData>
  <sheetProtection sheet="1" formatColumns="0" formatRows="0" autoFilter="0" sort="1" insertRows="1" insertColumns="1" deleteRows="1" deleteColumns="1"/>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0C1939-6696-8711-2FA2-FE11CC0153FE}" mc:Ignorable="x14ac xr xr2 xr3">
  <sheetPr>
    <tabColor theme="9" tint="-0.25"/>
  </sheetPr>
  <dimension ref="A1:AF210"/>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37533" width="10.7109375" hidden="1" customWidth="1"/>
    <col min="2" max="2" style="30620" width="16.8515625" hidden="1" customWidth="1"/>
    <col min="3" max="3" style="30621" width="5.57421875" hidden="1" customWidth="1"/>
    <col min="4" max="4" style="30541" width="3.00390625" customWidth="1"/>
    <col min="5" max="5" style="30541" width="7.00390625" customWidth="1"/>
    <col min="6" max="6" style="30541" width="54.00390625" customWidth="1"/>
    <col min="7" max="7" style="30541" width="10.00390625" customWidth="1"/>
    <col min="8" max="8" style="30541" width="40.7109375" hidden="1" customWidth="1"/>
    <col min="9" max="9" style="30541" width="40.00390625" customWidth="1"/>
    <col min="10" max="10" style="30541" width="102.00390625" customWidth="1"/>
    <col min="11" max="11" style="30620" width="9.00390625" customWidth="1"/>
    <col min="12" max="12" style="30621" width="5.00390625" customWidth="1"/>
    <col min="13" max="13" style="30621" width="3.00390625" customWidth="1"/>
    <col min="14" max="17" style="30620" width="3.00390625" customWidth="1"/>
    <col min="18" max="18" style="30621" width="10.00390625" customWidth="1"/>
    <col min="19" max="19" style="30620" width="34.00390625" customWidth="1"/>
    <col min="20" max="20" style="30620" width="9.00390625" customWidth="1"/>
    <col min="21" max="21" style="37534" width="8.00390625" customWidth="1"/>
    <col min="22" max="26" style="30620" width="8.00390625" customWidth="1"/>
    <col min="27" max="31" style="30505" width="8.00390625" customWidth="1"/>
    <col min="32" max="32" style="30541" width="9.140625" hidden="1"/>
  </cols>
  <sheetData>
    <row s="30620" customFormat="1" customHeight="1" ht="22.5" hidden="1">
      <c r="A1" s="1271"/>
      <c r="C1" s="1920"/>
      <c r="D1" s="821"/>
      <c r="H1" s="1444">
        <v>4</v>
      </c>
      <c r="I1" s="1444">
        <v>4</v>
      </c>
      <c r="L1" s="1920"/>
      <c r="M1" s="1920"/>
      <c r="R1" s="1920"/>
      <c r="AF1" s="1444" t="s">
        <v>14</v>
      </c>
    </row>
    <row s="30620" customFormat="1" customHeight="1" ht="22.5" hidden="1">
      <c r="A2" s="1271"/>
      <c r="C2" s="1920"/>
      <c r="D2" s="822"/>
      <c r="E2" s="1942"/>
      <c r="F2" s="824"/>
      <c r="G2" s="1941" t="s">
        <v>624</v>
      </c>
      <c r="H2" s="825"/>
      <c r="I2" s="825"/>
      <c r="J2" s="826" t="s">
        <v>627</v>
      </c>
      <c r="K2" s="827"/>
      <c r="L2" s="1920"/>
      <c r="M2" s="1920"/>
      <c r="R2" s="1920"/>
      <c r="U2" s="828"/>
      <c r="AA2" s="1916"/>
      <c r="AB2" s="1916"/>
      <c r="AC2" s="1916"/>
      <c r="AD2" s="1916"/>
      <c r="AE2" s="1916"/>
      <c r="AF2" s="1444">
        <v>0</v>
      </c>
    </row>
    <row customHeight="1" ht="11.25" hidden="1">
      <c r="AF3" s="1915">
        <v>0</v>
      </c>
    </row>
    <row s="30505" customFormat="1" customHeight="1" ht="11.25" hidden="1">
      <c r="A4" s="1271"/>
      <c r="B4" s="1444"/>
      <c r="C4" s="1920"/>
      <c r="D4" s="646"/>
      <c r="J4" s="1916">
        <v>4</v>
      </c>
      <c r="K4" s="1444"/>
      <c r="L4" s="1920"/>
      <c r="M4" s="1920"/>
      <c r="N4" s="1444"/>
      <c r="O4" s="1444"/>
      <c r="P4" s="1444"/>
      <c r="Q4" s="1444"/>
      <c r="R4" s="1920"/>
      <c r="S4" s="1444"/>
      <c r="T4" s="1444"/>
      <c r="U4" s="828"/>
      <c r="V4" s="1444"/>
      <c r="W4" s="1444"/>
      <c r="X4" s="1444"/>
      <c r="Y4" s="1444"/>
      <c r="Z4" s="1444"/>
      <c r="AF4" s="1916">
        <v>0</v>
      </c>
    </row>
    <row customHeight="1" ht="11.549999999999999">
      <c r="AF5" s="1915">
        <v>11</v>
      </c>
    </row>
    <row customHeight="1" ht="33.75">
      <c r="E6" s="2532" t="s">
        <v>846</v>
      </c>
      <c r="F6" s="2532"/>
      <c r="G6" s="2532"/>
      <c r="H6" s="2532"/>
      <c r="I6" s="2532"/>
      <c r="J6" s="840"/>
      <c r="AF6" s="1915">
        <v>32</v>
      </c>
    </row>
    <row customHeight="1" ht="25.2">
      <c r="E7" s="2533" t="str">
        <f>IF(org=0,"Не определено",org)</f>
        <v>АО "ДГК"</v>
      </c>
      <c r="F7" s="2533"/>
      <c r="G7" s="2533"/>
      <c r="H7" s="2533"/>
      <c r="I7" s="2533"/>
      <c r="AF7" s="1915">
        <v>24</v>
      </c>
    </row>
    <row customHeight="1" ht="11.549999999999999">
      <c r="E8" s="1419"/>
      <c r="F8" s="1419"/>
      <c r="G8" s="1419"/>
      <c r="H8" s="1419"/>
      <c r="I8" s="1419"/>
      <c r="AF8" s="1915">
        <v>11</v>
      </c>
    </row>
    <row s="30621" customFormat="1" customHeight="1" ht="1.05">
      <c r="A9" s="1451"/>
      <c r="D9" s="1926"/>
      <c r="H9" s="1173"/>
      <c r="I9" s="1173" t="s">
        <v>147</v>
      </c>
      <c r="AF9" s="1920">
        <v>1</v>
      </c>
    </row>
    <row customHeight="1" ht="11.549999999999999">
      <c r="E10" s="995"/>
      <c r="F10" s="2651" t="s">
        <v>137</v>
      </c>
      <c r="G10" s="2652"/>
      <c r="H10" s="1943" t="str">
        <f>IF(H9="","",INDEX(DIFFERENTIATION_UNMERGE_VD,MATCH(H9,DIFFERENTIATION_ID_DIFF,0)))</f>
        <v/>
      </c>
      <c r="I10" s="1943">
        <f>IF(I9="","",INDEX(DIFFERENTIATION_UNMERGE_VD,MATCH(I9,DIFFERENTIATION_ID_DIFF,0)))</f>
        <v>0</v>
      </c>
      <c r="J10" s="2411"/>
      <c r="AF10" s="1915">
        <v>11</v>
      </c>
    </row>
    <row customHeight="1" ht="11.549999999999999">
      <c r="E11" s="995"/>
      <c r="F11" s="2651" t="s">
        <v>636</v>
      </c>
      <c r="G11" s="2652"/>
      <c r="H11" s="1943" t="str">
        <f>IF(H9="","",INDEX(DIFFERENTIATION_UNMERGE_AREA,MATCH(H9,DIFFERENTIATION_ID_DIFF,0)))</f>
        <v/>
      </c>
      <c r="I11" s="1943" t="str">
        <f>IF(I9="","",INDEX(DIFFERENTIATION_UNMERGE_AREA,MATCH(I9,DIFFERENTIATION_ID_DIFF,0)))</f>
        <v/>
      </c>
      <c r="J11" s="2411"/>
      <c r="AF11" s="1915">
        <v>11</v>
      </c>
    </row>
    <row customHeight="1" ht="11.25" hidden="1">
      <c r="E12" s="1946"/>
      <c r="F12" s="2674" t="s">
        <v>637</v>
      </c>
      <c r="G12" s="2675"/>
      <c r="H12" s="1947" t="str">
        <f>IF(H9="","",INDEX(DIFFERENTIATION_UNMERGE_SYSTEM,MATCH(H9,DIFFERENTIATION_ID_DIFF,0)))</f>
        <v/>
      </c>
      <c r="I12" s="1947" t="str">
        <f>IF(I9="","",INDEX(DIFFERENTIATION_UNMERGE_SYSTEM,MATCH(I9,DIFFERENTIATION_ID_DIFF,0)))</f>
        <v>без дифференциации</v>
      </c>
      <c r="J12" s="2411"/>
      <c r="AF12" s="1915">
        <v>0</v>
      </c>
    </row>
    <row customHeight="1" ht="11.549999999999999">
      <c r="E13" s="2653" t="s">
        <v>360</v>
      </c>
      <c r="F13" s="2654"/>
      <c r="G13" s="2654"/>
      <c r="H13" s="1940"/>
      <c r="I13" s="1940"/>
      <c r="J13" s="2411"/>
      <c r="AF13" s="1915">
        <v>11</v>
      </c>
    </row>
    <row customHeight="1" ht="24">
      <c r="E14" s="1941" t="s">
        <v>91</v>
      </c>
      <c r="F14" s="1944" t="s">
        <v>362</v>
      </c>
      <c r="G14" s="1944" t="s">
        <v>638</v>
      </c>
      <c r="H14" s="1944" t="s">
        <v>363</v>
      </c>
      <c r="I14" s="1944" t="s">
        <v>363</v>
      </c>
      <c r="J14" s="2411"/>
      <c r="AF14" s="1915">
        <v>23</v>
      </c>
    </row>
    <row customHeight="1" ht="19.95">
      <c r="D15" s="1922"/>
      <c r="E15" s="1914" t="s">
        <v>141</v>
      </c>
      <c r="F15" s="991" t="s">
        <v>847</v>
      </c>
      <c r="G15" s="1941" t="s">
        <v>624</v>
      </c>
      <c r="H15" s="841"/>
      <c r="I15" s="841"/>
      <c r="J15" s="573" t="s">
        <v>848</v>
      </c>
      <c r="K15" s="827" t="s">
        <v>702</v>
      </c>
      <c r="AF15" s="1915">
        <v>19</v>
      </c>
    </row>
    <row customHeight="1" ht="24">
      <c r="D16" s="1922"/>
      <c r="E16" s="1914" t="s">
        <v>105</v>
      </c>
      <c r="F16" s="1949" t="s">
        <v>849</v>
      </c>
      <c r="G16" s="1941" t="s">
        <v>624</v>
      </c>
      <c r="H16" s="842">
        <f>SUM(H17,H20:H27)</f>
        <v>0</v>
      </c>
      <c r="I16" s="842">
        <f>SUM(I17,I20:I27)</f>
        <v>0</v>
      </c>
      <c r="J16" s="573" t="s">
        <v>850</v>
      </c>
      <c r="K16" s="827" t="s">
        <v>702</v>
      </c>
      <c r="AF16" s="1915">
        <v>23</v>
      </c>
    </row>
    <row customHeight="1" ht="35.699999999999996">
      <c r="D17" s="1922"/>
      <c r="E17" s="1948" t="s">
        <v>780</v>
      </c>
      <c r="F17" s="1951" t="s">
        <v>851</v>
      </c>
      <c r="G17" s="1938" t="s">
        <v>624</v>
      </c>
      <c r="H17" s="841"/>
      <c r="I17" s="841"/>
      <c r="J17" s="573" t="s">
        <v>852</v>
      </c>
      <c r="K17" s="827"/>
      <c r="AF17" s="1915">
        <v>34</v>
      </c>
    </row>
    <row customHeight="1" ht="19.95">
      <c r="D18" s="1922"/>
      <c r="E18" s="1948" t="s">
        <v>783</v>
      </c>
      <c r="F18" s="1952" t="s">
        <v>853</v>
      </c>
      <c r="G18" s="1938" t="s">
        <v>624</v>
      </c>
      <c r="H18" s="841"/>
      <c r="I18" s="841"/>
      <c r="J18" s="573"/>
      <c r="K18" s="827"/>
      <c r="AF18" s="1915">
        <v>19</v>
      </c>
    </row>
    <row customHeight="1" ht="24">
      <c r="D19" s="1922"/>
      <c r="E19" s="1948" t="s">
        <v>786</v>
      </c>
      <c r="F19" s="1952" t="s">
        <v>854</v>
      </c>
      <c r="G19" s="1938" t="s">
        <v>624</v>
      </c>
      <c r="H19" s="841"/>
      <c r="I19" s="841"/>
      <c r="J19" s="573"/>
      <c r="K19" s="827"/>
      <c r="AF19" s="1915">
        <v>23</v>
      </c>
    </row>
    <row customHeight="1" ht="35.699999999999996">
      <c r="D20" s="1922"/>
      <c r="E20" s="1948" t="s">
        <v>367</v>
      </c>
      <c r="F20" s="1951" t="s">
        <v>855</v>
      </c>
      <c r="G20" s="1938" t="s">
        <v>624</v>
      </c>
      <c r="H20" s="841"/>
      <c r="I20" s="841"/>
      <c r="J20" s="573"/>
      <c r="K20" s="827"/>
      <c r="AF20" s="1915">
        <v>34</v>
      </c>
    </row>
    <row customHeight="1" ht="48.29999999999999">
      <c r="D21" s="1922"/>
      <c r="E21" s="1948" t="s">
        <v>370</v>
      </c>
      <c r="F21" s="1951" t="s">
        <v>856</v>
      </c>
      <c r="G21" s="1938" t="s">
        <v>624</v>
      </c>
      <c r="H21" s="841"/>
      <c r="I21" s="841"/>
      <c r="J21" s="573"/>
      <c r="K21" s="827"/>
      <c r="AF21" s="1915">
        <v>46</v>
      </c>
    </row>
    <row customHeight="1" ht="60">
      <c r="D22" s="1922"/>
      <c r="E22" s="1948" t="s">
        <v>800</v>
      </c>
      <c r="F22" s="1951" t="s">
        <v>857</v>
      </c>
      <c r="G22" s="1938" t="s">
        <v>624</v>
      </c>
      <c r="H22" s="841"/>
      <c r="I22" s="841"/>
      <c r="J22" s="573"/>
      <c r="K22" s="827"/>
      <c r="AF22" s="1915">
        <v>57</v>
      </c>
    </row>
    <row customHeight="1" ht="35.699999999999996">
      <c r="D23" s="1922"/>
      <c r="E23" s="1948" t="s">
        <v>807</v>
      </c>
      <c r="F23" s="1951" t="s">
        <v>858</v>
      </c>
      <c r="G23" s="1938" t="s">
        <v>624</v>
      </c>
      <c r="H23" s="841"/>
      <c r="I23" s="841"/>
      <c r="J23" s="573"/>
      <c r="K23" s="827"/>
      <c r="AF23" s="1915">
        <v>34</v>
      </c>
    </row>
    <row customHeight="1" ht="35.699999999999996">
      <c r="D24" s="1922"/>
      <c r="E24" s="1948" t="s">
        <v>809</v>
      </c>
      <c r="F24" s="1951" t="s">
        <v>859</v>
      </c>
      <c r="G24" s="1938" t="s">
        <v>624</v>
      </c>
      <c r="H24" s="841"/>
      <c r="I24" s="841"/>
      <c r="J24" s="573"/>
      <c r="K24" s="827"/>
      <c r="AF24" s="1915">
        <v>34</v>
      </c>
    </row>
    <row customHeight="1" ht="24">
      <c r="D25" s="1922"/>
      <c r="E25" s="1948" t="s">
        <v>811</v>
      </c>
      <c r="F25" s="1951" t="s">
        <v>860</v>
      </c>
      <c r="G25" s="1938" t="s">
        <v>624</v>
      </c>
      <c r="H25" s="841"/>
      <c r="I25" s="841"/>
      <c r="J25" s="573"/>
      <c r="K25" s="827"/>
      <c r="AF25" s="1915">
        <v>23</v>
      </c>
    </row>
    <row customHeight="1" ht="76.5">
      <c r="D26" s="1922"/>
      <c r="E26" s="1948" t="s">
        <v>813</v>
      </c>
      <c r="F26" s="1951" t="s">
        <v>861</v>
      </c>
      <c r="G26" s="1938" t="s">
        <v>624</v>
      </c>
      <c r="H26" s="841"/>
      <c r="I26" s="841"/>
      <c r="J26" s="573"/>
      <c r="K26" s="827"/>
      <c r="AF26" s="1915">
        <v>73</v>
      </c>
    </row>
    <row s="30620" customFormat="1" customHeight="1" ht="35.699999999999996">
      <c r="A27" s="1271"/>
      <c r="C27" s="1920"/>
      <c r="D27" s="1922"/>
      <c r="E27" s="1913" t="s">
        <v>817</v>
      </c>
      <c r="F27" s="1912" t="s">
        <v>862</v>
      </c>
      <c r="G27" s="1939" t="s">
        <v>624</v>
      </c>
      <c r="H27" s="863">
        <f>SUM(H28:H29)</f>
        <v>0</v>
      </c>
      <c r="I27" s="863">
        <f>SUM(I28:I29)</f>
        <v>0</v>
      </c>
      <c r="J27" s="573" t="s">
        <v>815</v>
      </c>
      <c r="K27" s="827"/>
      <c r="L27" s="1920"/>
      <c r="M27" s="1920"/>
      <c r="R27" s="1920"/>
      <c r="U27" s="828"/>
      <c r="AA27" s="1916"/>
      <c r="AB27" s="1916"/>
      <c r="AC27" s="1916"/>
      <c r="AD27" s="1916"/>
      <c r="AE27" s="1916"/>
      <c r="AF27" s="1444">
        <v>34</v>
      </c>
    </row>
    <row s="30621" customFormat="1" customHeight="1" ht="1.05">
      <c r="A28" s="1451"/>
      <c r="D28" s="832"/>
      <c r="E28" s="1086" t="str">
        <f>E27&amp;".0"</f>
        <v>2.9.0</v>
      </c>
      <c r="F28" s="1275"/>
      <c r="G28" s="835"/>
      <c r="H28" s="1276"/>
      <c r="I28" s="1276"/>
      <c r="J28" s="1277"/>
      <c r="AF28" s="1920">
        <v>1</v>
      </c>
    </row>
    <row s="30620" customFormat="1" customHeight="1" ht="19.95">
      <c r="A29" s="1271"/>
      <c r="C29" s="1920"/>
      <c r="D29" s="1917"/>
      <c r="E29" s="854"/>
      <c r="F29" s="1950" t="s">
        <v>649</v>
      </c>
      <c r="G29" s="856"/>
      <c r="H29" s="857"/>
      <c r="I29" s="857"/>
      <c r="J29" s="585" t="s">
        <v>816</v>
      </c>
      <c r="K29" s="827"/>
      <c r="L29" s="1920"/>
      <c r="M29" s="1920"/>
      <c r="R29" s="1920"/>
      <c r="U29" s="828"/>
      <c r="AA29" s="1916"/>
      <c r="AB29" s="1916"/>
      <c r="AC29" s="1916"/>
      <c r="AD29" s="1916"/>
      <c r="AE29" s="1916"/>
      <c r="AF29" s="1444">
        <v>19</v>
      </c>
    </row>
    <row s="30620" customFormat="1" customHeight="1" ht="24">
      <c r="A30" s="1271"/>
      <c r="C30" s="1920"/>
      <c r="D30" s="1922"/>
      <c r="E30" s="1948" t="s">
        <v>93</v>
      </c>
      <c r="F30" s="1945" t="s">
        <v>863</v>
      </c>
      <c r="G30" s="1938" t="s">
        <v>624</v>
      </c>
      <c r="H30" s="841"/>
      <c r="I30" s="841"/>
      <c r="J30" s="573"/>
      <c r="K30" s="827"/>
      <c r="L30" s="1920"/>
      <c r="M30" s="1920"/>
      <c r="R30" s="1920"/>
      <c r="U30" s="828"/>
      <c r="AA30" s="1916"/>
      <c r="AB30" s="1916"/>
      <c r="AC30" s="1916"/>
      <c r="AD30" s="1916"/>
      <c r="AE30" s="1916"/>
      <c r="AF30" s="1444">
        <v>23</v>
      </c>
    </row>
    <row s="30620" customFormat="1" customHeight="1" ht="35.699999999999996">
      <c r="A31" s="1271"/>
      <c r="C31" s="1920"/>
      <c r="D31" s="859"/>
      <c r="E31" s="1948" t="s">
        <v>94</v>
      </c>
      <c r="F31" s="1945" t="s">
        <v>864</v>
      </c>
      <c r="G31" s="1938" t="s">
        <v>624</v>
      </c>
      <c r="H31" s="841"/>
      <c r="I31" s="841"/>
      <c r="J31" s="573" t="s">
        <v>865</v>
      </c>
      <c r="K31" s="827"/>
      <c r="L31" s="1920"/>
      <c r="M31" s="1920"/>
      <c r="R31" s="1920"/>
      <c r="U31" s="828"/>
      <c r="AA31" s="1916"/>
      <c r="AB31" s="1916"/>
      <c r="AC31" s="1916"/>
      <c r="AD31" s="1916"/>
      <c r="AE31" s="1916"/>
      <c r="AF31" s="1444">
        <v>34</v>
      </c>
    </row>
    <row s="30620" customFormat="1" customHeight="1" ht="24">
      <c r="A32" s="1271"/>
      <c r="C32" s="1920"/>
      <c r="D32" s="1922"/>
      <c r="E32" s="1948" t="s">
        <v>825</v>
      </c>
      <c r="F32" s="974" t="s">
        <v>829</v>
      </c>
      <c r="G32" s="1938" t="s">
        <v>624</v>
      </c>
      <c r="H32" s="841"/>
      <c r="I32" s="841"/>
      <c r="J32" s="573" t="s">
        <v>866</v>
      </c>
      <c r="K32" s="827"/>
      <c r="L32" s="1920"/>
      <c r="M32" s="1920"/>
      <c r="R32" s="1920"/>
      <c r="U32" s="828"/>
      <c r="AA32" s="1916"/>
      <c r="AB32" s="1916"/>
      <c r="AC32" s="1916"/>
      <c r="AD32" s="1916"/>
      <c r="AE32" s="1916"/>
      <c r="AF32" s="1444">
        <v>23</v>
      </c>
    </row>
    <row s="30620" customFormat="1" customHeight="1" ht="24">
      <c r="A33" s="1271"/>
      <c r="C33" s="1920"/>
      <c r="D33" s="1922"/>
      <c r="E33" s="1948" t="s">
        <v>867</v>
      </c>
      <c r="F33" s="974" t="s">
        <v>868</v>
      </c>
      <c r="G33" s="1938" t="s">
        <v>624</v>
      </c>
      <c r="H33" s="841"/>
      <c r="I33" s="841"/>
      <c r="J33" s="573" t="s">
        <v>869</v>
      </c>
      <c r="K33" s="827"/>
      <c r="L33" s="1920"/>
      <c r="M33" s="1920"/>
      <c r="R33" s="1920"/>
      <c r="U33" s="828"/>
      <c r="AA33" s="1916"/>
      <c r="AB33" s="1916"/>
      <c r="AC33" s="1916"/>
      <c r="AD33" s="1916"/>
      <c r="AE33" s="1916"/>
      <c r="AF33" s="1444">
        <v>23</v>
      </c>
    </row>
    <row s="30620" customFormat="1" customHeight="1" ht="24">
      <c r="A34" s="1271"/>
      <c r="C34" s="1920"/>
      <c r="D34" s="1922"/>
      <c r="E34" s="1948" t="s">
        <v>870</v>
      </c>
      <c r="F34" s="974" t="s">
        <v>835</v>
      </c>
      <c r="G34" s="1938" t="s">
        <v>624</v>
      </c>
      <c r="H34" s="841"/>
      <c r="I34" s="841"/>
      <c r="J34" s="573" t="s">
        <v>871</v>
      </c>
      <c r="K34" s="827"/>
      <c r="L34" s="1920"/>
      <c r="M34" s="1920"/>
      <c r="R34" s="1920"/>
      <c r="U34" s="828"/>
      <c r="AA34" s="1916"/>
      <c r="AB34" s="1916"/>
      <c r="AC34" s="1916"/>
      <c r="AD34" s="1916"/>
      <c r="AE34" s="1916"/>
      <c r="AF34" s="1444">
        <v>23</v>
      </c>
    </row>
    <row s="30620" customFormat="1" customHeight="1" ht="35.699999999999996">
      <c r="A35" s="1271"/>
      <c r="C35" s="1920" t="s">
        <v>660</v>
      </c>
      <c r="D35" s="1922"/>
      <c r="E35" s="1948" t="s">
        <v>124</v>
      </c>
      <c r="F35" s="1945" t="s">
        <v>701</v>
      </c>
      <c r="G35" s="1941" t="s">
        <v>366</v>
      </c>
      <c r="H35" s="685"/>
      <c r="I35" s="685"/>
      <c r="J35" s="573" t="s">
        <v>872</v>
      </c>
      <c r="K35" s="827"/>
      <c r="L35" s="1920"/>
      <c r="M35" s="1920"/>
      <c r="R35" s="1920"/>
      <c r="U35" s="828"/>
      <c r="AA35" s="1916"/>
      <c r="AB35" s="1916"/>
      <c r="AC35" s="1916"/>
      <c r="AD35" s="1916"/>
      <c r="AE35" s="1916"/>
      <c r="AF35" s="1444">
        <v>34</v>
      </c>
    </row>
    <row s="30620" customFormat="1" customHeight="1" ht="35.699999999999996">
      <c r="A36" s="1271"/>
      <c r="C36" s="1920"/>
      <c r="D36" s="1922"/>
      <c r="E36" s="1948" t="s">
        <v>95</v>
      </c>
      <c r="F36" s="1945" t="s">
        <v>873</v>
      </c>
      <c r="G36" s="1938" t="s">
        <v>840</v>
      </c>
      <c r="H36" s="829"/>
      <c r="I36" s="829"/>
      <c r="J36" s="573" t="s">
        <v>841</v>
      </c>
      <c r="K36" s="827"/>
      <c r="L36" s="1920"/>
      <c r="M36" s="1920"/>
      <c r="R36" s="1920"/>
      <c r="U36" s="828"/>
      <c r="AA36" s="1916"/>
      <c r="AB36" s="1916"/>
      <c r="AC36" s="1916"/>
      <c r="AD36" s="1916"/>
      <c r="AE36" s="1916"/>
      <c r="AF36" s="1444">
        <v>34</v>
      </c>
    </row>
    <row s="30620" customFormat="1" customHeight="1" ht="24">
      <c r="A37" s="1271"/>
      <c r="C37" s="1920"/>
      <c r="D37" s="1922"/>
      <c r="E37" s="1948" t="s">
        <v>96</v>
      </c>
      <c r="F37" s="1945" t="s">
        <v>874</v>
      </c>
      <c r="G37" s="1938" t="s">
        <v>843</v>
      </c>
      <c r="H37" s="829"/>
      <c r="I37" s="829"/>
      <c r="J37" s="573" t="s">
        <v>844</v>
      </c>
      <c r="K37" s="827"/>
      <c r="L37" s="1920"/>
      <c r="M37" s="1920"/>
      <c r="R37" s="1920"/>
      <c r="U37" s="828"/>
      <c r="AA37" s="1916"/>
      <c r="AB37" s="1916"/>
      <c r="AC37" s="1916"/>
      <c r="AD37" s="1916"/>
      <c r="AE37" s="1916"/>
      <c r="AF37" s="1444">
        <v>23</v>
      </c>
    </row>
    <row customHeight="1" ht="11.549999999999999">
      <c r="D38" s="1922"/>
      <c r="AF38" s="1915">
        <v>11</v>
      </c>
    </row>
    <row customHeight="1" ht="27.299999999999997">
      <c r="D39" s="1922"/>
      <c r="E39" s="1537" t="s">
        <v>875</v>
      </c>
      <c r="F39" s="2569" t="s">
        <v>876</v>
      </c>
      <c r="G39" s="2569"/>
      <c r="H39" s="653"/>
      <c r="I39" s="653"/>
      <c r="J39" s="653"/>
      <c r="AF39" s="1915">
        <v>26</v>
      </c>
    </row>
    <row s="31261" customFormat="1" customHeight="1" ht="39.75">
      <c r="A40" s="1271"/>
      <c r="B40" s="1920"/>
      <c r="C40" s="1920"/>
      <c r="D40" s="635"/>
      <c r="F40" s="2569" t="s">
        <v>877</v>
      </c>
      <c r="G40" s="2569"/>
      <c r="H40" s="653"/>
      <c r="I40" s="653"/>
      <c r="J40" s="653"/>
      <c r="K40" s="1444"/>
      <c r="L40" s="1920"/>
      <c r="M40" s="1920"/>
      <c r="N40" s="1444"/>
      <c r="O40" s="1444"/>
      <c r="P40" s="1444"/>
      <c r="Q40" s="1444"/>
      <c r="R40" s="1920"/>
      <c r="S40" s="1444"/>
      <c r="T40" s="1444"/>
      <c r="U40" s="828"/>
      <c r="V40" s="1444"/>
      <c r="W40" s="1444"/>
      <c r="X40" s="1444"/>
      <c r="Y40" s="1444"/>
      <c r="Z40" s="1444"/>
      <c r="AA40" s="1916"/>
      <c r="AB40" s="850"/>
      <c r="AC40" s="850"/>
      <c r="AD40" s="850"/>
      <c r="AE40" s="850"/>
      <c r="AF40" s="1925">
        <v>38</v>
      </c>
    </row>
    <row s="31261" customFormat="1" customHeight="1" ht="11.549999999999999">
      <c r="A41" s="1271"/>
      <c r="B41" s="1920"/>
      <c r="C41" s="1920"/>
      <c r="D41" s="635"/>
      <c r="K41" s="1444"/>
      <c r="L41" s="1920"/>
      <c r="M41" s="1920"/>
      <c r="N41" s="1444"/>
      <c r="O41" s="1444"/>
      <c r="P41" s="1444"/>
      <c r="Q41" s="1444"/>
      <c r="R41" s="1920"/>
      <c r="S41" s="1444"/>
      <c r="T41" s="1444"/>
      <c r="U41" s="828"/>
      <c r="V41" s="1444"/>
      <c r="W41" s="1444"/>
      <c r="X41" s="1444"/>
      <c r="Y41" s="1444"/>
      <c r="Z41" s="1444"/>
      <c r="AA41" s="1916"/>
      <c r="AB41" s="850"/>
      <c r="AC41" s="850"/>
      <c r="AD41" s="850"/>
      <c r="AE41" s="850"/>
      <c r="AF41" s="1925">
        <v>11</v>
      </c>
    </row>
    <row s="31261" customFormat="1" customHeight="1" ht="11.549999999999999">
      <c r="A42" s="1271"/>
      <c r="B42" s="1920"/>
      <c r="C42" s="1920"/>
      <c r="D42" s="635"/>
      <c r="K42" s="1444"/>
      <c r="L42" s="1920"/>
      <c r="M42" s="1920"/>
      <c r="N42" s="1444"/>
      <c r="O42" s="1444"/>
      <c r="P42" s="1444"/>
      <c r="Q42" s="1444"/>
      <c r="R42" s="1920"/>
      <c r="S42" s="1444"/>
      <c r="T42" s="1444"/>
      <c r="U42" s="828"/>
      <c r="V42" s="1444"/>
      <c r="W42" s="1444"/>
      <c r="X42" s="1444"/>
      <c r="Y42" s="1444"/>
      <c r="Z42" s="1444"/>
      <c r="AA42" s="1916"/>
      <c r="AB42" s="850"/>
      <c r="AC42" s="850"/>
      <c r="AD42" s="850"/>
      <c r="AE42" s="850"/>
      <c r="AF42" s="1925">
        <v>11</v>
      </c>
    </row>
    <row s="31261" customFormat="1" customHeight="1" ht="11.549999999999999">
      <c r="A43" s="1271"/>
      <c r="B43" s="1920"/>
      <c r="C43" s="1920"/>
      <c r="D43" s="635"/>
      <c r="H43" s="850"/>
      <c r="I43" s="850"/>
      <c r="K43" s="1444"/>
      <c r="L43" s="1920"/>
      <c r="M43" s="1920"/>
      <c r="N43" s="1444"/>
      <c r="O43" s="1444"/>
      <c r="P43" s="1444"/>
      <c r="Q43" s="1444"/>
      <c r="R43" s="1920"/>
      <c r="S43" s="1444"/>
      <c r="T43" s="1444"/>
      <c r="U43" s="828"/>
      <c r="V43" s="1444"/>
      <c r="W43" s="1444"/>
      <c r="X43" s="1444"/>
      <c r="Y43" s="1444"/>
      <c r="Z43" s="1444"/>
      <c r="AA43" s="1916"/>
      <c r="AB43" s="850"/>
      <c r="AC43" s="850"/>
      <c r="AD43" s="850"/>
      <c r="AE43" s="850"/>
      <c r="AF43" s="1925">
        <v>11</v>
      </c>
    </row>
    <row s="31261" customFormat="1" customHeight="1" ht="11.549999999999999">
      <c r="A44" s="1271"/>
      <c r="B44" s="1920"/>
      <c r="C44" s="1920"/>
      <c r="D44" s="635"/>
      <c r="K44" s="1444"/>
      <c r="L44" s="1920"/>
      <c r="M44" s="1920"/>
      <c r="N44" s="1444"/>
      <c r="O44" s="1444"/>
      <c r="P44" s="1444"/>
      <c r="Q44" s="1444"/>
      <c r="R44" s="1920"/>
      <c r="S44" s="1444"/>
      <c r="T44" s="1444"/>
      <c r="U44" s="828"/>
      <c r="V44" s="1444"/>
      <c r="W44" s="1444"/>
      <c r="X44" s="1444"/>
      <c r="Y44" s="1444"/>
      <c r="Z44" s="1444"/>
      <c r="AA44" s="1916"/>
      <c r="AB44" s="850"/>
      <c r="AC44" s="850"/>
      <c r="AD44" s="850"/>
      <c r="AE44" s="850"/>
      <c r="AF44" s="1925">
        <v>11</v>
      </c>
    </row>
    <row s="31261" customFormat="1" customHeight="1" ht="11.549999999999999">
      <c r="A45" s="1271"/>
      <c r="B45" s="1920"/>
      <c r="C45" s="1920"/>
      <c r="D45" s="635"/>
      <c r="K45" s="1444"/>
      <c r="L45" s="1920"/>
      <c r="M45" s="1920"/>
      <c r="N45" s="1444"/>
      <c r="O45" s="1444"/>
      <c r="P45" s="1444"/>
      <c r="Q45" s="1444"/>
      <c r="R45" s="1920"/>
      <c r="S45" s="1444"/>
      <c r="T45" s="1444"/>
      <c r="U45" s="828"/>
      <c r="V45" s="1444"/>
      <c r="W45" s="1444"/>
      <c r="X45" s="1444"/>
      <c r="Y45" s="1444"/>
      <c r="Z45" s="1444"/>
      <c r="AA45" s="1916"/>
      <c r="AB45" s="850"/>
      <c r="AC45" s="850"/>
      <c r="AD45" s="850"/>
      <c r="AE45" s="850"/>
      <c r="AF45" s="1925">
        <v>11</v>
      </c>
    </row>
    <row s="31261" customFormat="1" customHeight="1" ht="11.549999999999999">
      <c r="A46" s="1271"/>
      <c r="B46" s="1920"/>
      <c r="C46" s="1920"/>
      <c r="D46" s="635"/>
      <c r="K46" s="1444"/>
      <c r="L46" s="1920"/>
      <c r="M46" s="1920"/>
      <c r="N46" s="1444"/>
      <c r="O46" s="1444"/>
      <c r="P46" s="1444"/>
      <c r="Q46" s="1444"/>
      <c r="R46" s="1920"/>
      <c r="S46" s="1444"/>
      <c r="T46" s="1444"/>
      <c r="U46" s="828"/>
      <c r="V46" s="1444"/>
      <c r="W46" s="1444"/>
      <c r="X46" s="1444"/>
      <c r="Y46" s="1444"/>
      <c r="Z46" s="1444"/>
      <c r="AA46" s="1916"/>
      <c r="AB46" s="850"/>
      <c r="AC46" s="850"/>
      <c r="AD46" s="850"/>
      <c r="AE46" s="850"/>
      <c r="AF46" s="1925">
        <v>11</v>
      </c>
    </row>
    <row s="31261" customFormat="1" customHeight="1" ht="11.549999999999999">
      <c r="A47" s="1271"/>
      <c r="B47" s="1920"/>
      <c r="C47" s="1920"/>
      <c r="D47" s="635"/>
      <c r="K47" s="1444"/>
      <c r="L47" s="1920"/>
      <c r="M47" s="1920"/>
      <c r="N47" s="1444"/>
      <c r="O47" s="1444"/>
      <c r="P47" s="1444"/>
      <c r="Q47" s="1444"/>
      <c r="R47" s="1920"/>
      <c r="S47" s="1444"/>
      <c r="T47" s="1444"/>
      <c r="U47" s="828"/>
      <c r="V47" s="1444"/>
      <c r="W47" s="1444"/>
      <c r="X47" s="1444"/>
      <c r="Y47" s="1444"/>
      <c r="Z47" s="1444"/>
      <c r="AA47" s="1916"/>
      <c r="AB47" s="850"/>
      <c r="AC47" s="850"/>
      <c r="AD47" s="850"/>
      <c r="AE47" s="850"/>
      <c r="AF47" s="1925">
        <v>11</v>
      </c>
    </row>
    <row s="31261" customFormat="1" customHeight="1" ht="11.549999999999999">
      <c r="A48" s="1271"/>
      <c r="B48" s="1920"/>
      <c r="C48" s="1920"/>
      <c r="D48" s="635"/>
      <c r="K48" s="1444"/>
      <c r="L48" s="1920"/>
      <c r="M48" s="1920"/>
      <c r="N48" s="1444"/>
      <c r="O48" s="1444"/>
      <c r="P48" s="1444"/>
      <c r="Q48" s="1444"/>
      <c r="R48" s="1920"/>
      <c r="S48" s="1444"/>
      <c r="T48" s="1444"/>
      <c r="U48" s="828"/>
      <c r="V48" s="1444"/>
      <c r="W48" s="1444"/>
      <c r="X48" s="1444"/>
      <c r="Y48" s="1444"/>
      <c r="Z48" s="1444"/>
      <c r="AA48" s="1916"/>
      <c r="AB48" s="850"/>
      <c r="AC48" s="850"/>
      <c r="AD48" s="850"/>
      <c r="AE48" s="850"/>
      <c r="AF48" s="1925">
        <v>11</v>
      </c>
    </row>
    <row s="31261" customFormat="1" customHeight="1" ht="11.549999999999999">
      <c r="A49" s="1271"/>
      <c r="B49" s="1920"/>
      <c r="C49" s="1920"/>
      <c r="D49" s="635"/>
      <c r="K49" s="1444"/>
      <c r="L49" s="1920"/>
      <c r="M49" s="1920"/>
      <c r="N49" s="1444"/>
      <c r="O49" s="1444"/>
      <c r="P49" s="1444"/>
      <c r="Q49" s="1444"/>
      <c r="R49" s="1920"/>
      <c r="S49" s="1444"/>
      <c r="T49" s="1444"/>
      <c r="U49" s="828"/>
      <c r="V49" s="1444"/>
      <c r="W49" s="1444"/>
      <c r="X49" s="1444"/>
      <c r="Y49" s="1444"/>
      <c r="Z49" s="1444"/>
      <c r="AA49" s="1916"/>
      <c r="AB49" s="850"/>
      <c r="AC49" s="850"/>
      <c r="AD49" s="850"/>
      <c r="AE49" s="850"/>
      <c r="AF49" s="1925">
        <v>11</v>
      </c>
    </row>
    <row s="31261" customFormat="1" customHeight="1" ht="11.549999999999999">
      <c r="A50" s="1271"/>
      <c r="B50" s="1920"/>
      <c r="C50" s="1920"/>
      <c r="D50" s="635"/>
      <c r="K50" s="1444"/>
      <c r="L50" s="1920"/>
      <c r="M50" s="1920"/>
      <c r="N50" s="1444"/>
      <c r="O50" s="1444"/>
      <c r="P50" s="1444"/>
      <c r="Q50" s="1444"/>
      <c r="R50" s="1920"/>
      <c r="S50" s="1444"/>
      <c r="T50" s="1444"/>
      <c r="U50" s="828"/>
      <c r="V50" s="1444"/>
      <c r="W50" s="1444"/>
      <c r="X50" s="1444"/>
      <c r="Y50" s="1444"/>
      <c r="Z50" s="1444"/>
      <c r="AA50" s="1916"/>
      <c r="AB50" s="850"/>
      <c r="AC50" s="850"/>
      <c r="AD50" s="850"/>
      <c r="AE50" s="850"/>
      <c r="AF50" s="1925">
        <v>11</v>
      </c>
    </row>
    <row s="31261" customFormat="1" customHeight="1" ht="11.549999999999999">
      <c r="A51" s="1271"/>
      <c r="B51" s="1920"/>
      <c r="C51" s="1920"/>
      <c r="D51" s="635"/>
      <c r="K51" s="1444"/>
      <c r="L51" s="1920"/>
      <c r="M51" s="1920"/>
      <c r="N51" s="1444"/>
      <c r="O51" s="1444"/>
      <c r="P51" s="1444"/>
      <c r="Q51" s="1444"/>
      <c r="R51" s="1920"/>
      <c r="S51" s="1444"/>
      <c r="T51" s="1444"/>
      <c r="U51" s="828"/>
      <c r="V51" s="1444"/>
      <c r="W51" s="1444"/>
      <c r="X51" s="1444"/>
      <c r="Y51" s="1444"/>
      <c r="Z51" s="1444"/>
      <c r="AA51" s="1916"/>
      <c r="AB51" s="850"/>
      <c r="AC51" s="850"/>
      <c r="AD51" s="850"/>
      <c r="AE51" s="850"/>
      <c r="AF51" s="1925">
        <v>11</v>
      </c>
    </row>
    <row s="31261" customFormat="1" customHeight="1" ht="11.549999999999999">
      <c r="A52" s="1271"/>
      <c r="B52" s="1920"/>
      <c r="C52" s="1920"/>
      <c r="D52" s="635"/>
      <c r="K52" s="1444"/>
      <c r="L52" s="1920"/>
      <c r="M52" s="1920"/>
      <c r="N52" s="1444"/>
      <c r="O52" s="1444"/>
      <c r="P52" s="1444"/>
      <c r="Q52" s="1444"/>
      <c r="R52" s="1920"/>
      <c r="S52" s="1444"/>
      <c r="T52" s="1444"/>
      <c r="U52" s="828"/>
      <c r="V52" s="1444"/>
      <c r="W52" s="1444"/>
      <c r="X52" s="1444"/>
      <c r="Y52" s="1444"/>
      <c r="Z52" s="1444"/>
      <c r="AA52" s="1916"/>
      <c r="AB52" s="850"/>
      <c r="AC52" s="850"/>
      <c r="AD52" s="850"/>
      <c r="AE52" s="850"/>
      <c r="AF52" s="1925">
        <v>11</v>
      </c>
    </row>
    <row s="31261" customFormat="1" customHeight="1" ht="11.549999999999999">
      <c r="A53" s="1271"/>
      <c r="B53" s="1920"/>
      <c r="C53" s="1920"/>
      <c r="D53" s="635"/>
      <c r="K53" s="1444"/>
      <c r="L53" s="1920"/>
      <c r="M53" s="1920"/>
      <c r="N53" s="1444"/>
      <c r="O53" s="1444"/>
      <c r="P53" s="1444"/>
      <c r="Q53" s="1444"/>
      <c r="R53" s="1920"/>
      <c r="S53" s="1444"/>
      <c r="T53" s="1444"/>
      <c r="U53" s="828"/>
      <c r="V53" s="1444"/>
      <c r="W53" s="1444"/>
      <c r="X53" s="1444"/>
      <c r="Y53" s="1444"/>
      <c r="Z53" s="1444"/>
      <c r="AA53" s="1916"/>
      <c r="AB53" s="850"/>
      <c r="AC53" s="850"/>
      <c r="AD53" s="850"/>
      <c r="AE53" s="850"/>
      <c r="AF53" s="1925">
        <v>11</v>
      </c>
    </row>
    <row s="31261" customFormat="1" customHeight="1" ht="11.549999999999999">
      <c r="A54" s="1271"/>
      <c r="B54" s="1920"/>
      <c r="C54" s="1920"/>
      <c r="D54" s="635"/>
      <c r="K54" s="1444"/>
      <c r="L54" s="1920"/>
      <c r="M54" s="1920"/>
      <c r="N54" s="1444"/>
      <c r="O54" s="1444"/>
      <c r="P54" s="1444"/>
      <c r="Q54" s="1444"/>
      <c r="R54" s="1920"/>
      <c r="S54" s="1444"/>
      <c r="T54" s="1444"/>
      <c r="U54" s="828"/>
      <c r="V54" s="1444"/>
      <c r="W54" s="1444"/>
      <c r="X54" s="1444"/>
      <c r="Y54" s="1444"/>
      <c r="Z54" s="1444"/>
      <c r="AA54" s="1916"/>
      <c r="AB54" s="850"/>
      <c r="AC54" s="850"/>
      <c r="AD54" s="850"/>
      <c r="AE54" s="850"/>
      <c r="AF54" s="1925">
        <v>11</v>
      </c>
    </row>
    <row s="31261" customFormat="1" customHeight="1" ht="11.549999999999999">
      <c r="A55" s="1271"/>
      <c r="B55" s="1920"/>
      <c r="C55" s="1920"/>
      <c r="D55" s="635"/>
      <c r="K55" s="1444"/>
      <c r="L55" s="1920"/>
      <c r="M55" s="1920"/>
      <c r="N55" s="1444"/>
      <c r="O55" s="1444"/>
      <c r="P55" s="1444"/>
      <c r="Q55" s="1444"/>
      <c r="R55" s="1920"/>
      <c r="S55" s="1444"/>
      <c r="T55" s="1444"/>
      <c r="U55" s="828"/>
      <c r="V55" s="1444"/>
      <c r="W55" s="1444"/>
      <c r="X55" s="1444"/>
      <c r="Y55" s="1444"/>
      <c r="Z55" s="1444"/>
      <c r="AA55" s="1916"/>
      <c r="AB55" s="850"/>
      <c r="AC55" s="850"/>
      <c r="AD55" s="850"/>
      <c r="AE55" s="850"/>
      <c r="AF55" s="1925">
        <v>11</v>
      </c>
    </row>
    <row s="31261" customFormat="1" customHeight="1" ht="11.549999999999999">
      <c r="A56" s="1271"/>
      <c r="B56" s="1920"/>
      <c r="C56" s="1920"/>
      <c r="D56" s="635"/>
      <c r="K56" s="1444"/>
      <c r="L56" s="1920"/>
      <c r="M56" s="1920"/>
      <c r="N56" s="1444"/>
      <c r="O56" s="1444"/>
      <c r="P56" s="1444"/>
      <c r="Q56" s="1444"/>
      <c r="R56" s="1920"/>
      <c r="S56" s="1444"/>
      <c r="T56" s="1444"/>
      <c r="U56" s="828"/>
      <c r="V56" s="1444"/>
      <c r="W56" s="1444"/>
      <c r="X56" s="1444"/>
      <c r="Y56" s="1444"/>
      <c r="Z56" s="1444"/>
      <c r="AA56" s="1916"/>
      <c r="AB56" s="850"/>
      <c r="AC56" s="850"/>
      <c r="AD56" s="850"/>
      <c r="AE56" s="850"/>
      <c r="AF56" s="1925">
        <v>11</v>
      </c>
    </row>
    <row s="31261" customFormat="1" customHeight="1" ht="11.549999999999999">
      <c r="A57" s="1271"/>
      <c r="B57" s="1920"/>
      <c r="C57" s="1920"/>
      <c r="D57" s="635"/>
      <c r="K57" s="1444"/>
      <c r="L57" s="1920"/>
      <c r="M57" s="1920"/>
      <c r="N57" s="1444"/>
      <c r="O57" s="1444"/>
      <c r="P57" s="1444"/>
      <c r="Q57" s="1444"/>
      <c r="R57" s="1920"/>
      <c r="S57" s="1444"/>
      <c r="T57" s="1444"/>
      <c r="U57" s="828"/>
      <c r="V57" s="1444"/>
      <c r="W57" s="1444"/>
      <c r="X57" s="1444"/>
      <c r="Y57" s="1444"/>
      <c r="Z57" s="1444"/>
      <c r="AA57" s="1916"/>
      <c r="AB57" s="850"/>
      <c r="AC57" s="850"/>
      <c r="AD57" s="850"/>
      <c r="AE57" s="850"/>
      <c r="AF57" s="1925">
        <v>11</v>
      </c>
    </row>
    <row s="31261" customFormat="1" customHeight="1" ht="11.549999999999999">
      <c r="A58" s="1271"/>
      <c r="B58" s="1920"/>
      <c r="C58" s="1920"/>
      <c r="D58" s="635"/>
      <c r="K58" s="1444"/>
      <c r="L58" s="1920"/>
      <c r="M58" s="1920"/>
      <c r="N58" s="1444"/>
      <c r="O58" s="1444"/>
      <c r="P58" s="1444"/>
      <c r="Q58" s="1444"/>
      <c r="R58" s="1920"/>
      <c r="S58" s="1444"/>
      <c r="T58" s="1444"/>
      <c r="U58" s="828"/>
      <c r="V58" s="1444"/>
      <c r="W58" s="1444"/>
      <c r="X58" s="1444"/>
      <c r="Y58" s="1444"/>
      <c r="Z58" s="1444"/>
      <c r="AA58" s="1916"/>
      <c r="AB58" s="850"/>
      <c r="AC58" s="850"/>
      <c r="AD58" s="850"/>
      <c r="AE58" s="850"/>
      <c r="AF58" s="1925">
        <v>11</v>
      </c>
    </row>
    <row s="31261" customFormat="1" customHeight="1" ht="11.549999999999999">
      <c r="A59" s="1271"/>
      <c r="B59" s="1920"/>
      <c r="C59" s="1920"/>
      <c r="D59" s="635"/>
      <c r="K59" s="1444"/>
      <c r="L59" s="1920"/>
      <c r="M59" s="1920"/>
      <c r="N59" s="1444"/>
      <c r="O59" s="1444"/>
      <c r="P59" s="1444"/>
      <c r="Q59" s="1444"/>
      <c r="R59" s="1920"/>
      <c r="S59" s="1444"/>
      <c r="T59" s="1444"/>
      <c r="U59" s="828"/>
      <c r="V59" s="1444"/>
      <c r="W59" s="1444"/>
      <c r="X59" s="1444"/>
      <c r="Y59" s="1444"/>
      <c r="Z59" s="1444"/>
      <c r="AA59" s="1916"/>
      <c r="AB59" s="850"/>
      <c r="AC59" s="850"/>
      <c r="AD59" s="850"/>
      <c r="AE59" s="850"/>
      <c r="AF59" s="1925">
        <v>11</v>
      </c>
    </row>
    <row s="31261" customFormat="1" customHeight="1" ht="11.549999999999999">
      <c r="A60" s="1271"/>
      <c r="B60" s="1920"/>
      <c r="C60" s="1920"/>
      <c r="D60" s="635"/>
      <c r="K60" s="1444"/>
      <c r="L60" s="1920"/>
      <c r="M60" s="1920"/>
      <c r="N60" s="1444"/>
      <c r="O60" s="1444"/>
      <c r="P60" s="1444"/>
      <c r="Q60" s="1444"/>
      <c r="R60" s="1920"/>
      <c r="S60" s="1444"/>
      <c r="T60" s="1444"/>
      <c r="U60" s="828"/>
      <c r="V60" s="1444"/>
      <c r="W60" s="1444"/>
      <c r="X60" s="1444"/>
      <c r="Y60" s="1444"/>
      <c r="Z60" s="1444"/>
      <c r="AA60" s="1916"/>
      <c r="AB60" s="850"/>
      <c r="AC60" s="850"/>
      <c r="AD60" s="850"/>
      <c r="AE60" s="850"/>
      <c r="AF60" s="1925">
        <v>11</v>
      </c>
    </row>
    <row s="31261" customFormat="1" customHeight="1" ht="11.549999999999999">
      <c r="A61" s="1271"/>
      <c r="B61" s="1920"/>
      <c r="C61" s="1920"/>
      <c r="D61" s="635"/>
      <c r="K61" s="1444"/>
      <c r="L61" s="1920"/>
      <c r="M61" s="1920"/>
      <c r="N61" s="1444"/>
      <c r="O61" s="1444"/>
      <c r="P61" s="1444"/>
      <c r="Q61" s="1444"/>
      <c r="R61" s="1920"/>
      <c r="S61" s="1444"/>
      <c r="T61" s="1444"/>
      <c r="U61" s="828"/>
      <c r="V61" s="1444"/>
      <c r="W61" s="1444"/>
      <c r="X61" s="1444"/>
      <c r="Y61" s="1444"/>
      <c r="Z61" s="1444"/>
      <c r="AA61" s="1916"/>
      <c r="AB61" s="850"/>
      <c r="AC61" s="850"/>
      <c r="AD61" s="850"/>
      <c r="AE61" s="850"/>
      <c r="AF61" s="1925">
        <v>11</v>
      </c>
    </row>
    <row s="31261" customFormat="1" customHeight="1" ht="11.549999999999999">
      <c r="A62" s="1271"/>
      <c r="B62" s="1920"/>
      <c r="C62" s="1920"/>
      <c r="D62" s="635"/>
      <c r="K62" s="1444"/>
      <c r="L62" s="1920"/>
      <c r="M62" s="1920"/>
      <c r="N62" s="1444"/>
      <c r="O62" s="1444"/>
      <c r="P62" s="1444"/>
      <c r="Q62" s="1444"/>
      <c r="R62" s="1920"/>
      <c r="S62" s="1444"/>
      <c r="T62" s="1444"/>
      <c r="U62" s="828"/>
      <c r="V62" s="1444"/>
      <c r="W62" s="1444"/>
      <c r="X62" s="1444"/>
      <c r="Y62" s="1444"/>
      <c r="Z62" s="1444"/>
      <c r="AA62" s="1916"/>
      <c r="AB62" s="850"/>
      <c r="AC62" s="850"/>
      <c r="AD62" s="850"/>
      <c r="AE62" s="850"/>
      <c r="AF62" s="1925">
        <v>11</v>
      </c>
    </row>
    <row s="31261" customFormat="1" customHeight="1" ht="11.549999999999999">
      <c r="A63" s="1271"/>
      <c r="B63" s="1920"/>
      <c r="C63" s="1920"/>
      <c r="D63" s="635"/>
      <c r="K63" s="1444"/>
      <c r="L63" s="1920"/>
      <c r="M63" s="1920"/>
      <c r="N63" s="1444"/>
      <c r="O63" s="1444"/>
      <c r="P63" s="1444"/>
      <c r="Q63" s="1444"/>
      <c r="R63" s="1920"/>
      <c r="S63" s="1444"/>
      <c r="T63" s="1444"/>
      <c r="U63" s="828"/>
      <c r="V63" s="1444"/>
      <c r="W63" s="1444"/>
      <c r="X63" s="1444"/>
      <c r="Y63" s="1444"/>
      <c r="Z63" s="1444"/>
      <c r="AA63" s="1916"/>
      <c r="AB63" s="850"/>
      <c r="AC63" s="850"/>
      <c r="AD63" s="850"/>
      <c r="AE63" s="850"/>
      <c r="AF63" s="1925">
        <v>11</v>
      </c>
    </row>
    <row s="31261" customFormat="1" customHeight="1" ht="11.549999999999999">
      <c r="A64" s="1271"/>
      <c r="B64" s="1920"/>
      <c r="C64" s="1920"/>
      <c r="D64" s="635"/>
      <c r="K64" s="1444"/>
      <c r="L64" s="1920"/>
      <c r="M64" s="1920"/>
      <c r="N64" s="1444"/>
      <c r="O64" s="1444"/>
      <c r="P64" s="1444"/>
      <c r="Q64" s="1444"/>
      <c r="R64" s="1920"/>
      <c r="S64" s="1444"/>
      <c r="T64" s="1444"/>
      <c r="U64" s="828"/>
      <c r="V64" s="1444"/>
      <c r="W64" s="1444"/>
      <c r="X64" s="1444"/>
      <c r="Y64" s="1444"/>
      <c r="Z64" s="1444"/>
      <c r="AA64" s="1916"/>
      <c r="AB64" s="850"/>
      <c r="AC64" s="850"/>
      <c r="AD64" s="850"/>
      <c r="AE64" s="850"/>
      <c r="AF64" s="1925">
        <v>11</v>
      </c>
    </row>
    <row s="31261" customFormat="1" customHeight="1" ht="11.549999999999999">
      <c r="A65" s="1271"/>
      <c r="B65" s="1920"/>
      <c r="C65" s="1920"/>
      <c r="D65" s="635"/>
      <c r="K65" s="1444"/>
      <c r="L65" s="1920"/>
      <c r="M65" s="1920"/>
      <c r="N65" s="1444"/>
      <c r="O65" s="1444"/>
      <c r="P65" s="1444"/>
      <c r="Q65" s="1444"/>
      <c r="R65" s="1920"/>
      <c r="S65" s="1444"/>
      <c r="T65" s="1444"/>
      <c r="U65" s="828"/>
      <c r="V65" s="1444"/>
      <c r="W65" s="1444"/>
      <c r="X65" s="1444"/>
      <c r="Y65" s="1444"/>
      <c r="Z65" s="1444"/>
      <c r="AA65" s="1916"/>
      <c r="AB65" s="850"/>
      <c r="AC65" s="850"/>
      <c r="AD65" s="850"/>
      <c r="AE65" s="850"/>
      <c r="AF65" s="1925">
        <v>11</v>
      </c>
    </row>
    <row s="31261" customFormat="1" customHeight="1" ht="11.549999999999999">
      <c r="A66" s="1271"/>
      <c r="B66" s="1920"/>
      <c r="C66" s="1920"/>
      <c r="D66" s="635"/>
      <c r="K66" s="1444"/>
      <c r="L66" s="1920"/>
      <c r="M66" s="1920"/>
      <c r="N66" s="1444"/>
      <c r="O66" s="1444"/>
      <c r="P66" s="1444"/>
      <c r="Q66" s="1444"/>
      <c r="R66" s="1920"/>
      <c r="S66" s="1444"/>
      <c r="T66" s="1444"/>
      <c r="U66" s="828"/>
      <c r="V66" s="1444"/>
      <c r="W66" s="1444"/>
      <c r="X66" s="1444"/>
      <c r="Y66" s="1444"/>
      <c r="Z66" s="1444"/>
      <c r="AA66" s="1916"/>
      <c r="AB66" s="850"/>
      <c r="AC66" s="850"/>
      <c r="AD66" s="850"/>
      <c r="AE66" s="850"/>
      <c r="AF66" s="1925">
        <v>11</v>
      </c>
    </row>
    <row s="31261" customFormat="1" customHeight="1" ht="11.549999999999999">
      <c r="A67" s="1271"/>
      <c r="B67" s="1920"/>
      <c r="C67" s="1920"/>
      <c r="D67" s="635"/>
      <c r="K67" s="1444"/>
      <c r="L67" s="1920"/>
      <c r="M67" s="1920"/>
      <c r="N67" s="1444"/>
      <c r="O67" s="1444"/>
      <c r="P67" s="1444"/>
      <c r="Q67" s="1444"/>
      <c r="R67" s="1920"/>
      <c r="S67" s="1444"/>
      <c r="T67" s="1444"/>
      <c r="U67" s="828"/>
      <c r="V67" s="1444"/>
      <c r="W67" s="1444"/>
      <c r="X67" s="1444"/>
      <c r="Y67" s="1444"/>
      <c r="Z67" s="1444"/>
      <c r="AA67" s="1916"/>
      <c r="AB67" s="850"/>
      <c r="AC67" s="850"/>
      <c r="AD67" s="850"/>
      <c r="AE67" s="850"/>
      <c r="AF67" s="1925">
        <v>11</v>
      </c>
    </row>
    <row s="31261" customFormat="1" customHeight="1" ht="11.549999999999999">
      <c r="A68" s="1271"/>
      <c r="B68" s="1920"/>
      <c r="C68" s="1920"/>
      <c r="D68" s="635"/>
      <c r="K68" s="1444"/>
      <c r="L68" s="1920"/>
      <c r="M68" s="1920"/>
      <c r="N68" s="1444"/>
      <c r="O68" s="1444"/>
      <c r="P68" s="1444"/>
      <c r="Q68" s="1444"/>
      <c r="R68" s="1920"/>
      <c r="S68" s="1444"/>
      <c r="T68" s="1444"/>
      <c r="U68" s="828"/>
      <c r="V68" s="1444"/>
      <c r="W68" s="1444"/>
      <c r="X68" s="1444"/>
      <c r="Y68" s="1444"/>
      <c r="Z68" s="1444"/>
      <c r="AA68" s="1916"/>
      <c r="AB68" s="850"/>
      <c r="AC68" s="850"/>
      <c r="AD68" s="850"/>
      <c r="AE68" s="850"/>
      <c r="AF68" s="1925">
        <v>11</v>
      </c>
    </row>
    <row s="31261" customFormat="1" customHeight="1" ht="11.549999999999999">
      <c r="A69" s="1271"/>
      <c r="B69" s="1920"/>
      <c r="C69" s="1920"/>
      <c r="D69" s="635"/>
      <c r="K69" s="1444"/>
      <c r="L69" s="1920"/>
      <c r="M69" s="1920"/>
      <c r="N69" s="1444"/>
      <c r="O69" s="1444"/>
      <c r="P69" s="1444"/>
      <c r="Q69" s="1444"/>
      <c r="R69" s="1920"/>
      <c r="S69" s="1444"/>
      <c r="T69" s="1444"/>
      <c r="U69" s="828"/>
      <c r="V69" s="1444"/>
      <c r="W69" s="1444"/>
      <c r="X69" s="1444"/>
      <c r="Y69" s="1444"/>
      <c r="Z69" s="1444"/>
      <c r="AA69" s="1916"/>
      <c r="AB69" s="850"/>
      <c r="AC69" s="850"/>
      <c r="AD69" s="850"/>
      <c r="AE69" s="850"/>
      <c r="AF69" s="1925">
        <v>11</v>
      </c>
    </row>
    <row s="31261" customFormat="1" customHeight="1" ht="11.549999999999999">
      <c r="A70" s="1271"/>
      <c r="B70" s="1920"/>
      <c r="C70" s="1920"/>
      <c r="D70" s="635"/>
      <c r="K70" s="1444"/>
      <c r="L70" s="1920"/>
      <c r="M70" s="1920"/>
      <c r="N70" s="1444"/>
      <c r="O70" s="1444"/>
      <c r="P70" s="1444"/>
      <c r="Q70" s="1444"/>
      <c r="R70" s="1920"/>
      <c r="S70" s="1444"/>
      <c r="T70" s="1444"/>
      <c r="U70" s="828"/>
      <c r="V70" s="1444"/>
      <c r="W70" s="1444"/>
      <c r="X70" s="1444"/>
      <c r="Y70" s="1444"/>
      <c r="Z70" s="1444"/>
      <c r="AA70" s="1916"/>
      <c r="AB70" s="850"/>
      <c r="AC70" s="850"/>
      <c r="AD70" s="850"/>
      <c r="AE70" s="850"/>
      <c r="AF70" s="1925">
        <v>11</v>
      </c>
    </row>
    <row s="31261" customFormat="1" customHeight="1" ht="11.549999999999999">
      <c r="A71" s="1271"/>
      <c r="B71" s="1920"/>
      <c r="C71" s="1920"/>
      <c r="D71" s="635"/>
      <c r="K71" s="1444"/>
      <c r="L71" s="1920"/>
      <c r="M71" s="1920"/>
      <c r="N71" s="1444"/>
      <c r="O71" s="1444"/>
      <c r="P71" s="1444"/>
      <c r="Q71" s="1444"/>
      <c r="R71" s="1920"/>
      <c r="S71" s="1444"/>
      <c r="T71" s="1444"/>
      <c r="U71" s="828"/>
      <c r="V71" s="1444"/>
      <c r="W71" s="1444"/>
      <c r="X71" s="1444"/>
      <c r="Y71" s="1444"/>
      <c r="Z71" s="1444"/>
      <c r="AA71" s="1916"/>
      <c r="AB71" s="850"/>
      <c r="AC71" s="850"/>
      <c r="AD71" s="850"/>
      <c r="AE71" s="850"/>
      <c r="AF71" s="1925">
        <v>11</v>
      </c>
    </row>
    <row s="31261" customFormat="1" customHeight="1" ht="11.549999999999999">
      <c r="A72" s="1271"/>
      <c r="B72" s="1920"/>
      <c r="C72" s="1920"/>
      <c r="D72" s="635"/>
      <c r="K72" s="1444"/>
      <c r="L72" s="1920"/>
      <c r="M72" s="1920"/>
      <c r="N72" s="1444"/>
      <c r="O72" s="1444"/>
      <c r="P72" s="1444"/>
      <c r="Q72" s="1444"/>
      <c r="R72" s="1920"/>
      <c r="S72" s="1444"/>
      <c r="T72" s="1444"/>
      <c r="U72" s="828"/>
      <c r="V72" s="1444"/>
      <c r="W72" s="1444"/>
      <c r="X72" s="1444"/>
      <c r="Y72" s="1444"/>
      <c r="Z72" s="1444"/>
      <c r="AA72" s="1916"/>
      <c r="AB72" s="850"/>
      <c r="AC72" s="850"/>
      <c r="AD72" s="850"/>
      <c r="AE72" s="850"/>
      <c r="AF72" s="1925">
        <v>11</v>
      </c>
    </row>
    <row s="31261" customFormat="1" customHeight="1" ht="11.549999999999999">
      <c r="A73" s="1271"/>
      <c r="B73" s="1920"/>
      <c r="C73" s="1920"/>
      <c r="D73" s="635"/>
      <c r="K73" s="1444"/>
      <c r="L73" s="1920"/>
      <c r="M73" s="1920"/>
      <c r="N73" s="1444"/>
      <c r="O73" s="1444"/>
      <c r="P73" s="1444"/>
      <c r="Q73" s="1444"/>
      <c r="R73" s="1920"/>
      <c r="S73" s="1444"/>
      <c r="T73" s="1444"/>
      <c r="U73" s="828"/>
      <c r="V73" s="1444"/>
      <c r="W73" s="1444"/>
      <c r="X73" s="1444"/>
      <c r="Y73" s="1444"/>
      <c r="Z73" s="1444"/>
      <c r="AA73" s="1916"/>
      <c r="AB73" s="850"/>
      <c r="AC73" s="850"/>
      <c r="AD73" s="850"/>
      <c r="AE73" s="850"/>
      <c r="AF73" s="1925">
        <v>11</v>
      </c>
    </row>
    <row s="31261" customFormat="1" customHeight="1" ht="11.549999999999999">
      <c r="A74" s="1271"/>
      <c r="B74" s="1920"/>
      <c r="C74" s="1920"/>
      <c r="D74" s="635"/>
      <c r="K74" s="1444"/>
      <c r="L74" s="1920"/>
      <c r="M74" s="1920"/>
      <c r="N74" s="1444"/>
      <c r="O74" s="1444"/>
      <c r="P74" s="1444"/>
      <c r="Q74" s="1444"/>
      <c r="R74" s="1920"/>
      <c r="S74" s="1444"/>
      <c r="T74" s="1444"/>
      <c r="U74" s="828"/>
      <c r="V74" s="1444"/>
      <c r="W74" s="1444"/>
      <c r="X74" s="1444"/>
      <c r="Y74" s="1444"/>
      <c r="Z74" s="1444"/>
      <c r="AA74" s="1916"/>
      <c r="AB74" s="850"/>
      <c r="AC74" s="850"/>
      <c r="AD74" s="850"/>
      <c r="AE74" s="850"/>
      <c r="AF74" s="1925">
        <v>11</v>
      </c>
    </row>
    <row s="31261" customFormat="1" customHeight="1" ht="11.549999999999999">
      <c r="A75" s="1271"/>
      <c r="B75" s="1920"/>
      <c r="C75" s="1920"/>
      <c r="D75" s="635"/>
      <c r="K75" s="1444"/>
      <c r="L75" s="1920"/>
      <c r="M75" s="1920"/>
      <c r="N75" s="1444"/>
      <c r="O75" s="1444"/>
      <c r="P75" s="1444"/>
      <c r="Q75" s="1444"/>
      <c r="R75" s="1920"/>
      <c r="S75" s="1444"/>
      <c r="T75" s="1444"/>
      <c r="U75" s="828"/>
      <c r="V75" s="1444"/>
      <c r="W75" s="1444"/>
      <c r="X75" s="1444"/>
      <c r="Y75" s="1444"/>
      <c r="Z75" s="1444"/>
      <c r="AA75" s="1916"/>
      <c r="AB75" s="850"/>
      <c r="AC75" s="850"/>
      <c r="AD75" s="850"/>
      <c r="AE75" s="850"/>
      <c r="AF75" s="1925">
        <v>11</v>
      </c>
    </row>
    <row s="31261" customFormat="1" customHeight="1" ht="11.549999999999999">
      <c r="A76" s="1271"/>
      <c r="B76" s="1920"/>
      <c r="C76" s="1920"/>
      <c r="D76" s="635"/>
      <c r="K76" s="1444"/>
      <c r="L76" s="1920"/>
      <c r="M76" s="1920"/>
      <c r="N76" s="1444"/>
      <c r="O76" s="1444"/>
      <c r="P76" s="1444"/>
      <c r="Q76" s="1444"/>
      <c r="R76" s="1920"/>
      <c r="S76" s="1444"/>
      <c r="T76" s="1444"/>
      <c r="U76" s="828"/>
      <c r="V76" s="1444"/>
      <c r="W76" s="1444"/>
      <c r="X76" s="1444"/>
      <c r="Y76" s="1444"/>
      <c r="Z76" s="1444"/>
      <c r="AA76" s="1916"/>
      <c r="AB76" s="850"/>
      <c r="AC76" s="850"/>
      <c r="AD76" s="850"/>
      <c r="AE76" s="850"/>
      <c r="AF76" s="1925">
        <v>11</v>
      </c>
    </row>
    <row s="31261" customFormat="1" customHeight="1" ht="11.549999999999999">
      <c r="A77" s="1271"/>
      <c r="B77" s="1920"/>
      <c r="C77" s="1920"/>
      <c r="D77" s="635"/>
      <c r="K77" s="1444"/>
      <c r="L77" s="1920"/>
      <c r="M77" s="1920"/>
      <c r="N77" s="1444"/>
      <c r="O77" s="1444"/>
      <c r="P77" s="1444"/>
      <c r="Q77" s="1444"/>
      <c r="R77" s="1920"/>
      <c r="S77" s="1444"/>
      <c r="T77" s="1444"/>
      <c r="U77" s="828"/>
      <c r="V77" s="1444"/>
      <c r="W77" s="1444"/>
      <c r="X77" s="1444"/>
      <c r="Y77" s="1444"/>
      <c r="Z77" s="1444"/>
      <c r="AA77" s="1916"/>
      <c r="AB77" s="850"/>
      <c r="AC77" s="850"/>
      <c r="AD77" s="850"/>
      <c r="AE77" s="850"/>
      <c r="AF77" s="1925">
        <v>11</v>
      </c>
    </row>
    <row s="31261" customFormat="1" customHeight="1" ht="11.549999999999999">
      <c r="A78" s="1271"/>
      <c r="B78" s="1920"/>
      <c r="C78" s="1920"/>
      <c r="D78" s="635"/>
      <c r="K78" s="1444"/>
      <c r="L78" s="1920"/>
      <c r="M78" s="1920"/>
      <c r="N78" s="1444"/>
      <c r="O78" s="1444"/>
      <c r="P78" s="1444"/>
      <c r="Q78" s="1444"/>
      <c r="R78" s="1920"/>
      <c r="S78" s="1444"/>
      <c r="T78" s="1444"/>
      <c r="U78" s="828"/>
      <c r="V78" s="1444"/>
      <c r="W78" s="1444"/>
      <c r="X78" s="1444"/>
      <c r="Y78" s="1444"/>
      <c r="Z78" s="1444"/>
      <c r="AA78" s="1916"/>
      <c r="AB78" s="850"/>
      <c r="AC78" s="850"/>
      <c r="AD78" s="850"/>
      <c r="AE78" s="850"/>
      <c r="AF78" s="1925">
        <v>11</v>
      </c>
    </row>
    <row s="31261" customFormat="1" customHeight="1" ht="11.549999999999999">
      <c r="A79" s="1271"/>
      <c r="B79" s="1920"/>
      <c r="C79" s="1920"/>
      <c r="D79" s="635"/>
      <c r="K79" s="1444"/>
      <c r="L79" s="1920"/>
      <c r="M79" s="1920"/>
      <c r="N79" s="1444"/>
      <c r="O79" s="1444"/>
      <c r="P79" s="1444"/>
      <c r="Q79" s="1444"/>
      <c r="R79" s="1920"/>
      <c r="S79" s="1444"/>
      <c r="T79" s="1444"/>
      <c r="U79" s="828"/>
      <c r="V79" s="1444"/>
      <c r="W79" s="1444"/>
      <c r="X79" s="1444"/>
      <c r="Y79" s="1444"/>
      <c r="Z79" s="1444"/>
      <c r="AA79" s="1916"/>
      <c r="AB79" s="850"/>
      <c r="AC79" s="850"/>
      <c r="AD79" s="850"/>
      <c r="AE79" s="850"/>
      <c r="AF79" s="1925">
        <v>11</v>
      </c>
    </row>
    <row s="31261" customFormat="1" customHeight="1" ht="11.549999999999999">
      <c r="A80" s="1271"/>
      <c r="B80" s="1920"/>
      <c r="C80" s="1920"/>
      <c r="D80" s="635"/>
      <c r="K80" s="1444"/>
      <c r="L80" s="1920"/>
      <c r="M80" s="1920"/>
      <c r="N80" s="1444"/>
      <c r="O80" s="1444"/>
      <c r="P80" s="1444"/>
      <c r="Q80" s="1444"/>
      <c r="R80" s="1920"/>
      <c r="S80" s="1444"/>
      <c r="T80" s="1444"/>
      <c r="U80" s="828"/>
      <c r="V80" s="1444"/>
      <c r="W80" s="1444"/>
      <c r="X80" s="1444"/>
      <c r="Y80" s="1444"/>
      <c r="Z80" s="1444"/>
      <c r="AA80" s="1916"/>
      <c r="AB80" s="850"/>
      <c r="AC80" s="850"/>
      <c r="AD80" s="850"/>
      <c r="AE80" s="850"/>
      <c r="AF80" s="1925">
        <v>11</v>
      </c>
    </row>
    <row s="31261" customFormat="1" customHeight="1" ht="11.549999999999999">
      <c r="A81" s="1271"/>
      <c r="B81" s="1920"/>
      <c r="C81" s="1920"/>
      <c r="D81" s="635"/>
      <c r="K81" s="1444"/>
      <c r="L81" s="1920"/>
      <c r="M81" s="1920"/>
      <c r="N81" s="1444"/>
      <c r="O81" s="1444"/>
      <c r="P81" s="1444"/>
      <c r="Q81" s="1444"/>
      <c r="R81" s="1920"/>
      <c r="S81" s="1444"/>
      <c r="T81" s="1444"/>
      <c r="U81" s="828"/>
      <c r="V81" s="1444"/>
      <c r="W81" s="1444"/>
      <c r="X81" s="1444"/>
      <c r="Y81" s="1444"/>
      <c r="Z81" s="1444"/>
      <c r="AA81" s="1916"/>
      <c r="AB81" s="850"/>
      <c r="AC81" s="850"/>
      <c r="AD81" s="850"/>
      <c r="AE81" s="850"/>
      <c r="AF81" s="1925">
        <v>11</v>
      </c>
    </row>
    <row s="31261" customFormat="1" customHeight="1" ht="11.549999999999999">
      <c r="A82" s="1271"/>
      <c r="B82" s="1920"/>
      <c r="C82" s="1920"/>
      <c r="D82" s="635"/>
      <c r="K82" s="1444"/>
      <c r="L82" s="1920"/>
      <c r="M82" s="1920"/>
      <c r="N82" s="1444"/>
      <c r="O82" s="1444"/>
      <c r="P82" s="1444"/>
      <c r="Q82" s="1444"/>
      <c r="R82" s="1920"/>
      <c r="S82" s="1444"/>
      <c r="T82" s="1444"/>
      <c r="U82" s="828"/>
      <c r="V82" s="1444"/>
      <c r="W82" s="1444"/>
      <c r="X82" s="1444"/>
      <c r="Y82" s="1444"/>
      <c r="Z82" s="1444"/>
      <c r="AA82" s="1916"/>
      <c r="AB82" s="850"/>
      <c r="AC82" s="850"/>
      <c r="AD82" s="850"/>
      <c r="AE82" s="850"/>
      <c r="AF82" s="1925">
        <v>11</v>
      </c>
    </row>
    <row s="31261" customFormat="1" customHeight="1" ht="11.549999999999999">
      <c r="A83" s="1271"/>
      <c r="B83" s="1920"/>
      <c r="C83" s="1920"/>
      <c r="D83" s="635"/>
      <c r="K83" s="1444"/>
      <c r="L83" s="1920"/>
      <c r="M83" s="1920"/>
      <c r="N83" s="1444"/>
      <c r="O83" s="1444"/>
      <c r="P83" s="1444"/>
      <c r="Q83" s="1444"/>
      <c r="R83" s="1920"/>
      <c r="S83" s="1444"/>
      <c r="T83" s="1444"/>
      <c r="U83" s="828"/>
      <c r="V83" s="1444"/>
      <c r="W83" s="1444"/>
      <c r="X83" s="1444"/>
      <c r="Y83" s="1444"/>
      <c r="Z83" s="1444"/>
      <c r="AA83" s="1916"/>
      <c r="AB83" s="850"/>
      <c r="AC83" s="850"/>
      <c r="AD83" s="850"/>
      <c r="AE83" s="850"/>
      <c r="AF83" s="1925">
        <v>11</v>
      </c>
    </row>
    <row s="31261" customFormat="1" customHeight="1" ht="11.549999999999999">
      <c r="A84" s="1271"/>
      <c r="B84" s="1920"/>
      <c r="C84" s="1920"/>
      <c r="D84" s="635"/>
      <c r="K84" s="1444"/>
      <c r="L84" s="1920"/>
      <c r="M84" s="1920"/>
      <c r="N84" s="1444"/>
      <c r="O84" s="1444"/>
      <c r="P84" s="1444"/>
      <c r="Q84" s="1444"/>
      <c r="R84" s="1920"/>
      <c r="S84" s="1444"/>
      <c r="T84" s="1444"/>
      <c r="U84" s="828"/>
      <c r="V84" s="1444"/>
      <c r="W84" s="1444"/>
      <c r="X84" s="1444"/>
      <c r="Y84" s="1444"/>
      <c r="Z84" s="1444"/>
      <c r="AA84" s="1916"/>
      <c r="AB84" s="850"/>
      <c r="AC84" s="850"/>
      <c r="AD84" s="850"/>
      <c r="AE84" s="850"/>
      <c r="AF84" s="1925">
        <v>11</v>
      </c>
    </row>
    <row s="31261" customFormat="1" customHeight="1" ht="11.549999999999999">
      <c r="A85" s="1271"/>
      <c r="B85" s="1920"/>
      <c r="C85" s="1920"/>
      <c r="D85" s="635"/>
      <c r="K85" s="1444"/>
      <c r="L85" s="1920"/>
      <c r="M85" s="1920"/>
      <c r="N85" s="1444"/>
      <c r="O85" s="1444"/>
      <c r="P85" s="1444"/>
      <c r="Q85" s="1444"/>
      <c r="R85" s="1920"/>
      <c r="S85" s="1444"/>
      <c r="T85" s="1444"/>
      <c r="U85" s="828"/>
      <c r="V85" s="1444"/>
      <c r="W85" s="1444"/>
      <c r="X85" s="1444"/>
      <c r="Y85" s="1444"/>
      <c r="Z85" s="1444"/>
      <c r="AA85" s="1916"/>
      <c r="AB85" s="850"/>
      <c r="AC85" s="850"/>
      <c r="AD85" s="850"/>
      <c r="AE85" s="850"/>
      <c r="AF85" s="1925">
        <v>11</v>
      </c>
    </row>
    <row s="31261" customFormat="1" customHeight="1" ht="11.549999999999999">
      <c r="A86" s="1271"/>
      <c r="B86" s="1920"/>
      <c r="C86" s="1920"/>
      <c r="D86" s="635"/>
      <c r="K86" s="1444"/>
      <c r="L86" s="1920"/>
      <c r="M86" s="1920"/>
      <c r="N86" s="1444"/>
      <c r="O86" s="1444"/>
      <c r="P86" s="1444"/>
      <c r="Q86" s="1444"/>
      <c r="R86" s="1920"/>
      <c r="S86" s="1444"/>
      <c r="T86" s="1444"/>
      <c r="U86" s="828"/>
      <c r="V86" s="1444"/>
      <c r="W86" s="1444"/>
      <c r="X86" s="1444"/>
      <c r="Y86" s="1444"/>
      <c r="Z86" s="1444"/>
      <c r="AA86" s="1916"/>
      <c r="AB86" s="850"/>
      <c r="AC86" s="850"/>
      <c r="AD86" s="850"/>
      <c r="AE86" s="850"/>
      <c r="AF86" s="1925">
        <v>11</v>
      </c>
    </row>
    <row s="31261" customFormat="1" customHeight="1" ht="11.549999999999999">
      <c r="A87" s="1271"/>
      <c r="B87" s="1920"/>
      <c r="C87" s="1920"/>
      <c r="D87" s="635"/>
      <c r="K87" s="1444"/>
      <c r="L87" s="1920"/>
      <c r="M87" s="1920"/>
      <c r="N87" s="1444"/>
      <c r="O87" s="1444"/>
      <c r="P87" s="1444"/>
      <c r="Q87" s="1444"/>
      <c r="R87" s="1920"/>
      <c r="S87" s="1444"/>
      <c r="T87" s="1444"/>
      <c r="U87" s="828"/>
      <c r="V87" s="1444"/>
      <c r="W87" s="1444"/>
      <c r="X87" s="1444"/>
      <c r="Y87" s="1444"/>
      <c r="Z87" s="1444"/>
      <c r="AA87" s="1916"/>
      <c r="AB87" s="850"/>
      <c r="AC87" s="850"/>
      <c r="AD87" s="850"/>
      <c r="AE87" s="850"/>
      <c r="AF87" s="1925">
        <v>11</v>
      </c>
    </row>
    <row s="31261" customFormat="1" customHeight="1" ht="11.549999999999999">
      <c r="A88" s="1271"/>
      <c r="B88" s="1920"/>
      <c r="C88" s="1920"/>
      <c r="D88" s="635"/>
      <c r="K88" s="1444"/>
      <c r="L88" s="1920"/>
      <c r="M88" s="1920"/>
      <c r="N88" s="1444"/>
      <c r="O88" s="1444"/>
      <c r="P88" s="1444"/>
      <c r="Q88" s="1444"/>
      <c r="R88" s="1920"/>
      <c r="S88" s="1444"/>
      <c r="T88" s="1444"/>
      <c r="U88" s="828"/>
      <c r="V88" s="1444"/>
      <c r="W88" s="1444"/>
      <c r="X88" s="1444"/>
      <c r="Y88" s="1444"/>
      <c r="Z88" s="1444"/>
      <c r="AA88" s="1916"/>
      <c r="AB88" s="850"/>
      <c r="AC88" s="850"/>
      <c r="AD88" s="850"/>
      <c r="AE88" s="850"/>
      <c r="AF88" s="1925">
        <v>11</v>
      </c>
    </row>
    <row s="31261" customFormat="1" customHeight="1" ht="11.549999999999999">
      <c r="A89" s="1271"/>
      <c r="B89" s="1920"/>
      <c r="C89" s="1920"/>
      <c r="D89" s="635"/>
      <c r="K89" s="1444"/>
      <c r="L89" s="1920"/>
      <c r="M89" s="1920"/>
      <c r="N89" s="1444"/>
      <c r="O89" s="1444"/>
      <c r="P89" s="1444"/>
      <c r="Q89" s="1444"/>
      <c r="R89" s="1920"/>
      <c r="S89" s="1444"/>
      <c r="T89" s="1444"/>
      <c r="U89" s="828"/>
      <c r="V89" s="1444"/>
      <c r="W89" s="1444"/>
      <c r="X89" s="1444"/>
      <c r="Y89" s="1444"/>
      <c r="Z89" s="1444"/>
      <c r="AA89" s="1916"/>
      <c r="AB89" s="850"/>
      <c r="AC89" s="850"/>
      <c r="AD89" s="850"/>
      <c r="AE89" s="850"/>
      <c r="AF89" s="1925">
        <v>11</v>
      </c>
    </row>
    <row s="31261" customFormat="1" customHeight="1" ht="11.549999999999999">
      <c r="A90" s="1271"/>
      <c r="B90" s="1920"/>
      <c r="C90" s="1920"/>
      <c r="D90" s="635"/>
      <c r="K90" s="1444"/>
      <c r="L90" s="1920"/>
      <c r="M90" s="1920"/>
      <c r="N90" s="1444"/>
      <c r="O90" s="1444"/>
      <c r="P90" s="1444"/>
      <c r="Q90" s="1444"/>
      <c r="R90" s="1920"/>
      <c r="S90" s="1444"/>
      <c r="T90" s="1444"/>
      <c r="U90" s="828"/>
      <c r="V90" s="1444"/>
      <c r="W90" s="1444"/>
      <c r="X90" s="1444"/>
      <c r="Y90" s="1444"/>
      <c r="Z90" s="1444"/>
      <c r="AA90" s="1916"/>
      <c r="AB90" s="850"/>
      <c r="AC90" s="850"/>
      <c r="AD90" s="850"/>
      <c r="AE90" s="850"/>
      <c r="AF90" s="1925">
        <v>11</v>
      </c>
    </row>
    <row s="31261" customFormat="1" customHeight="1" ht="11.549999999999999">
      <c r="A91" s="1271"/>
      <c r="B91" s="1920"/>
      <c r="C91" s="1920"/>
      <c r="D91" s="635"/>
      <c r="K91" s="1444"/>
      <c r="L91" s="1920"/>
      <c r="M91" s="1920"/>
      <c r="N91" s="1444"/>
      <c r="O91" s="1444"/>
      <c r="P91" s="1444"/>
      <c r="Q91" s="1444"/>
      <c r="R91" s="1920"/>
      <c r="S91" s="1444"/>
      <c r="T91" s="1444"/>
      <c r="U91" s="828"/>
      <c r="V91" s="1444"/>
      <c r="W91" s="1444"/>
      <c r="X91" s="1444"/>
      <c r="Y91" s="1444"/>
      <c r="Z91" s="1444"/>
      <c r="AA91" s="1916"/>
      <c r="AB91" s="850"/>
      <c r="AC91" s="850"/>
      <c r="AD91" s="850"/>
      <c r="AE91" s="850"/>
      <c r="AF91" s="1925">
        <v>11</v>
      </c>
    </row>
    <row s="31261" customFormat="1" customHeight="1" ht="11.549999999999999">
      <c r="A92" s="1271"/>
      <c r="B92" s="1920"/>
      <c r="C92" s="1920"/>
      <c r="D92" s="635"/>
      <c r="K92" s="1444"/>
      <c r="L92" s="1920"/>
      <c r="M92" s="1920"/>
      <c r="N92" s="1444"/>
      <c r="O92" s="1444"/>
      <c r="P92" s="1444"/>
      <c r="Q92" s="1444"/>
      <c r="R92" s="1920"/>
      <c r="S92" s="1444"/>
      <c r="T92" s="1444"/>
      <c r="U92" s="828"/>
      <c r="V92" s="1444"/>
      <c r="W92" s="1444"/>
      <c r="X92" s="1444"/>
      <c r="Y92" s="1444"/>
      <c r="Z92" s="1444"/>
      <c r="AA92" s="1916"/>
      <c r="AB92" s="850"/>
      <c r="AC92" s="850"/>
      <c r="AD92" s="850"/>
      <c r="AE92" s="850"/>
      <c r="AF92" s="1925">
        <v>11</v>
      </c>
    </row>
    <row s="31261" customFormat="1" customHeight="1" ht="11.549999999999999">
      <c r="A93" s="1271"/>
      <c r="B93" s="1920"/>
      <c r="C93" s="1920"/>
      <c r="D93" s="635"/>
      <c r="K93" s="1444"/>
      <c r="L93" s="1920"/>
      <c r="M93" s="1920"/>
      <c r="N93" s="1444"/>
      <c r="O93" s="1444"/>
      <c r="P93" s="1444"/>
      <c r="Q93" s="1444"/>
      <c r="R93" s="1920"/>
      <c r="S93" s="1444"/>
      <c r="T93" s="1444"/>
      <c r="U93" s="828"/>
      <c r="V93" s="1444"/>
      <c r="W93" s="1444"/>
      <c r="X93" s="1444"/>
      <c r="Y93" s="1444"/>
      <c r="Z93" s="1444"/>
      <c r="AA93" s="1916"/>
      <c r="AB93" s="850"/>
      <c r="AC93" s="850"/>
      <c r="AD93" s="850"/>
      <c r="AE93" s="850"/>
      <c r="AF93" s="1925">
        <v>11</v>
      </c>
    </row>
    <row s="31261" customFormat="1" customHeight="1" ht="11.549999999999999">
      <c r="A94" s="1271"/>
      <c r="B94" s="1920"/>
      <c r="C94" s="1920"/>
      <c r="D94" s="635"/>
      <c r="K94" s="1444"/>
      <c r="L94" s="1920"/>
      <c r="M94" s="1920"/>
      <c r="N94" s="1444"/>
      <c r="O94" s="1444"/>
      <c r="P94" s="1444"/>
      <c r="Q94" s="1444"/>
      <c r="R94" s="1920"/>
      <c r="S94" s="1444"/>
      <c r="T94" s="1444"/>
      <c r="U94" s="828"/>
      <c r="V94" s="1444"/>
      <c r="W94" s="1444"/>
      <c r="X94" s="1444"/>
      <c r="Y94" s="1444"/>
      <c r="Z94" s="1444"/>
      <c r="AA94" s="1916"/>
      <c r="AB94" s="850"/>
      <c r="AC94" s="850"/>
      <c r="AD94" s="850"/>
      <c r="AE94" s="850"/>
      <c r="AF94" s="1925">
        <v>11</v>
      </c>
    </row>
    <row s="31261" customFormat="1" customHeight="1" ht="11.549999999999999">
      <c r="A95" s="1271"/>
      <c r="B95" s="1920"/>
      <c r="C95" s="1920"/>
      <c r="D95" s="635"/>
      <c r="K95" s="1444"/>
      <c r="L95" s="1920"/>
      <c r="M95" s="1920"/>
      <c r="N95" s="1444"/>
      <c r="O95" s="1444"/>
      <c r="P95" s="1444"/>
      <c r="Q95" s="1444"/>
      <c r="R95" s="1920"/>
      <c r="S95" s="1444"/>
      <c r="T95" s="1444"/>
      <c r="U95" s="828"/>
      <c r="V95" s="1444"/>
      <c r="W95" s="1444"/>
      <c r="X95" s="1444"/>
      <c r="Y95" s="1444"/>
      <c r="Z95" s="1444"/>
      <c r="AA95" s="1916"/>
      <c r="AB95" s="850"/>
      <c r="AC95" s="850"/>
      <c r="AD95" s="850"/>
      <c r="AE95" s="850"/>
      <c r="AF95" s="1925">
        <v>11</v>
      </c>
    </row>
    <row s="31261" customFormat="1" customHeight="1" ht="11.549999999999999">
      <c r="A96" s="1271"/>
      <c r="B96" s="1920"/>
      <c r="C96" s="1920"/>
      <c r="D96" s="635"/>
      <c r="K96" s="1444"/>
      <c r="L96" s="1920"/>
      <c r="M96" s="1920"/>
      <c r="N96" s="1444"/>
      <c r="O96" s="1444"/>
      <c r="P96" s="1444"/>
      <c r="Q96" s="1444"/>
      <c r="R96" s="1920"/>
      <c r="S96" s="1444"/>
      <c r="T96" s="1444"/>
      <c r="U96" s="828"/>
      <c r="V96" s="1444"/>
      <c r="W96" s="1444"/>
      <c r="X96" s="1444"/>
      <c r="Y96" s="1444"/>
      <c r="Z96" s="1444"/>
      <c r="AA96" s="1916"/>
      <c r="AB96" s="850"/>
      <c r="AC96" s="850"/>
      <c r="AD96" s="850"/>
      <c r="AE96" s="850"/>
      <c r="AF96" s="1925">
        <v>11</v>
      </c>
    </row>
    <row s="31261" customFormat="1" customHeight="1" ht="11.549999999999999">
      <c r="A97" s="1271"/>
      <c r="B97" s="1920"/>
      <c r="C97" s="1920"/>
      <c r="D97" s="635"/>
      <c r="K97" s="1444"/>
      <c r="L97" s="1920"/>
      <c r="M97" s="1920"/>
      <c r="N97" s="1444"/>
      <c r="O97" s="1444"/>
      <c r="P97" s="1444"/>
      <c r="Q97" s="1444"/>
      <c r="R97" s="1920"/>
      <c r="S97" s="1444"/>
      <c r="T97" s="1444"/>
      <c r="U97" s="828"/>
      <c r="V97" s="1444"/>
      <c r="W97" s="1444"/>
      <c r="X97" s="1444"/>
      <c r="Y97" s="1444"/>
      <c r="Z97" s="1444"/>
      <c r="AA97" s="1916"/>
      <c r="AB97" s="850"/>
      <c r="AC97" s="850"/>
      <c r="AD97" s="850"/>
      <c r="AE97" s="850"/>
      <c r="AF97" s="1925">
        <v>11</v>
      </c>
    </row>
    <row s="31261" customFormat="1" customHeight="1" ht="11.549999999999999">
      <c r="A98" s="1271"/>
      <c r="B98" s="1920"/>
      <c r="C98" s="1920"/>
      <c r="D98" s="635"/>
      <c r="K98" s="1444"/>
      <c r="L98" s="1920"/>
      <c r="M98" s="1920"/>
      <c r="N98" s="1444"/>
      <c r="O98" s="1444"/>
      <c r="P98" s="1444"/>
      <c r="Q98" s="1444"/>
      <c r="R98" s="1920"/>
      <c r="S98" s="1444"/>
      <c r="T98" s="1444"/>
      <c r="U98" s="828"/>
      <c r="V98" s="1444"/>
      <c r="W98" s="1444"/>
      <c r="X98" s="1444"/>
      <c r="Y98" s="1444"/>
      <c r="Z98" s="1444"/>
      <c r="AA98" s="1916"/>
      <c r="AB98" s="850"/>
      <c r="AC98" s="850"/>
      <c r="AD98" s="850"/>
      <c r="AE98" s="850"/>
      <c r="AF98" s="1925">
        <v>11</v>
      </c>
    </row>
    <row s="31261" customFormat="1" customHeight="1" ht="11.549999999999999">
      <c r="A99" s="1271"/>
      <c r="B99" s="1920"/>
      <c r="C99" s="1920"/>
      <c r="D99" s="635"/>
      <c r="K99" s="1444"/>
      <c r="L99" s="1920"/>
      <c r="M99" s="1920"/>
      <c r="N99" s="1444"/>
      <c r="O99" s="1444"/>
      <c r="P99" s="1444"/>
      <c r="Q99" s="1444"/>
      <c r="R99" s="1920"/>
      <c r="S99" s="1444"/>
      <c r="T99" s="1444"/>
      <c r="U99" s="828"/>
      <c r="V99" s="1444"/>
      <c r="W99" s="1444"/>
      <c r="X99" s="1444"/>
      <c r="Y99" s="1444"/>
      <c r="Z99" s="1444"/>
      <c r="AA99" s="1916"/>
      <c r="AB99" s="850"/>
      <c r="AC99" s="850"/>
      <c r="AD99" s="850"/>
      <c r="AE99" s="850"/>
      <c r="AF99" s="1925">
        <v>11</v>
      </c>
    </row>
    <row s="31261" customFormat="1" customHeight="1" ht="11.549999999999999">
      <c r="A100" s="1271"/>
      <c r="B100" s="1920"/>
      <c r="C100" s="1920"/>
      <c r="D100" s="635"/>
      <c r="K100" s="1444"/>
      <c r="L100" s="1920"/>
      <c r="M100" s="1920"/>
      <c r="N100" s="1444"/>
      <c r="O100" s="1444"/>
      <c r="P100" s="1444"/>
      <c r="Q100" s="1444"/>
      <c r="R100" s="1920"/>
      <c r="S100" s="1444"/>
      <c r="T100" s="1444"/>
      <c r="U100" s="828"/>
      <c r="V100" s="1444"/>
      <c r="W100" s="1444"/>
      <c r="X100" s="1444"/>
      <c r="Y100" s="1444"/>
      <c r="Z100" s="1444"/>
      <c r="AA100" s="1916"/>
      <c r="AB100" s="850"/>
      <c r="AC100" s="850"/>
      <c r="AD100" s="850"/>
      <c r="AE100" s="850"/>
      <c r="AF100" s="1925">
        <v>11</v>
      </c>
    </row>
    <row s="31261" customFormat="1" customHeight="1" ht="11.549999999999999">
      <c r="A101" s="1271"/>
      <c r="B101" s="1920"/>
      <c r="C101" s="1920"/>
      <c r="D101" s="635"/>
      <c r="K101" s="1444"/>
      <c r="L101" s="1920"/>
      <c r="M101" s="1920"/>
      <c r="N101" s="1444"/>
      <c r="O101" s="1444"/>
      <c r="P101" s="1444"/>
      <c r="Q101" s="1444"/>
      <c r="R101" s="1920"/>
      <c r="S101" s="1444"/>
      <c r="T101" s="1444"/>
      <c r="U101" s="828"/>
      <c r="V101" s="1444"/>
      <c r="W101" s="1444"/>
      <c r="X101" s="1444"/>
      <c r="Y101" s="1444"/>
      <c r="Z101" s="1444"/>
      <c r="AA101" s="1916"/>
      <c r="AB101" s="850"/>
      <c r="AC101" s="850"/>
      <c r="AD101" s="850"/>
      <c r="AE101" s="850"/>
      <c r="AF101" s="1925">
        <v>11</v>
      </c>
    </row>
    <row s="31261" customFormat="1" customHeight="1" ht="11.549999999999999">
      <c r="A102" s="1271"/>
      <c r="B102" s="1920"/>
      <c r="C102" s="1920"/>
      <c r="D102" s="635"/>
      <c r="K102" s="1444"/>
      <c r="L102" s="1920"/>
      <c r="M102" s="1920"/>
      <c r="N102" s="1444"/>
      <c r="O102" s="1444"/>
      <c r="P102" s="1444"/>
      <c r="Q102" s="1444"/>
      <c r="R102" s="1920"/>
      <c r="S102" s="1444"/>
      <c r="T102" s="1444"/>
      <c r="U102" s="828"/>
      <c r="V102" s="1444"/>
      <c r="W102" s="1444"/>
      <c r="X102" s="1444"/>
      <c r="Y102" s="1444"/>
      <c r="Z102" s="1444"/>
      <c r="AA102" s="1916"/>
      <c r="AB102" s="850"/>
      <c r="AC102" s="850"/>
      <c r="AD102" s="850"/>
      <c r="AE102" s="850"/>
      <c r="AF102" s="1925">
        <v>11</v>
      </c>
    </row>
    <row s="31261" customFormat="1" customHeight="1" ht="11.549999999999999">
      <c r="A103" s="1271"/>
      <c r="B103" s="1920"/>
      <c r="C103" s="1920"/>
      <c r="D103" s="635"/>
      <c r="K103" s="1444"/>
      <c r="L103" s="1920"/>
      <c r="M103" s="1920"/>
      <c r="N103" s="1444"/>
      <c r="O103" s="1444"/>
      <c r="P103" s="1444"/>
      <c r="Q103" s="1444"/>
      <c r="R103" s="1920"/>
      <c r="S103" s="1444"/>
      <c r="T103" s="1444"/>
      <c r="U103" s="828"/>
      <c r="V103" s="1444"/>
      <c r="W103" s="1444"/>
      <c r="X103" s="1444"/>
      <c r="Y103" s="1444"/>
      <c r="Z103" s="1444"/>
      <c r="AA103" s="1916"/>
      <c r="AB103" s="850"/>
      <c r="AC103" s="850"/>
      <c r="AD103" s="850"/>
      <c r="AE103" s="850"/>
      <c r="AF103" s="1925">
        <v>11</v>
      </c>
    </row>
    <row s="31261" customFormat="1" customHeight="1" ht="11.549999999999999">
      <c r="A104" s="1271"/>
      <c r="B104" s="1920"/>
      <c r="C104" s="1920"/>
      <c r="D104" s="635"/>
      <c r="K104" s="1444"/>
      <c r="L104" s="1920"/>
      <c r="M104" s="1920"/>
      <c r="N104" s="1444"/>
      <c r="O104" s="1444"/>
      <c r="P104" s="1444"/>
      <c r="Q104" s="1444"/>
      <c r="R104" s="1920"/>
      <c r="S104" s="1444"/>
      <c r="T104" s="1444"/>
      <c r="U104" s="828"/>
      <c r="V104" s="1444"/>
      <c r="W104" s="1444"/>
      <c r="X104" s="1444"/>
      <c r="Y104" s="1444"/>
      <c r="Z104" s="1444"/>
      <c r="AA104" s="1916"/>
      <c r="AB104" s="850"/>
      <c r="AC104" s="850"/>
      <c r="AD104" s="850"/>
      <c r="AE104" s="850"/>
      <c r="AF104" s="1925">
        <v>11</v>
      </c>
    </row>
    <row s="31261" customFormat="1" customHeight="1" ht="11.549999999999999">
      <c r="A105" s="1271"/>
      <c r="B105" s="1920"/>
      <c r="C105" s="1920"/>
      <c r="D105" s="635"/>
      <c r="K105" s="1444"/>
      <c r="L105" s="1920"/>
      <c r="M105" s="1920"/>
      <c r="N105" s="1444"/>
      <c r="O105" s="1444"/>
      <c r="P105" s="1444"/>
      <c r="Q105" s="1444"/>
      <c r="R105" s="1920"/>
      <c r="S105" s="1444"/>
      <c r="T105" s="1444"/>
      <c r="U105" s="828"/>
      <c r="V105" s="1444"/>
      <c r="W105" s="1444"/>
      <c r="X105" s="1444"/>
      <c r="Y105" s="1444"/>
      <c r="Z105" s="1444"/>
      <c r="AA105" s="1916"/>
      <c r="AB105" s="850"/>
      <c r="AC105" s="850"/>
      <c r="AD105" s="850"/>
      <c r="AE105" s="850"/>
      <c r="AF105" s="1925">
        <v>11</v>
      </c>
    </row>
    <row s="31261" customFormat="1" customHeight="1" ht="11.549999999999999">
      <c r="A106" s="1271"/>
      <c r="B106" s="1920"/>
      <c r="C106" s="1920"/>
      <c r="D106" s="635"/>
      <c r="K106" s="1444"/>
      <c r="L106" s="1920"/>
      <c r="M106" s="1920"/>
      <c r="N106" s="1444"/>
      <c r="O106" s="1444"/>
      <c r="P106" s="1444"/>
      <c r="Q106" s="1444"/>
      <c r="R106" s="1920"/>
      <c r="S106" s="1444"/>
      <c r="T106" s="1444"/>
      <c r="U106" s="828"/>
      <c r="V106" s="1444"/>
      <c r="W106" s="1444"/>
      <c r="X106" s="1444"/>
      <c r="Y106" s="1444"/>
      <c r="Z106" s="1444"/>
      <c r="AA106" s="1916"/>
      <c r="AB106" s="850"/>
      <c r="AC106" s="850"/>
      <c r="AD106" s="850"/>
      <c r="AE106" s="850"/>
      <c r="AF106" s="1925">
        <v>11</v>
      </c>
    </row>
    <row s="31261" customFormat="1" customHeight="1" ht="11.549999999999999">
      <c r="A107" s="1271"/>
      <c r="B107" s="1920"/>
      <c r="C107" s="1920"/>
      <c r="D107" s="635"/>
      <c r="K107" s="1444"/>
      <c r="L107" s="1920"/>
      <c r="M107" s="1920"/>
      <c r="N107" s="1444"/>
      <c r="O107" s="1444"/>
      <c r="P107" s="1444"/>
      <c r="Q107" s="1444"/>
      <c r="R107" s="1920"/>
      <c r="S107" s="1444"/>
      <c r="T107" s="1444"/>
      <c r="U107" s="828"/>
      <c r="V107" s="1444"/>
      <c r="W107" s="1444"/>
      <c r="X107" s="1444"/>
      <c r="Y107" s="1444"/>
      <c r="Z107" s="1444"/>
      <c r="AA107" s="1916"/>
      <c r="AB107" s="850"/>
      <c r="AC107" s="850"/>
      <c r="AD107" s="850"/>
      <c r="AE107" s="850"/>
      <c r="AF107" s="1925">
        <v>11</v>
      </c>
    </row>
    <row s="31261" customFormat="1" customHeight="1" ht="11.549999999999999">
      <c r="A108" s="1271"/>
      <c r="B108" s="1920"/>
      <c r="C108" s="1920"/>
      <c r="D108" s="635"/>
      <c r="K108" s="1444"/>
      <c r="L108" s="1920"/>
      <c r="M108" s="1920"/>
      <c r="N108" s="1444"/>
      <c r="O108" s="1444"/>
      <c r="P108" s="1444"/>
      <c r="Q108" s="1444"/>
      <c r="R108" s="1920"/>
      <c r="S108" s="1444"/>
      <c r="T108" s="1444"/>
      <c r="U108" s="828"/>
      <c r="V108" s="1444"/>
      <c r="W108" s="1444"/>
      <c r="X108" s="1444"/>
      <c r="Y108" s="1444"/>
      <c r="Z108" s="1444"/>
      <c r="AA108" s="1916"/>
      <c r="AB108" s="850"/>
      <c r="AC108" s="850"/>
      <c r="AD108" s="850"/>
      <c r="AE108" s="850"/>
      <c r="AF108" s="1925">
        <v>11</v>
      </c>
    </row>
    <row s="31261" customFormat="1" customHeight="1" ht="11.549999999999999">
      <c r="A109" s="1271"/>
      <c r="B109" s="1920"/>
      <c r="C109" s="1920"/>
      <c r="D109" s="635"/>
      <c r="K109" s="1444"/>
      <c r="L109" s="1920"/>
      <c r="M109" s="1920"/>
      <c r="N109" s="1444"/>
      <c r="O109" s="1444"/>
      <c r="P109" s="1444"/>
      <c r="Q109" s="1444"/>
      <c r="R109" s="1920"/>
      <c r="S109" s="1444"/>
      <c r="T109" s="1444"/>
      <c r="U109" s="828"/>
      <c r="V109" s="1444"/>
      <c r="W109" s="1444"/>
      <c r="X109" s="1444"/>
      <c r="Y109" s="1444"/>
      <c r="Z109" s="1444"/>
      <c r="AA109" s="1916"/>
      <c r="AB109" s="850"/>
      <c r="AC109" s="850"/>
      <c r="AD109" s="850"/>
      <c r="AE109" s="850"/>
      <c r="AF109" s="1925">
        <v>11</v>
      </c>
    </row>
    <row s="31261" customFormat="1" customHeight="1" ht="11.549999999999999">
      <c r="A110" s="1271"/>
      <c r="B110" s="1920"/>
      <c r="C110" s="1920"/>
      <c r="D110" s="635"/>
      <c r="K110" s="1444"/>
      <c r="L110" s="1920"/>
      <c r="M110" s="1920"/>
      <c r="N110" s="1444"/>
      <c r="O110" s="1444"/>
      <c r="P110" s="1444"/>
      <c r="Q110" s="1444"/>
      <c r="R110" s="1920"/>
      <c r="S110" s="1444"/>
      <c r="T110" s="1444"/>
      <c r="U110" s="828"/>
      <c r="V110" s="1444"/>
      <c r="W110" s="1444"/>
      <c r="X110" s="1444"/>
      <c r="Y110" s="1444"/>
      <c r="Z110" s="1444"/>
      <c r="AA110" s="1916"/>
      <c r="AB110" s="850"/>
      <c r="AC110" s="850"/>
      <c r="AD110" s="850"/>
      <c r="AE110" s="850"/>
      <c r="AF110" s="1925">
        <v>11</v>
      </c>
    </row>
    <row s="31261" customFormat="1" customHeight="1" ht="11.549999999999999">
      <c r="A111" s="1271"/>
      <c r="B111" s="1920"/>
      <c r="C111" s="1920"/>
      <c r="D111" s="635"/>
      <c r="K111" s="1444"/>
      <c r="L111" s="1920"/>
      <c r="M111" s="1920"/>
      <c r="N111" s="1444"/>
      <c r="O111" s="1444"/>
      <c r="P111" s="1444"/>
      <c r="Q111" s="1444"/>
      <c r="R111" s="1920"/>
      <c r="S111" s="1444"/>
      <c r="T111" s="1444"/>
      <c r="U111" s="828"/>
      <c r="V111" s="1444"/>
      <c r="W111" s="1444"/>
      <c r="X111" s="1444"/>
      <c r="Y111" s="1444"/>
      <c r="Z111" s="1444"/>
      <c r="AA111" s="1916"/>
      <c r="AB111" s="850"/>
      <c r="AC111" s="850"/>
      <c r="AD111" s="850"/>
      <c r="AE111" s="850"/>
      <c r="AF111" s="1925">
        <v>11</v>
      </c>
    </row>
    <row s="31261" customFormat="1" customHeight="1" ht="11.549999999999999">
      <c r="A112" s="1271"/>
      <c r="B112" s="1920"/>
      <c r="C112" s="1920"/>
      <c r="D112" s="635"/>
      <c r="K112" s="1444"/>
      <c r="L112" s="1920"/>
      <c r="M112" s="1920"/>
      <c r="N112" s="1444"/>
      <c r="O112" s="1444"/>
      <c r="P112" s="1444"/>
      <c r="Q112" s="1444"/>
      <c r="R112" s="1920"/>
      <c r="S112" s="1444"/>
      <c r="T112" s="1444"/>
      <c r="U112" s="828"/>
      <c r="V112" s="1444"/>
      <c r="W112" s="1444"/>
      <c r="X112" s="1444"/>
      <c r="Y112" s="1444"/>
      <c r="Z112" s="1444"/>
      <c r="AA112" s="1916"/>
      <c r="AB112" s="850"/>
      <c r="AC112" s="850"/>
      <c r="AD112" s="850"/>
      <c r="AE112" s="850"/>
      <c r="AF112" s="1925">
        <v>11</v>
      </c>
    </row>
    <row s="31261" customFormat="1" customHeight="1" ht="11.549999999999999">
      <c r="A113" s="1271"/>
      <c r="B113" s="1920"/>
      <c r="C113" s="1920"/>
      <c r="D113" s="635"/>
      <c r="K113" s="1444"/>
      <c r="L113" s="1920"/>
      <c r="M113" s="1920"/>
      <c r="N113" s="1444"/>
      <c r="O113" s="1444"/>
      <c r="P113" s="1444"/>
      <c r="Q113" s="1444"/>
      <c r="R113" s="1920"/>
      <c r="S113" s="1444"/>
      <c r="T113" s="1444"/>
      <c r="U113" s="828"/>
      <c r="V113" s="1444"/>
      <c r="W113" s="1444"/>
      <c r="X113" s="1444"/>
      <c r="Y113" s="1444"/>
      <c r="Z113" s="1444"/>
      <c r="AA113" s="1916"/>
      <c r="AB113" s="850"/>
      <c r="AC113" s="850"/>
      <c r="AD113" s="850"/>
      <c r="AE113" s="850"/>
      <c r="AF113" s="1925">
        <v>11</v>
      </c>
    </row>
    <row s="31261" customFormat="1" customHeight="1" ht="11.549999999999999">
      <c r="A114" s="1271"/>
      <c r="B114" s="1920"/>
      <c r="C114" s="1920"/>
      <c r="D114" s="635"/>
      <c r="K114" s="1444"/>
      <c r="L114" s="1920"/>
      <c r="M114" s="1920"/>
      <c r="N114" s="1444"/>
      <c r="O114" s="1444"/>
      <c r="P114" s="1444"/>
      <c r="Q114" s="1444"/>
      <c r="R114" s="1920"/>
      <c r="S114" s="1444"/>
      <c r="T114" s="1444"/>
      <c r="U114" s="828"/>
      <c r="V114" s="1444"/>
      <c r="W114" s="1444"/>
      <c r="X114" s="1444"/>
      <c r="Y114" s="1444"/>
      <c r="Z114" s="1444"/>
      <c r="AA114" s="1916"/>
      <c r="AB114" s="850"/>
      <c r="AC114" s="850"/>
      <c r="AD114" s="850"/>
      <c r="AE114" s="850"/>
      <c r="AF114" s="1925">
        <v>11</v>
      </c>
    </row>
    <row s="31261" customFormat="1" customHeight="1" ht="11.549999999999999">
      <c r="A115" s="1271"/>
      <c r="B115" s="1920"/>
      <c r="C115" s="1920"/>
      <c r="D115" s="635"/>
      <c r="K115" s="1444"/>
      <c r="L115" s="1920"/>
      <c r="M115" s="1920"/>
      <c r="N115" s="1444"/>
      <c r="O115" s="1444"/>
      <c r="P115" s="1444"/>
      <c r="Q115" s="1444"/>
      <c r="R115" s="1920"/>
      <c r="S115" s="1444"/>
      <c r="T115" s="1444"/>
      <c r="U115" s="828"/>
      <c r="V115" s="1444"/>
      <c r="W115" s="1444"/>
      <c r="X115" s="1444"/>
      <c r="Y115" s="1444"/>
      <c r="Z115" s="1444"/>
      <c r="AA115" s="1916"/>
      <c r="AB115" s="850"/>
      <c r="AC115" s="850"/>
      <c r="AD115" s="850"/>
      <c r="AE115" s="850"/>
      <c r="AF115" s="1925">
        <v>11</v>
      </c>
    </row>
    <row s="31261" customFormat="1" customHeight="1" ht="11.549999999999999">
      <c r="A116" s="1271"/>
      <c r="B116" s="1920"/>
      <c r="C116" s="1920"/>
      <c r="D116" s="635"/>
      <c r="K116" s="1444"/>
      <c r="L116" s="1920"/>
      <c r="M116" s="1920"/>
      <c r="N116" s="1444"/>
      <c r="O116" s="1444"/>
      <c r="P116" s="1444"/>
      <c r="Q116" s="1444"/>
      <c r="R116" s="1920"/>
      <c r="S116" s="1444"/>
      <c r="T116" s="1444"/>
      <c r="U116" s="828"/>
      <c r="V116" s="1444"/>
      <c r="W116" s="1444"/>
      <c r="X116" s="1444"/>
      <c r="Y116" s="1444"/>
      <c r="Z116" s="1444"/>
      <c r="AA116" s="1916"/>
      <c r="AB116" s="850"/>
      <c r="AC116" s="850"/>
      <c r="AD116" s="850"/>
      <c r="AE116" s="850"/>
      <c r="AF116" s="1925">
        <v>11</v>
      </c>
    </row>
    <row s="31261" customFormat="1" customHeight="1" ht="11.549999999999999">
      <c r="A117" s="1271"/>
      <c r="B117" s="1920"/>
      <c r="C117" s="1920"/>
      <c r="D117" s="635"/>
      <c r="K117" s="1444"/>
      <c r="L117" s="1920"/>
      <c r="M117" s="1920"/>
      <c r="N117" s="1444"/>
      <c r="O117" s="1444"/>
      <c r="P117" s="1444"/>
      <c r="Q117" s="1444"/>
      <c r="R117" s="1920"/>
      <c r="S117" s="1444"/>
      <c r="T117" s="1444"/>
      <c r="U117" s="828"/>
      <c r="V117" s="1444"/>
      <c r="W117" s="1444"/>
      <c r="X117" s="1444"/>
      <c r="Y117" s="1444"/>
      <c r="Z117" s="1444"/>
      <c r="AA117" s="1916"/>
      <c r="AB117" s="850"/>
      <c r="AC117" s="850"/>
      <c r="AD117" s="850"/>
      <c r="AE117" s="850"/>
      <c r="AF117" s="1925">
        <v>11</v>
      </c>
    </row>
    <row s="31261" customFormat="1" customHeight="1" ht="11.549999999999999">
      <c r="A118" s="1271"/>
      <c r="B118" s="1920"/>
      <c r="C118" s="1920"/>
      <c r="D118" s="635"/>
      <c r="K118" s="1444"/>
      <c r="L118" s="1920"/>
      <c r="M118" s="1920"/>
      <c r="N118" s="1444"/>
      <c r="O118" s="1444"/>
      <c r="P118" s="1444"/>
      <c r="Q118" s="1444"/>
      <c r="R118" s="1920"/>
      <c r="S118" s="1444"/>
      <c r="T118" s="1444"/>
      <c r="U118" s="828"/>
      <c r="V118" s="1444"/>
      <c r="W118" s="1444"/>
      <c r="X118" s="1444"/>
      <c r="Y118" s="1444"/>
      <c r="Z118" s="1444"/>
      <c r="AA118" s="1916"/>
      <c r="AB118" s="850"/>
      <c r="AC118" s="850"/>
      <c r="AD118" s="850"/>
      <c r="AE118" s="850"/>
      <c r="AF118" s="1925">
        <v>11</v>
      </c>
    </row>
    <row s="31261" customFormat="1" customHeight="1" ht="11.549999999999999">
      <c r="A119" s="1271"/>
      <c r="B119" s="1920"/>
      <c r="C119" s="1920"/>
      <c r="D119" s="635"/>
      <c r="K119" s="1444"/>
      <c r="L119" s="1920"/>
      <c r="M119" s="1920"/>
      <c r="N119" s="1444"/>
      <c r="O119" s="1444"/>
      <c r="P119" s="1444"/>
      <c r="Q119" s="1444"/>
      <c r="R119" s="1920"/>
      <c r="S119" s="1444"/>
      <c r="T119" s="1444"/>
      <c r="U119" s="828"/>
      <c r="V119" s="1444"/>
      <c r="W119" s="1444"/>
      <c r="X119" s="1444"/>
      <c r="Y119" s="1444"/>
      <c r="Z119" s="1444"/>
      <c r="AA119" s="1916"/>
      <c r="AB119" s="850"/>
      <c r="AC119" s="850"/>
      <c r="AD119" s="850"/>
      <c r="AE119" s="850"/>
      <c r="AF119" s="1925">
        <v>11</v>
      </c>
    </row>
    <row s="31261" customFormat="1" customHeight="1" ht="11.549999999999999">
      <c r="A120" s="1271"/>
      <c r="B120" s="1920"/>
      <c r="C120" s="1920"/>
      <c r="D120" s="635"/>
      <c r="K120" s="1444"/>
      <c r="L120" s="1920"/>
      <c r="M120" s="1920"/>
      <c r="N120" s="1444"/>
      <c r="O120" s="1444"/>
      <c r="P120" s="1444"/>
      <c r="Q120" s="1444"/>
      <c r="R120" s="1920"/>
      <c r="S120" s="1444"/>
      <c r="T120" s="1444"/>
      <c r="U120" s="828"/>
      <c r="V120" s="1444"/>
      <c r="W120" s="1444"/>
      <c r="X120" s="1444"/>
      <c r="Y120" s="1444"/>
      <c r="Z120" s="1444"/>
      <c r="AA120" s="1916"/>
      <c r="AB120" s="850"/>
      <c r="AC120" s="850"/>
      <c r="AD120" s="850"/>
      <c r="AE120" s="850"/>
      <c r="AF120" s="1925">
        <v>11</v>
      </c>
    </row>
    <row s="31261" customFormat="1" customHeight="1" ht="11.549999999999999">
      <c r="A121" s="1271"/>
      <c r="B121" s="1920"/>
      <c r="C121" s="1920"/>
      <c r="D121" s="635"/>
      <c r="K121" s="1444"/>
      <c r="L121" s="1920"/>
      <c r="M121" s="1920"/>
      <c r="N121" s="1444"/>
      <c r="O121" s="1444"/>
      <c r="P121" s="1444"/>
      <c r="Q121" s="1444"/>
      <c r="R121" s="1920"/>
      <c r="S121" s="1444"/>
      <c r="T121" s="1444"/>
      <c r="U121" s="828"/>
      <c r="V121" s="1444"/>
      <c r="W121" s="1444"/>
      <c r="X121" s="1444"/>
      <c r="Y121" s="1444"/>
      <c r="Z121" s="1444"/>
      <c r="AA121" s="1916"/>
      <c r="AB121" s="850"/>
      <c r="AC121" s="850"/>
      <c r="AD121" s="850"/>
      <c r="AE121" s="850"/>
      <c r="AF121" s="1925">
        <v>11</v>
      </c>
    </row>
    <row s="31261" customFormat="1" customHeight="1" ht="11.549999999999999">
      <c r="A122" s="1271"/>
      <c r="B122" s="1920"/>
      <c r="C122" s="1920"/>
      <c r="D122" s="635"/>
      <c r="K122" s="1444"/>
      <c r="L122" s="1920"/>
      <c r="M122" s="1920"/>
      <c r="N122" s="1444"/>
      <c r="O122" s="1444"/>
      <c r="P122" s="1444"/>
      <c r="Q122" s="1444"/>
      <c r="R122" s="1920"/>
      <c r="S122" s="1444"/>
      <c r="T122" s="1444"/>
      <c r="U122" s="828"/>
      <c r="V122" s="1444"/>
      <c r="W122" s="1444"/>
      <c r="X122" s="1444"/>
      <c r="Y122" s="1444"/>
      <c r="Z122" s="1444"/>
      <c r="AA122" s="1916"/>
      <c r="AB122" s="850"/>
      <c r="AC122" s="850"/>
      <c r="AD122" s="850"/>
      <c r="AE122" s="850"/>
      <c r="AF122" s="1925">
        <v>11</v>
      </c>
    </row>
    <row s="31261" customFormat="1" customHeight="1" ht="11.549999999999999">
      <c r="A123" s="1271"/>
      <c r="B123" s="1920"/>
      <c r="C123" s="1920"/>
      <c r="D123" s="635"/>
      <c r="K123" s="1444"/>
      <c r="L123" s="1920"/>
      <c r="M123" s="1920"/>
      <c r="N123" s="1444"/>
      <c r="O123" s="1444"/>
      <c r="P123" s="1444"/>
      <c r="Q123" s="1444"/>
      <c r="R123" s="1920"/>
      <c r="S123" s="1444"/>
      <c r="T123" s="1444"/>
      <c r="U123" s="828"/>
      <c r="V123" s="1444"/>
      <c r="W123" s="1444"/>
      <c r="X123" s="1444"/>
      <c r="Y123" s="1444"/>
      <c r="Z123" s="1444"/>
      <c r="AA123" s="1916"/>
      <c r="AB123" s="850"/>
      <c r="AC123" s="850"/>
      <c r="AD123" s="850"/>
      <c r="AE123" s="850"/>
      <c r="AF123" s="1925">
        <v>11</v>
      </c>
    </row>
    <row s="31261" customFormat="1" customHeight="1" ht="11.549999999999999">
      <c r="A124" s="1271"/>
      <c r="B124" s="1920"/>
      <c r="C124" s="1920"/>
      <c r="D124" s="635"/>
      <c r="K124" s="1444"/>
      <c r="L124" s="1920"/>
      <c r="M124" s="1920"/>
      <c r="N124" s="1444"/>
      <c r="O124" s="1444"/>
      <c r="P124" s="1444"/>
      <c r="Q124" s="1444"/>
      <c r="R124" s="1920"/>
      <c r="S124" s="1444"/>
      <c r="T124" s="1444"/>
      <c r="U124" s="828"/>
      <c r="V124" s="1444"/>
      <c r="W124" s="1444"/>
      <c r="X124" s="1444"/>
      <c r="Y124" s="1444"/>
      <c r="Z124" s="1444"/>
      <c r="AA124" s="1916"/>
      <c r="AB124" s="850"/>
      <c r="AC124" s="850"/>
      <c r="AD124" s="850"/>
      <c r="AE124" s="850"/>
      <c r="AF124" s="1925">
        <v>11</v>
      </c>
    </row>
    <row s="31261" customFormat="1" customHeight="1" ht="11.549999999999999">
      <c r="A125" s="1271"/>
      <c r="B125" s="1920"/>
      <c r="C125" s="1920"/>
      <c r="D125" s="635"/>
      <c r="K125" s="1444"/>
      <c r="L125" s="1920"/>
      <c r="M125" s="1920"/>
      <c r="N125" s="1444"/>
      <c r="O125" s="1444"/>
      <c r="P125" s="1444"/>
      <c r="Q125" s="1444"/>
      <c r="R125" s="1920"/>
      <c r="S125" s="1444"/>
      <c r="T125" s="1444"/>
      <c r="U125" s="828"/>
      <c r="V125" s="1444"/>
      <c r="W125" s="1444"/>
      <c r="X125" s="1444"/>
      <c r="Y125" s="1444"/>
      <c r="Z125" s="1444"/>
      <c r="AA125" s="1916"/>
      <c r="AB125" s="850"/>
      <c r="AC125" s="850"/>
      <c r="AD125" s="850"/>
      <c r="AE125" s="850"/>
      <c r="AF125" s="1925">
        <v>11</v>
      </c>
    </row>
    <row s="31261" customFormat="1" customHeight="1" ht="11.549999999999999">
      <c r="A126" s="1271"/>
      <c r="B126" s="1920"/>
      <c r="C126" s="1920"/>
      <c r="D126" s="635"/>
      <c r="K126" s="1444"/>
      <c r="L126" s="1920"/>
      <c r="M126" s="1920"/>
      <c r="N126" s="1444"/>
      <c r="O126" s="1444"/>
      <c r="P126" s="1444"/>
      <c r="Q126" s="1444"/>
      <c r="R126" s="1920"/>
      <c r="S126" s="1444"/>
      <c r="T126" s="1444"/>
      <c r="U126" s="828"/>
      <c r="V126" s="1444"/>
      <c r="W126" s="1444"/>
      <c r="X126" s="1444"/>
      <c r="Y126" s="1444"/>
      <c r="Z126" s="1444"/>
      <c r="AA126" s="1916"/>
      <c r="AB126" s="850"/>
      <c r="AC126" s="850"/>
      <c r="AD126" s="850"/>
      <c r="AE126" s="850"/>
      <c r="AF126" s="1925">
        <v>11</v>
      </c>
    </row>
    <row s="31261" customFormat="1" customHeight="1" ht="11.549999999999999">
      <c r="A127" s="1271"/>
      <c r="B127" s="1920"/>
      <c r="C127" s="1920"/>
      <c r="D127" s="635"/>
      <c r="K127" s="1444"/>
      <c r="L127" s="1920"/>
      <c r="M127" s="1920"/>
      <c r="N127" s="1444"/>
      <c r="O127" s="1444"/>
      <c r="P127" s="1444"/>
      <c r="Q127" s="1444"/>
      <c r="R127" s="1920"/>
      <c r="S127" s="1444"/>
      <c r="T127" s="1444"/>
      <c r="U127" s="828"/>
      <c r="V127" s="1444"/>
      <c r="W127" s="1444"/>
      <c r="X127" s="1444"/>
      <c r="Y127" s="1444"/>
      <c r="Z127" s="1444"/>
      <c r="AA127" s="1916"/>
      <c r="AB127" s="850"/>
      <c r="AC127" s="850"/>
      <c r="AD127" s="850"/>
      <c r="AE127" s="850"/>
      <c r="AF127" s="1925">
        <v>11</v>
      </c>
    </row>
    <row s="31261" customFormat="1" customHeight="1" ht="11.549999999999999">
      <c r="A128" s="1271"/>
      <c r="B128" s="1920"/>
      <c r="C128" s="1920"/>
      <c r="D128" s="635"/>
      <c r="K128" s="1444"/>
      <c r="L128" s="1920"/>
      <c r="M128" s="1920"/>
      <c r="N128" s="1444"/>
      <c r="O128" s="1444"/>
      <c r="P128" s="1444"/>
      <c r="Q128" s="1444"/>
      <c r="R128" s="1920"/>
      <c r="S128" s="1444"/>
      <c r="T128" s="1444"/>
      <c r="U128" s="828"/>
      <c r="V128" s="1444"/>
      <c r="W128" s="1444"/>
      <c r="X128" s="1444"/>
      <c r="Y128" s="1444"/>
      <c r="Z128" s="1444"/>
      <c r="AA128" s="1916"/>
      <c r="AB128" s="850"/>
      <c r="AC128" s="850"/>
      <c r="AD128" s="850"/>
      <c r="AE128" s="850"/>
      <c r="AF128" s="1925">
        <v>11</v>
      </c>
    </row>
    <row s="31261" customFormat="1" customHeight="1" ht="11.549999999999999">
      <c r="A129" s="1271"/>
      <c r="B129" s="1920"/>
      <c r="C129" s="1920"/>
      <c r="D129" s="635"/>
      <c r="K129" s="1444"/>
      <c r="L129" s="1920"/>
      <c r="M129" s="1920"/>
      <c r="N129" s="1444"/>
      <c r="O129" s="1444"/>
      <c r="P129" s="1444"/>
      <c r="Q129" s="1444"/>
      <c r="R129" s="1920"/>
      <c r="S129" s="1444"/>
      <c r="T129" s="1444"/>
      <c r="U129" s="828"/>
      <c r="V129" s="1444"/>
      <c r="W129" s="1444"/>
      <c r="X129" s="1444"/>
      <c r="Y129" s="1444"/>
      <c r="Z129" s="1444"/>
      <c r="AA129" s="1916"/>
      <c r="AB129" s="850"/>
      <c r="AC129" s="850"/>
      <c r="AD129" s="850"/>
      <c r="AE129" s="850"/>
      <c r="AF129" s="1925">
        <v>11</v>
      </c>
    </row>
    <row s="31261" customFormat="1" customHeight="1" ht="11.549999999999999">
      <c r="A130" s="1271"/>
      <c r="B130" s="1920"/>
      <c r="C130" s="1920"/>
      <c r="D130" s="635"/>
      <c r="K130" s="1444"/>
      <c r="L130" s="1920"/>
      <c r="M130" s="1920"/>
      <c r="N130" s="1444"/>
      <c r="O130" s="1444"/>
      <c r="P130" s="1444"/>
      <c r="Q130" s="1444"/>
      <c r="R130" s="1920"/>
      <c r="S130" s="1444"/>
      <c r="T130" s="1444"/>
      <c r="U130" s="828"/>
      <c r="V130" s="1444"/>
      <c r="W130" s="1444"/>
      <c r="X130" s="1444"/>
      <c r="Y130" s="1444"/>
      <c r="Z130" s="1444"/>
      <c r="AA130" s="1916"/>
      <c r="AB130" s="850"/>
      <c r="AC130" s="850"/>
      <c r="AD130" s="850"/>
      <c r="AE130" s="850"/>
      <c r="AF130" s="1925">
        <v>11</v>
      </c>
    </row>
    <row s="31261" customFormat="1" customHeight="1" ht="11.549999999999999">
      <c r="A131" s="1271"/>
      <c r="B131" s="1920"/>
      <c r="C131" s="1920"/>
      <c r="D131" s="635"/>
      <c r="K131" s="1444"/>
      <c r="L131" s="1920"/>
      <c r="M131" s="1920"/>
      <c r="N131" s="1444"/>
      <c r="O131" s="1444"/>
      <c r="P131" s="1444"/>
      <c r="Q131" s="1444"/>
      <c r="R131" s="1920"/>
      <c r="S131" s="1444"/>
      <c r="T131" s="1444"/>
      <c r="U131" s="828"/>
      <c r="V131" s="1444"/>
      <c r="W131" s="1444"/>
      <c r="X131" s="1444"/>
      <c r="Y131" s="1444"/>
      <c r="Z131" s="1444"/>
      <c r="AA131" s="1916"/>
      <c r="AB131" s="850"/>
      <c r="AC131" s="850"/>
      <c r="AD131" s="850"/>
      <c r="AE131" s="850"/>
      <c r="AF131" s="1925">
        <v>11</v>
      </c>
    </row>
    <row s="31261" customFormat="1" customHeight="1" ht="11.549999999999999">
      <c r="A132" s="1271"/>
      <c r="B132" s="1920"/>
      <c r="C132" s="1920"/>
      <c r="D132" s="635"/>
      <c r="K132" s="1444"/>
      <c r="L132" s="1920"/>
      <c r="M132" s="1920"/>
      <c r="N132" s="1444"/>
      <c r="O132" s="1444"/>
      <c r="P132" s="1444"/>
      <c r="Q132" s="1444"/>
      <c r="R132" s="1920"/>
      <c r="S132" s="1444"/>
      <c r="T132" s="1444"/>
      <c r="U132" s="828"/>
      <c r="V132" s="1444"/>
      <c r="W132" s="1444"/>
      <c r="X132" s="1444"/>
      <c r="Y132" s="1444"/>
      <c r="Z132" s="1444"/>
      <c r="AA132" s="1916"/>
      <c r="AB132" s="850"/>
      <c r="AC132" s="850"/>
      <c r="AD132" s="850"/>
      <c r="AE132" s="850"/>
      <c r="AF132" s="1925">
        <v>11</v>
      </c>
    </row>
    <row s="31261" customFormat="1" customHeight="1" ht="11.549999999999999">
      <c r="A133" s="1271"/>
      <c r="B133" s="1920"/>
      <c r="C133" s="1920"/>
      <c r="D133" s="635"/>
      <c r="K133" s="1444"/>
      <c r="L133" s="1920"/>
      <c r="M133" s="1920"/>
      <c r="N133" s="1444"/>
      <c r="O133" s="1444"/>
      <c r="P133" s="1444"/>
      <c r="Q133" s="1444"/>
      <c r="R133" s="1920"/>
      <c r="S133" s="1444"/>
      <c r="T133" s="1444"/>
      <c r="U133" s="828"/>
      <c r="V133" s="1444"/>
      <c r="W133" s="1444"/>
      <c r="X133" s="1444"/>
      <c r="Y133" s="1444"/>
      <c r="Z133" s="1444"/>
      <c r="AA133" s="1916"/>
      <c r="AB133" s="850"/>
      <c r="AC133" s="850"/>
      <c r="AD133" s="850"/>
      <c r="AE133" s="850"/>
      <c r="AF133" s="1925">
        <v>11</v>
      </c>
    </row>
    <row s="31261" customFormat="1" customHeight="1" ht="11.549999999999999">
      <c r="A134" s="1271"/>
      <c r="B134" s="1920"/>
      <c r="C134" s="1920"/>
      <c r="D134" s="635"/>
      <c r="K134" s="1444"/>
      <c r="L134" s="1920"/>
      <c r="M134" s="1920"/>
      <c r="N134" s="1444"/>
      <c r="O134" s="1444"/>
      <c r="P134" s="1444"/>
      <c r="Q134" s="1444"/>
      <c r="R134" s="1920"/>
      <c r="S134" s="1444"/>
      <c r="T134" s="1444"/>
      <c r="U134" s="828"/>
      <c r="V134" s="1444"/>
      <c r="W134" s="1444"/>
      <c r="X134" s="1444"/>
      <c r="Y134" s="1444"/>
      <c r="Z134" s="1444"/>
      <c r="AA134" s="1916"/>
      <c r="AB134" s="850"/>
      <c r="AC134" s="850"/>
      <c r="AD134" s="850"/>
      <c r="AE134" s="850"/>
      <c r="AF134" s="1925">
        <v>11</v>
      </c>
    </row>
    <row s="31261" customFormat="1" customHeight="1" ht="11.549999999999999">
      <c r="A135" s="1271"/>
      <c r="B135" s="1920"/>
      <c r="C135" s="1920"/>
      <c r="D135" s="635"/>
      <c r="K135" s="1444"/>
      <c r="L135" s="1920"/>
      <c r="M135" s="1920"/>
      <c r="N135" s="1444"/>
      <c r="O135" s="1444"/>
      <c r="P135" s="1444"/>
      <c r="Q135" s="1444"/>
      <c r="R135" s="1920"/>
      <c r="S135" s="1444"/>
      <c r="T135" s="1444"/>
      <c r="U135" s="828"/>
      <c r="V135" s="1444"/>
      <c r="W135" s="1444"/>
      <c r="X135" s="1444"/>
      <c r="Y135" s="1444"/>
      <c r="Z135" s="1444"/>
      <c r="AA135" s="1916"/>
      <c r="AB135" s="850"/>
      <c r="AC135" s="850"/>
      <c r="AD135" s="850"/>
      <c r="AE135" s="850"/>
      <c r="AF135" s="1925">
        <v>11</v>
      </c>
    </row>
    <row s="31261" customFormat="1" customHeight="1" ht="11.549999999999999">
      <c r="A136" s="1271"/>
      <c r="B136" s="1920"/>
      <c r="C136" s="1920"/>
      <c r="D136" s="635"/>
      <c r="K136" s="1444"/>
      <c r="L136" s="1920"/>
      <c r="M136" s="1920"/>
      <c r="N136" s="1444"/>
      <c r="O136" s="1444"/>
      <c r="P136" s="1444"/>
      <c r="Q136" s="1444"/>
      <c r="R136" s="1920"/>
      <c r="S136" s="1444"/>
      <c r="T136" s="1444"/>
      <c r="U136" s="828"/>
      <c r="V136" s="1444"/>
      <c r="W136" s="1444"/>
      <c r="X136" s="1444"/>
      <c r="Y136" s="1444"/>
      <c r="Z136" s="1444"/>
      <c r="AA136" s="1916"/>
      <c r="AB136" s="850"/>
      <c r="AC136" s="850"/>
      <c r="AD136" s="850"/>
      <c r="AE136" s="850"/>
      <c r="AF136" s="1925">
        <v>11</v>
      </c>
    </row>
    <row s="31261" customFormat="1" customHeight="1" ht="11.549999999999999">
      <c r="A137" s="1271"/>
      <c r="B137" s="1920"/>
      <c r="C137" s="1920"/>
      <c r="D137" s="635"/>
      <c r="K137" s="1444"/>
      <c r="L137" s="1920"/>
      <c r="M137" s="1920"/>
      <c r="N137" s="1444"/>
      <c r="O137" s="1444"/>
      <c r="P137" s="1444"/>
      <c r="Q137" s="1444"/>
      <c r="R137" s="1920"/>
      <c r="S137" s="1444"/>
      <c r="T137" s="1444"/>
      <c r="U137" s="828"/>
      <c r="V137" s="1444"/>
      <c r="W137" s="1444"/>
      <c r="X137" s="1444"/>
      <c r="Y137" s="1444"/>
      <c r="Z137" s="1444"/>
      <c r="AA137" s="1916"/>
      <c r="AB137" s="850"/>
      <c r="AC137" s="850"/>
      <c r="AD137" s="850"/>
      <c r="AE137" s="850"/>
      <c r="AF137" s="1925">
        <v>11</v>
      </c>
    </row>
    <row s="31261" customFormat="1" customHeight="1" ht="11.549999999999999">
      <c r="A138" s="1271"/>
      <c r="B138" s="1920"/>
      <c r="C138" s="1920"/>
      <c r="D138" s="635"/>
      <c r="K138" s="1444"/>
      <c r="L138" s="1920"/>
      <c r="M138" s="1920"/>
      <c r="N138" s="1444"/>
      <c r="O138" s="1444"/>
      <c r="P138" s="1444"/>
      <c r="Q138" s="1444"/>
      <c r="R138" s="1920"/>
      <c r="S138" s="1444"/>
      <c r="T138" s="1444"/>
      <c r="U138" s="828"/>
      <c r="V138" s="1444"/>
      <c r="W138" s="1444"/>
      <c r="X138" s="1444"/>
      <c r="Y138" s="1444"/>
      <c r="Z138" s="1444"/>
      <c r="AA138" s="1916"/>
      <c r="AB138" s="850"/>
      <c r="AC138" s="850"/>
      <c r="AD138" s="850"/>
      <c r="AE138" s="850"/>
      <c r="AF138" s="1925">
        <v>11</v>
      </c>
    </row>
    <row s="31261" customFormat="1" customHeight="1" ht="11.549999999999999">
      <c r="A139" s="1271"/>
      <c r="B139" s="1920"/>
      <c r="C139" s="1920"/>
      <c r="D139" s="635"/>
      <c r="K139" s="1444"/>
      <c r="L139" s="1920"/>
      <c r="M139" s="1920"/>
      <c r="N139" s="1444"/>
      <c r="O139" s="1444"/>
      <c r="P139" s="1444"/>
      <c r="Q139" s="1444"/>
      <c r="R139" s="1920"/>
      <c r="S139" s="1444"/>
      <c r="T139" s="1444"/>
      <c r="U139" s="828"/>
      <c r="V139" s="1444"/>
      <c r="W139" s="1444"/>
      <c r="X139" s="1444"/>
      <c r="Y139" s="1444"/>
      <c r="Z139" s="1444"/>
      <c r="AA139" s="1916"/>
      <c r="AB139" s="850"/>
      <c r="AC139" s="850"/>
      <c r="AD139" s="850"/>
      <c r="AE139" s="850"/>
      <c r="AF139" s="1925">
        <v>11</v>
      </c>
    </row>
    <row s="31261" customFormat="1" customHeight="1" ht="11.549999999999999">
      <c r="A140" s="1271"/>
      <c r="B140" s="1920"/>
      <c r="C140" s="1920"/>
      <c r="D140" s="635"/>
      <c r="K140" s="1444"/>
      <c r="L140" s="1920"/>
      <c r="M140" s="1920"/>
      <c r="N140" s="1444"/>
      <c r="O140" s="1444"/>
      <c r="P140" s="1444"/>
      <c r="Q140" s="1444"/>
      <c r="R140" s="1920"/>
      <c r="S140" s="1444"/>
      <c r="T140" s="1444"/>
      <c r="U140" s="828"/>
      <c r="V140" s="1444"/>
      <c r="W140" s="1444"/>
      <c r="X140" s="1444"/>
      <c r="Y140" s="1444"/>
      <c r="Z140" s="1444"/>
      <c r="AA140" s="1916"/>
      <c r="AB140" s="850"/>
      <c r="AC140" s="850"/>
      <c r="AD140" s="850"/>
      <c r="AE140" s="850"/>
      <c r="AF140" s="1925">
        <v>11</v>
      </c>
    </row>
    <row s="31261" customFormat="1" customHeight="1" ht="11.549999999999999">
      <c r="A141" s="1271"/>
      <c r="B141" s="1920"/>
      <c r="C141" s="1920"/>
      <c r="D141" s="635"/>
      <c r="K141" s="1444"/>
      <c r="L141" s="1920"/>
      <c r="M141" s="1920"/>
      <c r="N141" s="1444"/>
      <c r="O141" s="1444"/>
      <c r="P141" s="1444"/>
      <c r="Q141" s="1444"/>
      <c r="R141" s="1920"/>
      <c r="S141" s="1444"/>
      <c r="T141" s="1444"/>
      <c r="U141" s="828"/>
      <c r="V141" s="1444"/>
      <c r="W141" s="1444"/>
      <c r="X141" s="1444"/>
      <c r="Y141" s="1444"/>
      <c r="Z141" s="1444"/>
      <c r="AA141" s="1916"/>
      <c r="AB141" s="850"/>
      <c r="AC141" s="850"/>
      <c r="AD141" s="850"/>
      <c r="AE141" s="850"/>
      <c r="AF141" s="1925">
        <v>11</v>
      </c>
    </row>
    <row s="31261" customFormat="1" customHeight="1" ht="11.549999999999999">
      <c r="A142" s="1271"/>
      <c r="B142" s="1920"/>
      <c r="C142" s="1920"/>
      <c r="D142" s="635"/>
      <c r="K142" s="1444"/>
      <c r="L142" s="1920"/>
      <c r="M142" s="1920"/>
      <c r="N142" s="1444"/>
      <c r="O142" s="1444"/>
      <c r="P142" s="1444"/>
      <c r="Q142" s="1444"/>
      <c r="R142" s="1920"/>
      <c r="S142" s="1444"/>
      <c r="T142" s="1444"/>
      <c r="U142" s="828"/>
      <c r="V142" s="1444"/>
      <c r="W142" s="1444"/>
      <c r="X142" s="1444"/>
      <c r="Y142" s="1444"/>
      <c r="Z142" s="1444"/>
      <c r="AA142" s="1916"/>
      <c r="AB142" s="850"/>
      <c r="AC142" s="850"/>
      <c r="AD142" s="850"/>
      <c r="AE142" s="850"/>
      <c r="AF142" s="1925">
        <v>11</v>
      </c>
    </row>
    <row s="31261" customFormat="1" customHeight="1" ht="11.549999999999999">
      <c r="A143" s="1271"/>
      <c r="B143" s="1920"/>
      <c r="C143" s="1920"/>
      <c r="D143" s="635"/>
      <c r="K143" s="1444"/>
      <c r="L143" s="1920"/>
      <c r="M143" s="1920"/>
      <c r="N143" s="1444"/>
      <c r="O143" s="1444"/>
      <c r="P143" s="1444"/>
      <c r="Q143" s="1444"/>
      <c r="R143" s="1920"/>
      <c r="S143" s="1444"/>
      <c r="T143" s="1444"/>
      <c r="U143" s="828"/>
      <c r="V143" s="1444"/>
      <c r="W143" s="1444"/>
      <c r="X143" s="1444"/>
      <c r="Y143" s="1444"/>
      <c r="Z143" s="1444"/>
      <c r="AA143" s="1916"/>
      <c r="AB143" s="850"/>
      <c r="AC143" s="850"/>
      <c r="AD143" s="850"/>
      <c r="AE143" s="850"/>
      <c r="AF143" s="1925">
        <v>11</v>
      </c>
    </row>
    <row s="31261" customFormat="1" customHeight="1" ht="11.549999999999999">
      <c r="A144" s="1271"/>
      <c r="B144" s="1920"/>
      <c r="C144" s="1920"/>
      <c r="D144" s="635"/>
      <c r="K144" s="1444"/>
      <c r="L144" s="1920"/>
      <c r="M144" s="1920"/>
      <c r="N144" s="1444"/>
      <c r="O144" s="1444"/>
      <c r="P144" s="1444"/>
      <c r="Q144" s="1444"/>
      <c r="R144" s="1920"/>
      <c r="S144" s="1444"/>
      <c r="T144" s="1444"/>
      <c r="U144" s="828"/>
      <c r="V144" s="1444"/>
      <c r="W144" s="1444"/>
      <c r="X144" s="1444"/>
      <c r="Y144" s="1444"/>
      <c r="Z144" s="1444"/>
      <c r="AA144" s="1916"/>
      <c r="AB144" s="850"/>
      <c r="AC144" s="850"/>
      <c r="AD144" s="850"/>
      <c r="AE144" s="850"/>
      <c r="AF144" s="1925">
        <v>11</v>
      </c>
    </row>
    <row s="31261" customFormat="1" customHeight="1" ht="11.549999999999999">
      <c r="A145" s="1271"/>
      <c r="B145" s="1920"/>
      <c r="C145" s="1920"/>
      <c r="D145" s="635"/>
      <c r="K145" s="1444"/>
      <c r="L145" s="1920"/>
      <c r="M145" s="1920"/>
      <c r="N145" s="1444"/>
      <c r="O145" s="1444"/>
      <c r="P145" s="1444"/>
      <c r="Q145" s="1444"/>
      <c r="R145" s="1920"/>
      <c r="S145" s="1444"/>
      <c r="T145" s="1444"/>
      <c r="U145" s="828"/>
      <c r="V145" s="1444"/>
      <c r="W145" s="1444"/>
      <c r="X145" s="1444"/>
      <c r="Y145" s="1444"/>
      <c r="Z145" s="1444"/>
      <c r="AA145" s="1916"/>
      <c r="AB145" s="850"/>
      <c r="AC145" s="850"/>
      <c r="AD145" s="850"/>
      <c r="AE145" s="850"/>
      <c r="AF145" s="1925">
        <v>11</v>
      </c>
    </row>
    <row s="31261" customFormat="1" customHeight="1" ht="11.549999999999999">
      <c r="A146" s="1271"/>
      <c r="B146" s="1920"/>
      <c r="C146" s="1920"/>
      <c r="D146" s="635"/>
      <c r="K146" s="1444"/>
      <c r="L146" s="1920"/>
      <c r="M146" s="1920"/>
      <c r="N146" s="1444"/>
      <c r="O146" s="1444"/>
      <c r="P146" s="1444"/>
      <c r="Q146" s="1444"/>
      <c r="R146" s="1920"/>
      <c r="S146" s="1444"/>
      <c r="T146" s="1444"/>
      <c r="U146" s="828"/>
      <c r="V146" s="1444"/>
      <c r="W146" s="1444"/>
      <c r="X146" s="1444"/>
      <c r="Y146" s="1444"/>
      <c r="Z146" s="1444"/>
      <c r="AA146" s="1916"/>
      <c r="AB146" s="850"/>
      <c r="AC146" s="850"/>
      <c r="AD146" s="850"/>
      <c r="AE146" s="850"/>
      <c r="AF146" s="1925">
        <v>11</v>
      </c>
    </row>
    <row s="31261" customFormat="1" customHeight="1" ht="11.549999999999999">
      <c r="A147" s="1271"/>
      <c r="B147" s="1920"/>
      <c r="C147" s="1920"/>
      <c r="D147" s="635"/>
      <c r="K147" s="1444"/>
      <c r="L147" s="1920"/>
      <c r="M147" s="1920"/>
      <c r="N147" s="1444"/>
      <c r="O147" s="1444"/>
      <c r="P147" s="1444"/>
      <c r="Q147" s="1444"/>
      <c r="R147" s="1920"/>
      <c r="S147" s="1444"/>
      <c r="T147" s="1444"/>
      <c r="U147" s="828"/>
      <c r="V147" s="1444"/>
      <c r="W147" s="1444"/>
      <c r="X147" s="1444"/>
      <c r="Y147" s="1444"/>
      <c r="Z147" s="1444"/>
      <c r="AA147" s="1916"/>
      <c r="AB147" s="850"/>
      <c r="AC147" s="850"/>
      <c r="AD147" s="850"/>
      <c r="AE147" s="850"/>
      <c r="AF147" s="1925">
        <v>11</v>
      </c>
    </row>
    <row s="31261" customFormat="1" customHeight="1" ht="11.549999999999999">
      <c r="A148" s="1271"/>
      <c r="B148" s="1920"/>
      <c r="C148" s="1920"/>
      <c r="D148" s="635"/>
      <c r="K148" s="1444"/>
      <c r="L148" s="1920"/>
      <c r="M148" s="1920"/>
      <c r="N148" s="1444"/>
      <c r="O148" s="1444"/>
      <c r="P148" s="1444"/>
      <c r="Q148" s="1444"/>
      <c r="R148" s="1920"/>
      <c r="S148" s="1444"/>
      <c r="T148" s="1444"/>
      <c r="U148" s="828"/>
      <c r="V148" s="1444"/>
      <c r="W148" s="1444"/>
      <c r="X148" s="1444"/>
      <c r="Y148" s="1444"/>
      <c r="Z148" s="1444"/>
      <c r="AA148" s="1916"/>
      <c r="AB148" s="850"/>
      <c r="AC148" s="850"/>
      <c r="AD148" s="850"/>
      <c r="AE148" s="850"/>
      <c r="AF148" s="1925">
        <v>11</v>
      </c>
    </row>
    <row s="31261" customFormat="1" customHeight="1" ht="11.549999999999999">
      <c r="A149" s="1271"/>
      <c r="B149" s="1920"/>
      <c r="C149" s="1920"/>
      <c r="D149" s="635"/>
      <c r="K149" s="1444"/>
      <c r="L149" s="1920"/>
      <c r="M149" s="1920"/>
      <c r="N149" s="1444"/>
      <c r="O149" s="1444"/>
      <c r="P149" s="1444"/>
      <c r="Q149" s="1444"/>
      <c r="R149" s="1920"/>
      <c r="S149" s="1444"/>
      <c r="T149" s="1444"/>
      <c r="U149" s="828"/>
      <c r="V149" s="1444"/>
      <c r="W149" s="1444"/>
      <c r="X149" s="1444"/>
      <c r="Y149" s="1444"/>
      <c r="Z149" s="1444"/>
      <c r="AA149" s="1916"/>
      <c r="AB149" s="850"/>
      <c r="AC149" s="850"/>
      <c r="AD149" s="850"/>
      <c r="AE149" s="850"/>
      <c r="AF149" s="1925">
        <v>11</v>
      </c>
    </row>
    <row s="31261" customFormat="1" customHeight="1" ht="11.549999999999999">
      <c r="A150" s="1271"/>
      <c r="B150" s="1920"/>
      <c r="C150" s="1920"/>
      <c r="D150" s="635"/>
      <c r="K150" s="1444"/>
      <c r="L150" s="1920"/>
      <c r="M150" s="1920"/>
      <c r="N150" s="1444"/>
      <c r="O150" s="1444"/>
      <c r="P150" s="1444"/>
      <c r="Q150" s="1444"/>
      <c r="R150" s="1920"/>
      <c r="S150" s="1444"/>
      <c r="T150" s="1444"/>
      <c r="U150" s="828"/>
      <c r="V150" s="1444"/>
      <c r="W150" s="1444"/>
      <c r="X150" s="1444"/>
      <c r="Y150" s="1444"/>
      <c r="Z150" s="1444"/>
      <c r="AA150" s="1916"/>
      <c r="AB150" s="850"/>
      <c r="AC150" s="850"/>
      <c r="AD150" s="850"/>
      <c r="AE150" s="850"/>
      <c r="AF150" s="1925">
        <v>11</v>
      </c>
    </row>
    <row s="31261" customFormat="1" customHeight="1" ht="11.549999999999999">
      <c r="A151" s="1271"/>
      <c r="B151" s="1920"/>
      <c r="C151" s="1920"/>
      <c r="D151" s="635"/>
      <c r="K151" s="1444"/>
      <c r="L151" s="1920"/>
      <c r="M151" s="1920"/>
      <c r="N151" s="1444"/>
      <c r="O151" s="1444"/>
      <c r="P151" s="1444"/>
      <c r="Q151" s="1444"/>
      <c r="R151" s="1920"/>
      <c r="S151" s="1444"/>
      <c r="T151" s="1444"/>
      <c r="U151" s="828"/>
      <c r="V151" s="1444"/>
      <c r="W151" s="1444"/>
      <c r="X151" s="1444"/>
      <c r="Y151" s="1444"/>
      <c r="Z151" s="1444"/>
      <c r="AA151" s="1916"/>
      <c r="AB151" s="850"/>
      <c r="AC151" s="850"/>
      <c r="AD151" s="850"/>
      <c r="AE151" s="850"/>
      <c r="AF151" s="1925">
        <v>11</v>
      </c>
    </row>
    <row s="31261" customFormat="1" customHeight="1" ht="11.549999999999999">
      <c r="A152" s="1271"/>
      <c r="B152" s="1920"/>
      <c r="C152" s="1920"/>
      <c r="D152" s="635"/>
      <c r="K152" s="1444"/>
      <c r="L152" s="1920"/>
      <c r="M152" s="1920"/>
      <c r="N152" s="1444"/>
      <c r="O152" s="1444"/>
      <c r="P152" s="1444"/>
      <c r="Q152" s="1444"/>
      <c r="R152" s="1920"/>
      <c r="S152" s="1444"/>
      <c r="T152" s="1444"/>
      <c r="U152" s="828"/>
      <c r="V152" s="1444"/>
      <c r="W152" s="1444"/>
      <c r="X152" s="1444"/>
      <c r="Y152" s="1444"/>
      <c r="Z152" s="1444"/>
      <c r="AA152" s="1916"/>
      <c r="AB152" s="850"/>
      <c r="AC152" s="850"/>
      <c r="AD152" s="850"/>
      <c r="AE152" s="850"/>
      <c r="AF152" s="1925">
        <v>11</v>
      </c>
    </row>
    <row s="31261" customFormat="1" customHeight="1" ht="11.549999999999999">
      <c r="A153" s="1271"/>
      <c r="B153" s="1920"/>
      <c r="C153" s="1920"/>
      <c r="D153" s="635"/>
      <c r="K153" s="1444"/>
      <c r="L153" s="1920"/>
      <c r="M153" s="1920"/>
      <c r="N153" s="1444"/>
      <c r="O153" s="1444"/>
      <c r="P153" s="1444"/>
      <c r="Q153" s="1444"/>
      <c r="R153" s="1920"/>
      <c r="S153" s="1444"/>
      <c r="T153" s="1444"/>
      <c r="U153" s="828"/>
      <c r="V153" s="1444"/>
      <c r="W153" s="1444"/>
      <c r="X153" s="1444"/>
      <c r="Y153" s="1444"/>
      <c r="Z153" s="1444"/>
      <c r="AA153" s="1916"/>
      <c r="AB153" s="850"/>
      <c r="AC153" s="850"/>
      <c r="AD153" s="850"/>
      <c r="AE153" s="850"/>
      <c r="AF153" s="1925">
        <v>11</v>
      </c>
    </row>
    <row s="31261" customFormat="1" customHeight="1" ht="11.549999999999999">
      <c r="A154" s="1271"/>
      <c r="B154" s="1920"/>
      <c r="C154" s="1920"/>
      <c r="D154" s="635"/>
      <c r="K154" s="1444"/>
      <c r="L154" s="1920"/>
      <c r="M154" s="1920"/>
      <c r="N154" s="1444"/>
      <c r="O154" s="1444"/>
      <c r="P154" s="1444"/>
      <c r="Q154" s="1444"/>
      <c r="R154" s="1920"/>
      <c r="S154" s="1444"/>
      <c r="T154" s="1444"/>
      <c r="U154" s="828"/>
      <c r="V154" s="1444"/>
      <c r="W154" s="1444"/>
      <c r="X154" s="1444"/>
      <c r="Y154" s="1444"/>
      <c r="Z154" s="1444"/>
      <c r="AA154" s="1916"/>
      <c r="AB154" s="850"/>
      <c r="AC154" s="850"/>
      <c r="AD154" s="850"/>
      <c r="AE154" s="850"/>
      <c r="AF154" s="1925">
        <v>11</v>
      </c>
    </row>
    <row s="31261" customFormat="1" customHeight="1" ht="11.549999999999999">
      <c r="A155" s="1271"/>
      <c r="B155" s="1920"/>
      <c r="C155" s="1920"/>
      <c r="D155" s="635"/>
      <c r="K155" s="1444"/>
      <c r="L155" s="1920"/>
      <c r="M155" s="1920"/>
      <c r="N155" s="1444"/>
      <c r="O155" s="1444"/>
      <c r="P155" s="1444"/>
      <c r="Q155" s="1444"/>
      <c r="R155" s="1920"/>
      <c r="S155" s="1444"/>
      <c r="T155" s="1444"/>
      <c r="U155" s="828"/>
      <c r="V155" s="1444"/>
      <c r="W155" s="1444"/>
      <c r="X155" s="1444"/>
      <c r="Y155" s="1444"/>
      <c r="Z155" s="1444"/>
      <c r="AA155" s="1916"/>
      <c r="AB155" s="850"/>
      <c r="AC155" s="850"/>
      <c r="AD155" s="850"/>
      <c r="AE155" s="850"/>
      <c r="AF155" s="1925">
        <v>11</v>
      </c>
    </row>
    <row s="31261" customFormat="1" customHeight="1" ht="11.549999999999999">
      <c r="A156" s="1271"/>
      <c r="B156" s="1920"/>
      <c r="C156" s="1920"/>
      <c r="D156" s="635"/>
      <c r="K156" s="1444"/>
      <c r="L156" s="1920"/>
      <c r="M156" s="1920"/>
      <c r="N156" s="1444"/>
      <c r="O156" s="1444"/>
      <c r="P156" s="1444"/>
      <c r="Q156" s="1444"/>
      <c r="R156" s="1920"/>
      <c r="S156" s="1444"/>
      <c r="T156" s="1444"/>
      <c r="U156" s="828"/>
      <c r="V156" s="1444"/>
      <c r="W156" s="1444"/>
      <c r="X156" s="1444"/>
      <c r="Y156" s="1444"/>
      <c r="Z156" s="1444"/>
      <c r="AA156" s="1916"/>
      <c r="AB156" s="850"/>
      <c r="AC156" s="850"/>
      <c r="AD156" s="850"/>
      <c r="AE156" s="850"/>
      <c r="AF156" s="1925">
        <v>11</v>
      </c>
    </row>
    <row s="31261" customFormat="1" customHeight="1" ht="11.549999999999999">
      <c r="A157" s="1271"/>
      <c r="B157" s="1920"/>
      <c r="C157" s="1920"/>
      <c r="D157" s="635"/>
      <c r="K157" s="1444"/>
      <c r="L157" s="1920"/>
      <c r="M157" s="1920"/>
      <c r="N157" s="1444"/>
      <c r="O157" s="1444"/>
      <c r="P157" s="1444"/>
      <c r="Q157" s="1444"/>
      <c r="R157" s="1920"/>
      <c r="S157" s="1444"/>
      <c r="T157" s="1444"/>
      <c r="U157" s="828"/>
      <c r="V157" s="1444"/>
      <c r="W157" s="1444"/>
      <c r="X157" s="1444"/>
      <c r="Y157" s="1444"/>
      <c r="Z157" s="1444"/>
      <c r="AA157" s="1916"/>
      <c r="AB157" s="850"/>
      <c r="AC157" s="850"/>
      <c r="AD157" s="850"/>
      <c r="AE157" s="850"/>
      <c r="AF157" s="1925">
        <v>11</v>
      </c>
    </row>
    <row s="31261" customFormat="1" customHeight="1" ht="11.549999999999999">
      <c r="A158" s="1271"/>
      <c r="B158" s="1920"/>
      <c r="C158" s="1920"/>
      <c r="D158" s="635"/>
      <c r="K158" s="1444"/>
      <c r="L158" s="1920"/>
      <c r="M158" s="1920"/>
      <c r="N158" s="1444"/>
      <c r="O158" s="1444"/>
      <c r="P158" s="1444"/>
      <c r="Q158" s="1444"/>
      <c r="R158" s="1920"/>
      <c r="S158" s="1444"/>
      <c r="T158" s="1444"/>
      <c r="U158" s="828"/>
      <c r="V158" s="1444"/>
      <c r="W158" s="1444"/>
      <c r="X158" s="1444"/>
      <c r="Y158" s="1444"/>
      <c r="Z158" s="1444"/>
      <c r="AA158" s="1916"/>
      <c r="AB158" s="850"/>
      <c r="AC158" s="850"/>
      <c r="AD158" s="850"/>
      <c r="AE158" s="850"/>
      <c r="AF158" s="1925">
        <v>11</v>
      </c>
    </row>
    <row s="31261" customFormat="1" customHeight="1" ht="11.549999999999999">
      <c r="A159" s="1271"/>
      <c r="B159" s="1920"/>
      <c r="C159" s="1920"/>
      <c r="D159" s="635"/>
      <c r="K159" s="1444"/>
      <c r="L159" s="1920"/>
      <c r="M159" s="1920"/>
      <c r="N159" s="1444"/>
      <c r="O159" s="1444"/>
      <c r="P159" s="1444"/>
      <c r="Q159" s="1444"/>
      <c r="R159" s="1920"/>
      <c r="S159" s="1444"/>
      <c r="T159" s="1444"/>
      <c r="U159" s="828"/>
      <c r="V159" s="1444"/>
      <c r="W159" s="1444"/>
      <c r="X159" s="1444"/>
      <c r="Y159" s="1444"/>
      <c r="Z159" s="1444"/>
      <c r="AA159" s="1916"/>
      <c r="AB159" s="850"/>
      <c r="AC159" s="850"/>
      <c r="AD159" s="850"/>
      <c r="AE159" s="850"/>
      <c r="AF159" s="1925">
        <v>11</v>
      </c>
    </row>
    <row s="31261" customFormat="1" customHeight="1" ht="11.549999999999999">
      <c r="A160" s="1271"/>
      <c r="B160" s="1920"/>
      <c r="C160" s="1920"/>
      <c r="D160" s="635"/>
      <c r="K160" s="1444"/>
      <c r="L160" s="1920"/>
      <c r="M160" s="1920"/>
      <c r="N160" s="1444"/>
      <c r="O160" s="1444"/>
      <c r="P160" s="1444"/>
      <c r="Q160" s="1444"/>
      <c r="R160" s="1920"/>
      <c r="S160" s="1444"/>
      <c r="T160" s="1444"/>
      <c r="U160" s="828"/>
      <c r="V160" s="1444"/>
      <c r="W160" s="1444"/>
      <c r="X160" s="1444"/>
      <c r="Y160" s="1444"/>
      <c r="Z160" s="1444"/>
      <c r="AA160" s="1916"/>
      <c r="AB160" s="850"/>
      <c r="AC160" s="850"/>
      <c r="AD160" s="850"/>
      <c r="AE160" s="850"/>
      <c r="AF160" s="1925">
        <v>11</v>
      </c>
    </row>
    <row s="31261" customFormat="1" customHeight="1" ht="11.549999999999999">
      <c r="A161" s="1271"/>
      <c r="B161" s="1920"/>
      <c r="C161" s="1920"/>
      <c r="D161" s="635"/>
      <c r="K161" s="1444"/>
      <c r="L161" s="1920"/>
      <c r="M161" s="1920"/>
      <c r="N161" s="1444"/>
      <c r="O161" s="1444"/>
      <c r="P161" s="1444"/>
      <c r="Q161" s="1444"/>
      <c r="R161" s="1920"/>
      <c r="S161" s="1444"/>
      <c r="T161" s="1444"/>
      <c r="U161" s="828"/>
      <c r="V161" s="1444"/>
      <c r="W161" s="1444"/>
      <c r="X161" s="1444"/>
      <c r="Y161" s="1444"/>
      <c r="Z161" s="1444"/>
      <c r="AA161" s="1916"/>
      <c r="AB161" s="850"/>
      <c r="AC161" s="850"/>
      <c r="AD161" s="850"/>
      <c r="AE161" s="850"/>
      <c r="AF161" s="1925">
        <v>11</v>
      </c>
    </row>
    <row s="31261" customFormat="1" customHeight="1" ht="11.549999999999999">
      <c r="A162" s="1271"/>
      <c r="B162" s="1920"/>
      <c r="C162" s="1920"/>
      <c r="D162" s="635"/>
      <c r="K162" s="1444"/>
      <c r="L162" s="1920"/>
      <c r="M162" s="1920"/>
      <c r="N162" s="1444"/>
      <c r="O162" s="1444"/>
      <c r="P162" s="1444"/>
      <c r="Q162" s="1444"/>
      <c r="R162" s="1920"/>
      <c r="S162" s="1444"/>
      <c r="T162" s="1444"/>
      <c r="U162" s="828"/>
      <c r="V162" s="1444"/>
      <c r="W162" s="1444"/>
      <c r="X162" s="1444"/>
      <c r="Y162" s="1444"/>
      <c r="Z162" s="1444"/>
      <c r="AA162" s="1916"/>
      <c r="AB162" s="850"/>
      <c r="AC162" s="850"/>
      <c r="AD162" s="850"/>
      <c r="AE162" s="850"/>
      <c r="AF162" s="1925">
        <v>11</v>
      </c>
    </row>
    <row s="31261" customFormat="1" customHeight="1" ht="11.549999999999999">
      <c r="A163" s="1271"/>
      <c r="B163" s="1920"/>
      <c r="C163" s="1920"/>
      <c r="D163" s="635"/>
      <c r="K163" s="1444"/>
      <c r="L163" s="1920"/>
      <c r="M163" s="1920"/>
      <c r="N163" s="1444"/>
      <c r="O163" s="1444"/>
      <c r="P163" s="1444"/>
      <c r="Q163" s="1444"/>
      <c r="R163" s="1920"/>
      <c r="S163" s="1444"/>
      <c r="T163" s="1444"/>
      <c r="U163" s="828"/>
      <c r="V163" s="1444"/>
      <c r="W163" s="1444"/>
      <c r="X163" s="1444"/>
      <c r="Y163" s="1444"/>
      <c r="Z163" s="1444"/>
      <c r="AA163" s="1916"/>
      <c r="AB163" s="850"/>
      <c r="AC163" s="850"/>
      <c r="AD163" s="850"/>
      <c r="AE163" s="850"/>
      <c r="AF163" s="1925">
        <v>11</v>
      </c>
    </row>
    <row s="31261" customFormat="1" customHeight="1" ht="11.549999999999999">
      <c r="A164" s="1271"/>
      <c r="B164" s="1920"/>
      <c r="C164" s="1920"/>
      <c r="D164" s="635"/>
      <c r="K164" s="1444"/>
      <c r="L164" s="1920"/>
      <c r="M164" s="1920"/>
      <c r="N164" s="1444"/>
      <c r="O164" s="1444"/>
      <c r="P164" s="1444"/>
      <c r="Q164" s="1444"/>
      <c r="R164" s="1920"/>
      <c r="S164" s="1444"/>
      <c r="T164" s="1444"/>
      <c r="U164" s="828"/>
      <c r="V164" s="1444"/>
      <c r="W164" s="1444"/>
      <c r="X164" s="1444"/>
      <c r="Y164" s="1444"/>
      <c r="Z164" s="1444"/>
      <c r="AA164" s="1916"/>
      <c r="AB164" s="850"/>
      <c r="AC164" s="850"/>
      <c r="AD164" s="850"/>
      <c r="AE164" s="850"/>
      <c r="AF164" s="1925">
        <v>11</v>
      </c>
    </row>
    <row s="31261" customFormat="1" customHeight="1" ht="11.549999999999999">
      <c r="A165" s="1271"/>
      <c r="B165" s="1920"/>
      <c r="C165" s="1920"/>
      <c r="D165" s="635"/>
      <c r="K165" s="1444"/>
      <c r="L165" s="1920"/>
      <c r="M165" s="1920"/>
      <c r="N165" s="1444"/>
      <c r="O165" s="1444"/>
      <c r="P165" s="1444"/>
      <c r="Q165" s="1444"/>
      <c r="R165" s="1920"/>
      <c r="S165" s="1444"/>
      <c r="T165" s="1444"/>
      <c r="U165" s="828"/>
      <c r="V165" s="1444"/>
      <c r="W165" s="1444"/>
      <c r="X165" s="1444"/>
      <c r="Y165" s="1444"/>
      <c r="Z165" s="1444"/>
      <c r="AA165" s="1916"/>
      <c r="AB165" s="850"/>
      <c r="AC165" s="850"/>
      <c r="AD165" s="850"/>
      <c r="AE165" s="850"/>
      <c r="AF165" s="1925">
        <v>11</v>
      </c>
    </row>
    <row s="31261" customFormat="1" customHeight="1" ht="11.549999999999999">
      <c r="A166" s="1271"/>
      <c r="B166" s="1920"/>
      <c r="C166" s="1920"/>
      <c r="D166" s="635"/>
      <c r="K166" s="1444"/>
      <c r="L166" s="1920"/>
      <c r="M166" s="1920"/>
      <c r="N166" s="1444"/>
      <c r="O166" s="1444"/>
      <c r="P166" s="1444"/>
      <c r="Q166" s="1444"/>
      <c r="R166" s="1920"/>
      <c r="S166" s="1444"/>
      <c r="T166" s="1444"/>
      <c r="U166" s="828"/>
      <c r="V166" s="1444"/>
      <c r="W166" s="1444"/>
      <c r="X166" s="1444"/>
      <c r="Y166" s="1444"/>
      <c r="Z166" s="1444"/>
      <c r="AA166" s="1916"/>
      <c r="AB166" s="850"/>
      <c r="AC166" s="850"/>
      <c r="AD166" s="850"/>
      <c r="AE166" s="850"/>
      <c r="AF166" s="1925">
        <v>11</v>
      </c>
    </row>
    <row s="31261" customFormat="1" customHeight="1" ht="11.549999999999999">
      <c r="A167" s="1271"/>
      <c r="B167" s="1920"/>
      <c r="C167" s="1920"/>
      <c r="D167" s="635"/>
      <c r="K167" s="1444"/>
      <c r="L167" s="1920"/>
      <c r="M167" s="1920"/>
      <c r="N167" s="1444"/>
      <c r="O167" s="1444"/>
      <c r="P167" s="1444"/>
      <c r="Q167" s="1444"/>
      <c r="R167" s="1920"/>
      <c r="S167" s="1444"/>
      <c r="T167" s="1444"/>
      <c r="U167" s="828"/>
      <c r="V167" s="1444"/>
      <c r="W167" s="1444"/>
      <c r="X167" s="1444"/>
      <c r="Y167" s="1444"/>
      <c r="Z167" s="1444"/>
      <c r="AA167" s="1916"/>
      <c r="AB167" s="850"/>
      <c r="AC167" s="850"/>
      <c r="AD167" s="850"/>
      <c r="AE167" s="850"/>
      <c r="AF167" s="1925">
        <v>11</v>
      </c>
    </row>
    <row s="31261" customFormat="1" customHeight="1" ht="11.549999999999999">
      <c r="A168" s="1271"/>
      <c r="B168" s="1920"/>
      <c r="C168" s="1920"/>
      <c r="D168" s="635"/>
      <c r="K168" s="1444"/>
      <c r="L168" s="1920"/>
      <c r="M168" s="1920"/>
      <c r="N168" s="1444"/>
      <c r="O168" s="1444"/>
      <c r="P168" s="1444"/>
      <c r="Q168" s="1444"/>
      <c r="R168" s="1920"/>
      <c r="S168" s="1444"/>
      <c r="T168" s="1444"/>
      <c r="U168" s="828"/>
      <c r="V168" s="1444"/>
      <c r="W168" s="1444"/>
      <c r="X168" s="1444"/>
      <c r="Y168" s="1444"/>
      <c r="Z168" s="1444"/>
      <c r="AA168" s="1916"/>
      <c r="AB168" s="850"/>
      <c r="AC168" s="850"/>
      <c r="AD168" s="850"/>
      <c r="AE168" s="850"/>
      <c r="AF168" s="1925">
        <v>11</v>
      </c>
    </row>
    <row s="31261" customFormat="1" customHeight="1" ht="11.549999999999999">
      <c r="A169" s="1271"/>
      <c r="B169" s="1920"/>
      <c r="C169" s="1920"/>
      <c r="D169" s="635"/>
      <c r="K169" s="1444"/>
      <c r="L169" s="1920"/>
      <c r="M169" s="1920"/>
      <c r="N169" s="1444"/>
      <c r="O169" s="1444"/>
      <c r="P169" s="1444"/>
      <c r="Q169" s="1444"/>
      <c r="R169" s="1920"/>
      <c r="S169" s="1444"/>
      <c r="T169" s="1444"/>
      <c r="U169" s="828"/>
      <c r="V169" s="1444"/>
      <c r="W169" s="1444"/>
      <c r="X169" s="1444"/>
      <c r="Y169" s="1444"/>
      <c r="Z169" s="1444"/>
      <c r="AA169" s="1916"/>
      <c r="AB169" s="850"/>
      <c r="AC169" s="850"/>
      <c r="AD169" s="850"/>
      <c r="AE169" s="850"/>
      <c r="AF169" s="1925">
        <v>11</v>
      </c>
    </row>
    <row s="31261" customFormat="1" customHeight="1" ht="11.549999999999999">
      <c r="A170" s="1271"/>
      <c r="B170" s="1920"/>
      <c r="C170" s="1920"/>
      <c r="D170" s="635"/>
      <c r="K170" s="1444"/>
      <c r="L170" s="1920"/>
      <c r="M170" s="1920"/>
      <c r="N170" s="1444"/>
      <c r="O170" s="1444"/>
      <c r="P170" s="1444"/>
      <c r="Q170" s="1444"/>
      <c r="R170" s="1920"/>
      <c r="S170" s="1444"/>
      <c r="T170" s="1444"/>
      <c r="U170" s="828"/>
      <c r="V170" s="1444"/>
      <c r="W170" s="1444"/>
      <c r="X170" s="1444"/>
      <c r="Y170" s="1444"/>
      <c r="Z170" s="1444"/>
      <c r="AA170" s="1916"/>
      <c r="AB170" s="850"/>
      <c r="AC170" s="850"/>
      <c r="AD170" s="850"/>
      <c r="AE170" s="850"/>
      <c r="AF170" s="1925">
        <v>11</v>
      </c>
    </row>
    <row s="31261" customFormat="1" customHeight="1" ht="11.549999999999999">
      <c r="A171" s="1271"/>
      <c r="B171" s="1920"/>
      <c r="C171" s="1920"/>
      <c r="D171" s="635"/>
      <c r="K171" s="1444"/>
      <c r="L171" s="1920"/>
      <c r="M171" s="1920"/>
      <c r="N171" s="1444"/>
      <c r="O171" s="1444"/>
      <c r="P171" s="1444"/>
      <c r="Q171" s="1444"/>
      <c r="R171" s="1920"/>
      <c r="S171" s="1444"/>
      <c r="T171" s="1444"/>
      <c r="U171" s="828"/>
      <c r="V171" s="1444"/>
      <c r="W171" s="1444"/>
      <c r="X171" s="1444"/>
      <c r="Y171" s="1444"/>
      <c r="Z171" s="1444"/>
      <c r="AA171" s="1916"/>
      <c r="AB171" s="850"/>
      <c r="AC171" s="850"/>
      <c r="AD171" s="850"/>
      <c r="AE171" s="850"/>
      <c r="AF171" s="1925">
        <v>11</v>
      </c>
    </row>
    <row s="31261" customFormat="1" customHeight="1" ht="11.549999999999999">
      <c r="A172" s="1271"/>
      <c r="B172" s="1920"/>
      <c r="C172" s="1920"/>
      <c r="D172" s="635"/>
      <c r="K172" s="1444"/>
      <c r="L172" s="1920"/>
      <c r="M172" s="1920"/>
      <c r="N172" s="1444"/>
      <c r="O172" s="1444"/>
      <c r="P172" s="1444"/>
      <c r="Q172" s="1444"/>
      <c r="R172" s="1920"/>
      <c r="S172" s="1444"/>
      <c r="T172" s="1444"/>
      <c r="U172" s="828"/>
      <c r="V172" s="1444"/>
      <c r="W172" s="1444"/>
      <c r="X172" s="1444"/>
      <c r="Y172" s="1444"/>
      <c r="Z172" s="1444"/>
      <c r="AA172" s="1916"/>
      <c r="AB172" s="850"/>
      <c r="AC172" s="850"/>
      <c r="AD172" s="850"/>
      <c r="AE172" s="850"/>
      <c r="AF172" s="1925">
        <v>11</v>
      </c>
    </row>
    <row s="31261" customFormat="1" customHeight="1" ht="11.549999999999999">
      <c r="A173" s="1271"/>
      <c r="B173" s="1920"/>
      <c r="C173" s="1920"/>
      <c r="D173" s="635"/>
      <c r="K173" s="1444"/>
      <c r="L173" s="1920"/>
      <c r="M173" s="1920"/>
      <c r="N173" s="1444"/>
      <c r="O173" s="1444"/>
      <c r="P173" s="1444"/>
      <c r="Q173" s="1444"/>
      <c r="R173" s="1920"/>
      <c r="S173" s="1444"/>
      <c r="T173" s="1444"/>
      <c r="U173" s="828"/>
      <c r="V173" s="1444"/>
      <c r="W173" s="1444"/>
      <c r="X173" s="1444"/>
      <c r="Y173" s="1444"/>
      <c r="Z173" s="1444"/>
      <c r="AA173" s="1916"/>
      <c r="AB173" s="850"/>
      <c r="AC173" s="850"/>
      <c r="AD173" s="850"/>
      <c r="AE173" s="850"/>
      <c r="AF173" s="1925">
        <v>11</v>
      </c>
    </row>
    <row s="31261" customFormat="1" customHeight="1" ht="11.549999999999999">
      <c r="A174" s="1271"/>
      <c r="B174" s="1920"/>
      <c r="C174" s="1920"/>
      <c r="D174" s="635"/>
      <c r="K174" s="1444"/>
      <c r="L174" s="1920"/>
      <c r="M174" s="1920"/>
      <c r="N174" s="1444"/>
      <c r="O174" s="1444"/>
      <c r="P174" s="1444"/>
      <c r="Q174" s="1444"/>
      <c r="R174" s="1920"/>
      <c r="S174" s="1444"/>
      <c r="T174" s="1444"/>
      <c r="U174" s="828"/>
      <c r="V174" s="1444"/>
      <c r="W174" s="1444"/>
      <c r="X174" s="1444"/>
      <c r="Y174" s="1444"/>
      <c r="Z174" s="1444"/>
      <c r="AA174" s="1916"/>
      <c r="AB174" s="850"/>
      <c r="AC174" s="850"/>
      <c r="AD174" s="850"/>
      <c r="AE174" s="850"/>
      <c r="AF174" s="1925">
        <v>11</v>
      </c>
    </row>
    <row s="31261" customFormat="1" customHeight="1" ht="11.549999999999999">
      <c r="A175" s="1271"/>
      <c r="B175" s="1920"/>
      <c r="C175" s="1920"/>
      <c r="D175" s="635"/>
      <c r="K175" s="1444"/>
      <c r="L175" s="1920"/>
      <c r="M175" s="1920"/>
      <c r="N175" s="1444"/>
      <c r="O175" s="1444"/>
      <c r="P175" s="1444"/>
      <c r="Q175" s="1444"/>
      <c r="R175" s="1920"/>
      <c r="S175" s="1444"/>
      <c r="T175" s="1444"/>
      <c r="U175" s="828"/>
      <c r="V175" s="1444"/>
      <c r="W175" s="1444"/>
      <c r="X175" s="1444"/>
      <c r="Y175" s="1444"/>
      <c r="Z175" s="1444"/>
      <c r="AA175" s="1916"/>
      <c r="AB175" s="850"/>
      <c r="AC175" s="850"/>
      <c r="AD175" s="850"/>
      <c r="AE175" s="850"/>
      <c r="AF175" s="1925">
        <v>11</v>
      </c>
    </row>
    <row s="31261" customFormat="1" customHeight="1" ht="11.549999999999999">
      <c r="A176" s="1271"/>
      <c r="B176" s="1920"/>
      <c r="C176" s="1920"/>
      <c r="D176" s="635"/>
      <c r="K176" s="1444"/>
      <c r="L176" s="1920"/>
      <c r="M176" s="1920"/>
      <c r="N176" s="1444"/>
      <c r="O176" s="1444"/>
      <c r="P176" s="1444"/>
      <c r="Q176" s="1444"/>
      <c r="R176" s="1920"/>
      <c r="S176" s="1444"/>
      <c r="T176" s="1444"/>
      <c r="U176" s="828"/>
      <c r="V176" s="1444"/>
      <c r="W176" s="1444"/>
      <c r="X176" s="1444"/>
      <c r="Y176" s="1444"/>
      <c r="Z176" s="1444"/>
      <c r="AA176" s="1916"/>
      <c r="AB176" s="850"/>
      <c r="AC176" s="850"/>
      <c r="AD176" s="850"/>
      <c r="AE176" s="850"/>
      <c r="AF176" s="1925">
        <v>11</v>
      </c>
    </row>
    <row s="31261" customFormat="1" customHeight="1" ht="11.549999999999999">
      <c r="A177" s="1271"/>
      <c r="B177" s="1920"/>
      <c r="C177" s="1920"/>
      <c r="D177" s="635"/>
      <c r="K177" s="1444"/>
      <c r="L177" s="1920"/>
      <c r="M177" s="1920"/>
      <c r="N177" s="1444"/>
      <c r="O177" s="1444"/>
      <c r="P177" s="1444"/>
      <c r="Q177" s="1444"/>
      <c r="R177" s="1920"/>
      <c r="S177" s="1444"/>
      <c r="T177" s="1444"/>
      <c r="U177" s="828"/>
      <c r="V177" s="1444"/>
      <c r="W177" s="1444"/>
      <c r="X177" s="1444"/>
      <c r="Y177" s="1444"/>
      <c r="Z177" s="1444"/>
      <c r="AA177" s="1916"/>
      <c r="AB177" s="850"/>
      <c r="AC177" s="850"/>
      <c r="AD177" s="850"/>
      <c r="AE177" s="850"/>
      <c r="AF177" s="1925">
        <v>11</v>
      </c>
    </row>
    <row s="31261" customFormat="1" customHeight="1" ht="11.549999999999999">
      <c r="A178" s="1271"/>
      <c r="B178" s="1920"/>
      <c r="C178" s="1920"/>
      <c r="D178" s="635"/>
      <c r="K178" s="1444"/>
      <c r="L178" s="1920"/>
      <c r="M178" s="1920"/>
      <c r="N178" s="1444"/>
      <c r="O178" s="1444"/>
      <c r="P178" s="1444"/>
      <c r="Q178" s="1444"/>
      <c r="R178" s="1920"/>
      <c r="S178" s="1444"/>
      <c r="T178" s="1444"/>
      <c r="U178" s="828"/>
      <c r="V178" s="1444"/>
      <c r="W178" s="1444"/>
      <c r="X178" s="1444"/>
      <c r="Y178" s="1444"/>
      <c r="Z178" s="1444"/>
      <c r="AA178" s="1916"/>
      <c r="AB178" s="850"/>
      <c r="AC178" s="850"/>
      <c r="AD178" s="850"/>
      <c r="AE178" s="850"/>
      <c r="AF178" s="1925">
        <v>11</v>
      </c>
    </row>
    <row s="31261" customFormat="1" customHeight="1" ht="11.549999999999999">
      <c r="A179" s="1271"/>
      <c r="B179" s="1920"/>
      <c r="C179" s="1920"/>
      <c r="D179" s="635"/>
      <c r="K179" s="1444"/>
      <c r="L179" s="1920"/>
      <c r="M179" s="1920"/>
      <c r="N179" s="1444"/>
      <c r="O179" s="1444"/>
      <c r="P179" s="1444"/>
      <c r="Q179" s="1444"/>
      <c r="R179" s="1920"/>
      <c r="S179" s="1444"/>
      <c r="T179" s="1444"/>
      <c r="U179" s="828"/>
      <c r="V179" s="1444"/>
      <c r="W179" s="1444"/>
      <c r="X179" s="1444"/>
      <c r="Y179" s="1444"/>
      <c r="Z179" s="1444"/>
      <c r="AA179" s="1916"/>
      <c r="AB179" s="850"/>
      <c r="AC179" s="850"/>
      <c r="AD179" s="850"/>
      <c r="AE179" s="850"/>
      <c r="AF179" s="1925">
        <v>11</v>
      </c>
    </row>
    <row s="31261" customFormat="1" customHeight="1" ht="11.549999999999999">
      <c r="A180" s="1271"/>
      <c r="B180" s="1920"/>
      <c r="C180" s="1920"/>
      <c r="D180" s="635"/>
      <c r="K180" s="1444"/>
      <c r="L180" s="1920"/>
      <c r="M180" s="1920"/>
      <c r="N180" s="1444"/>
      <c r="O180" s="1444"/>
      <c r="P180" s="1444"/>
      <c r="Q180" s="1444"/>
      <c r="R180" s="1920"/>
      <c r="S180" s="1444"/>
      <c r="T180" s="1444"/>
      <c r="U180" s="828"/>
      <c r="V180" s="1444"/>
      <c r="W180" s="1444"/>
      <c r="X180" s="1444"/>
      <c r="Y180" s="1444"/>
      <c r="Z180" s="1444"/>
      <c r="AA180" s="1916"/>
      <c r="AB180" s="850"/>
      <c r="AC180" s="850"/>
      <c r="AD180" s="850"/>
      <c r="AE180" s="850"/>
      <c r="AF180" s="1925">
        <v>11</v>
      </c>
    </row>
    <row s="31261" customFormat="1" customHeight="1" ht="11.549999999999999">
      <c r="A181" s="1271"/>
      <c r="B181" s="1920"/>
      <c r="C181" s="1920"/>
      <c r="D181" s="635"/>
      <c r="K181" s="1444"/>
      <c r="L181" s="1920"/>
      <c r="M181" s="1920"/>
      <c r="N181" s="1444"/>
      <c r="O181" s="1444"/>
      <c r="P181" s="1444"/>
      <c r="Q181" s="1444"/>
      <c r="R181" s="1920"/>
      <c r="S181" s="1444"/>
      <c r="T181" s="1444"/>
      <c r="U181" s="828"/>
      <c r="V181" s="1444"/>
      <c r="W181" s="1444"/>
      <c r="X181" s="1444"/>
      <c r="Y181" s="1444"/>
      <c r="Z181" s="1444"/>
      <c r="AA181" s="1916"/>
      <c r="AB181" s="850"/>
      <c r="AC181" s="850"/>
      <c r="AD181" s="850"/>
      <c r="AE181" s="850"/>
      <c r="AF181" s="1925">
        <v>11</v>
      </c>
    </row>
    <row s="31261" customFormat="1" customHeight="1" ht="11.549999999999999">
      <c r="A182" s="1271"/>
      <c r="B182" s="1920"/>
      <c r="C182" s="1920"/>
      <c r="D182" s="635"/>
      <c r="K182" s="1444"/>
      <c r="L182" s="1920"/>
      <c r="M182" s="1920"/>
      <c r="N182" s="1444"/>
      <c r="O182" s="1444"/>
      <c r="P182" s="1444"/>
      <c r="Q182" s="1444"/>
      <c r="R182" s="1920"/>
      <c r="S182" s="1444"/>
      <c r="T182" s="1444"/>
      <c r="U182" s="828"/>
      <c r="V182" s="1444"/>
      <c r="W182" s="1444"/>
      <c r="X182" s="1444"/>
      <c r="Y182" s="1444"/>
      <c r="Z182" s="1444"/>
      <c r="AA182" s="1916"/>
      <c r="AB182" s="850"/>
      <c r="AC182" s="850"/>
      <c r="AD182" s="850"/>
      <c r="AE182" s="850"/>
      <c r="AF182" s="1925">
        <v>11</v>
      </c>
    </row>
    <row s="31261" customFormat="1" customHeight="1" ht="11.549999999999999">
      <c r="A183" s="1271"/>
      <c r="B183" s="1920"/>
      <c r="C183" s="1920"/>
      <c r="D183" s="635"/>
      <c r="K183" s="1444"/>
      <c r="L183" s="1920"/>
      <c r="M183" s="1920"/>
      <c r="N183" s="1444"/>
      <c r="O183" s="1444"/>
      <c r="P183" s="1444"/>
      <c r="Q183" s="1444"/>
      <c r="R183" s="1920"/>
      <c r="S183" s="1444"/>
      <c r="T183" s="1444"/>
      <c r="U183" s="828"/>
      <c r="V183" s="1444"/>
      <c r="W183" s="1444"/>
      <c r="X183" s="1444"/>
      <c r="Y183" s="1444"/>
      <c r="Z183" s="1444"/>
      <c r="AA183" s="1916"/>
      <c r="AB183" s="850"/>
      <c r="AC183" s="850"/>
      <c r="AD183" s="850"/>
      <c r="AE183" s="850"/>
      <c r="AF183" s="1925">
        <v>11</v>
      </c>
    </row>
    <row s="31261" customFormat="1" customHeight="1" ht="11.549999999999999">
      <c r="A184" s="1271"/>
      <c r="B184" s="1920"/>
      <c r="C184" s="1920"/>
      <c r="D184" s="635"/>
      <c r="K184" s="1444"/>
      <c r="L184" s="1920"/>
      <c r="M184" s="1920"/>
      <c r="N184" s="1444"/>
      <c r="O184" s="1444"/>
      <c r="P184" s="1444"/>
      <c r="Q184" s="1444"/>
      <c r="R184" s="1920"/>
      <c r="S184" s="1444"/>
      <c r="T184" s="1444"/>
      <c r="U184" s="828"/>
      <c r="V184" s="1444"/>
      <c r="W184" s="1444"/>
      <c r="X184" s="1444"/>
      <c r="Y184" s="1444"/>
      <c r="Z184" s="1444"/>
      <c r="AA184" s="1916"/>
      <c r="AB184" s="850"/>
      <c r="AC184" s="850"/>
      <c r="AD184" s="850"/>
      <c r="AE184" s="850"/>
      <c r="AF184" s="1925">
        <v>11</v>
      </c>
    </row>
    <row s="31261" customFormat="1" customHeight="1" ht="11.549999999999999">
      <c r="A185" s="1271"/>
      <c r="B185" s="1920"/>
      <c r="C185" s="1920"/>
      <c r="D185" s="635"/>
      <c r="K185" s="1444"/>
      <c r="L185" s="1920"/>
      <c r="M185" s="1920"/>
      <c r="N185" s="1444"/>
      <c r="O185" s="1444"/>
      <c r="P185" s="1444"/>
      <c r="Q185" s="1444"/>
      <c r="R185" s="1920"/>
      <c r="S185" s="1444"/>
      <c r="T185" s="1444"/>
      <c r="U185" s="828"/>
      <c r="V185" s="1444"/>
      <c r="W185" s="1444"/>
      <c r="X185" s="1444"/>
      <c r="Y185" s="1444"/>
      <c r="Z185" s="1444"/>
      <c r="AA185" s="1916"/>
      <c r="AB185" s="850"/>
      <c r="AC185" s="850"/>
      <c r="AD185" s="850"/>
      <c r="AE185" s="850"/>
      <c r="AF185" s="1925">
        <v>11</v>
      </c>
    </row>
    <row s="31261" customFormat="1" customHeight="1" ht="11.549999999999999">
      <c r="A186" s="1271"/>
      <c r="B186" s="1920"/>
      <c r="C186" s="1920"/>
      <c r="D186" s="635"/>
      <c r="K186" s="1444"/>
      <c r="L186" s="1920"/>
      <c r="M186" s="1920"/>
      <c r="N186" s="1444"/>
      <c r="O186" s="1444"/>
      <c r="P186" s="1444"/>
      <c r="Q186" s="1444"/>
      <c r="R186" s="1920"/>
      <c r="S186" s="1444"/>
      <c r="T186" s="1444"/>
      <c r="U186" s="828"/>
      <c r="V186" s="1444"/>
      <c r="W186" s="1444"/>
      <c r="X186" s="1444"/>
      <c r="Y186" s="1444"/>
      <c r="Z186" s="1444"/>
      <c r="AA186" s="1916"/>
      <c r="AB186" s="850"/>
      <c r="AC186" s="850"/>
      <c r="AD186" s="850"/>
      <c r="AE186" s="850"/>
      <c r="AF186" s="1925">
        <v>11</v>
      </c>
    </row>
    <row s="31261" customFormat="1" customHeight="1" ht="11.549999999999999">
      <c r="A187" s="1271"/>
      <c r="B187" s="1920"/>
      <c r="C187" s="1920"/>
      <c r="D187" s="635"/>
      <c r="K187" s="1444"/>
      <c r="L187" s="1920"/>
      <c r="M187" s="1920"/>
      <c r="N187" s="1444"/>
      <c r="O187" s="1444"/>
      <c r="P187" s="1444"/>
      <c r="Q187" s="1444"/>
      <c r="R187" s="1920"/>
      <c r="S187" s="1444"/>
      <c r="T187" s="1444"/>
      <c r="U187" s="828"/>
      <c r="V187" s="1444"/>
      <c r="W187" s="1444"/>
      <c r="X187" s="1444"/>
      <c r="Y187" s="1444"/>
      <c r="Z187" s="1444"/>
      <c r="AA187" s="1916"/>
      <c r="AB187" s="850"/>
      <c r="AC187" s="850"/>
      <c r="AD187" s="850"/>
      <c r="AE187" s="850"/>
      <c r="AF187" s="1925">
        <v>11</v>
      </c>
    </row>
    <row s="31261" customFormat="1" customHeight="1" ht="11.549999999999999">
      <c r="A188" s="1271"/>
      <c r="B188" s="1920"/>
      <c r="C188" s="1920"/>
      <c r="D188" s="635"/>
      <c r="K188" s="1444"/>
      <c r="L188" s="1920"/>
      <c r="M188" s="1920"/>
      <c r="N188" s="1444"/>
      <c r="O188" s="1444"/>
      <c r="P188" s="1444"/>
      <c r="Q188" s="1444"/>
      <c r="R188" s="1920"/>
      <c r="S188" s="1444"/>
      <c r="T188" s="1444"/>
      <c r="U188" s="828"/>
      <c r="V188" s="1444"/>
      <c r="W188" s="1444"/>
      <c r="X188" s="1444"/>
      <c r="Y188" s="1444"/>
      <c r="Z188" s="1444"/>
      <c r="AA188" s="1916"/>
      <c r="AB188" s="850"/>
      <c r="AC188" s="850"/>
      <c r="AD188" s="850"/>
      <c r="AE188" s="850"/>
      <c r="AF188" s="1925">
        <v>11</v>
      </c>
    </row>
    <row s="31261" customFormat="1" customHeight="1" ht="11.549999999999999">
      <c r="A189" s="1271"/>
      <c r="B189" s="1920"/>
      <c r="C189" s="1920"/>
      <c r="D189" s="635"/>
      <c r="K189" s="1444"/>
      <c r="L189" s="1920"/>
      <c r="M189" s="1920"/>
      <c r="N189" s="1444"/>
      <c r="O189" s="1444"/>
      <c r="P189" s="1444"/>
      <c r="Q189" s="1444"/>
      <c r="R189" s="1920"/>
      <c r="S189" s="1444"/>
      <c r="T189" s="1444"/>
      <c r="U189" s="828"/>
      <c r="V189" s="1444"/>
      <c r="W189" s="1444"/>
      <c r="X189" s="1444"/>
      <c r="Y189" s="1444"/>
      <c r="Z189" s="1444"/>
      <c r="AA189" s="1916"/>
      <c r="AB189" s="850"/>
      <c r="AC189" s="850"/>
      <c r="AD189" s="850"/>
      <c r="AE189" s="850"/>
      <c r="AF189" s="1925">
        <v>11</v>
      </c>
    </row>
    <row s="31261" customFormat="1" customHeight="1" ht="11.549999999999999">
      <c r="A190" s="1271"/>
      <c r="B190" s="1920"/>
      <c r="C190" s="1920"/>
      <c r="D190" s="635"/>
      <c r="K190" s="1444"/>
      <c r="L190" s="1920"/>
      <c r="M190" s="1920"/>
      <c r="N190" s="1444"/>
      <c r="O190" s="1444"/>
      <c r="P190" s="1444"/>
      <c r="Q190" s="1444"/>
      <c r="R190" s="1920"/>
      <c r="S190" s="1444"/>
      <c r="T190" s="1444"/>
      <c r="U190" s="828"/>
      <c r="V190" s="1444"/>
      <c r="W190" s="1444"/>
      <c r="X190" s="1444"/>
      <c r="Y190" s="1444"/>
      <c r="Z190" s="1444"/>
      <c r="AA190" s="1916"/>
      <c r="AB190" s="850"/>
      <c r="AC190" s="850"/>
      <c r="AD190" s="850"/>
      <c r="AE190" s="850"/>
      <c r="AF190" s="1925">
        <v>11</v>
      </c>
    </row>
    <row s="31261" customFormat="1" customHeight="1" ht="11.549999999999999">
      <c r="A191" s="1271"/>
      <c r="B191" s="1920"/>
      <c r="C191" s="1920"/>
      <c r="D191" s="635"/>
      <c r="K191" s="1444"/>
      <c r="L191" s="1920"/>
      <c r="M191" s="1920"/>
      <c r="N191" s="1444"/>
      <c r="O191" s="1444"/>
      <c r="P191" s="1444"/>
      <c r="Q191" s="1444"/>
      <c r="R191" s="1920"/>
      <c r="S191" s="1444"/>
      <c r="T191" s="1444"/>
      <c r="U191" s="828"/>
      <c r="V191" s="1444"/>
      <c r="W191" s="1444"/>
      <c r="X191" s="1444"/>
      <c r="Y191" s="1444"/>
      <c r="Z191" s="1444"/>
      <c r="AA191" s="1916"/>
      <c r="AB191" s="850"/>
      <c r="AC191" s="850"/>
      <c r="AD191" s="850"/>
      <c r="AE191" s="850"/>
      <c r="AF191" s="1925">
        <v>11</v>
      </c>
    </row>
    <row s="31261" customFormat="1" customHeight="1" ht="11.549999999999999">
      <c r="A192" s="1271"/>
      <c r="B192" s="1920"/>
      <c r="C192" s="1920"/>
      <c r="D192" s="635"/>
      <c r="K192" s="1444"/>
      <c r="L192" s="1920"/>
      <c r="M192" s="1920"/>
      <c r="N192" s="1444"/>
      <c r="O192" s="1444"/>
      <c r="P192" s="1444"/>
      <c r="Q192" s="1444"/>
      <c r="R192" s="1920"/>
      <c r="S192" s="1444"/>
      <c r="T192" s="1444"/>
      <c r="U192" s="828"/>
      <c r="V192" s="1444"/>
      <c r="W192" s="1444"/>
      <c r="X192" s="1444"/>
      <c r="Y192" s="1444"/>
      <c r="Z192" s="1444"/>
      <c r="AA192" s="1916"/>
      <c r="AB192" s="850"/>
      <c r="AC192" s="850"/>
      <c r="AD192" s="850"/>
      <c r="AE192" s="850"/>
      <c r="AF192" s="1925">
        <v>11</v>
      </c>
    </row>
    <row s="31261" customFormat="1" customHeight="1" ht="11.549999999999999">
      <c r="A193" s="1271"/>
      <c r="B193" s="1920"/>
      <c r="C193" s="1920"/>
      <c r="D193" s="635"/>
      <c r="K193" s="1444"/>
      <c r="L193" s="1920"/>
      <c r="M193" s="1920"/>
      <c r="N193" s="1444"/>
      <c r="O193" s="1444"/>
      <c r="P193" s="1444"/>
      <c r="Q193" s="1444"/>
      <c r="R193" s="1920"/>
      <c r="S193" s="1444"/>
      <c r="T193" s="1444"/>
      <c r="U193" s="828"/>
      <c r="V193" s="1444"/>
      <c r="W193" s="1444"/>
      <c r="X193" s="1444"/>
      <c r="Y193" s="1444"/>
      <c r="Z193" s="1444"/>
      <c r="AA193" s="1916"/>
      <c r="AB193" s="850"/>
      <c r="AC193" s="850"/>
      <c r="AD193" s="850"/>
      <c r="AE193" s="850"/>
      <c r="AF193" s="1925">
        <v>11</v>
      </c>
    </row>
    <row s="31261" customFormat="1" customHeight="1" ht="11.549999999999999">
      <c r="A194" s="1271"/>
      <c r="B194" s="1920"/>
      <c r="C194" s="1920"/>
      <c r="D194" s="635"/>
      <c r="K194" s="1444"/>
      <c r="L194" s="1920"/>
      <c r="M194" s="1920"/>
      <c r="N194" s="1444"/>
      <c r="O194" s="1444"/>
      <c r="P194" s="1444"/>
      <c r="Q194" s="1444"/>
      <c r="R194" s="1920"/>
      <c r="S194" s="1444"/>
      <c r="T194" s="1444"/>
      <c r="U194" s="828"/>
      <c r="V194" s="1444"/>
      <c r="W194" s="1444"/>
      <c r="X194" s="1444"/>
      <c r="Y194" s="1444"/>
      <c r="Z194" s="1444"/>
      <c r="AA194" s="1916"/>
      <c r="AB194" s="850"/>
      <c r="AC194" s="850"/>
      <c r="AD194" s="850"/>
      <c r="AE194" s="850"/>
      <c r="AF194" s="1925">
        <v>11</v>
      </c>
    </row>
    <row s="31261" customFormat="1" customHeight="1" ht="11.549999999999999">
      <c r="A195" s="1271"/>
      <c r="B195" s="1920"/>
      <c r="C195" s="1920"/>
      <c r="D195" s="635"/>
      <c r="K195" s="1444"/>
      <c r="L195" s="1920"/>
      <c r="M195" s="1920"/>
      <c r="N195" s="1444"/>
      <c r="O195" s="1444"/>
      <c r="P195" s="1444"/>
      <c r="Q195" s="1444"/>
      <c r="R195" s="1920"/>
      <c r="S195" s="1444"/>
      <c r="T195" s="1444"/>
      <c r="U195" s="828"/>
      <c r="V195" s="1444"/>
      <c r="W195" s="1444"/>
      <c r="X195" s="1444"/>
      <c r="Y195" s="1444"/>
      <c r="Z195" s="1444"/>
      <c r="AA195" s="1916"/>
      <c r="AB195" s="850"/>
      <c r="AC195" s="850"/>
      <c r="AD195" s="850"/>
      <c r="AE195" s="850"/>
      <c r="AF195" s="1925">
        <v>11</v>
      </c>
    </row>
    <row customHeight="1" ht="11.549999999999999">
      <c r="AF196" s="1915">
        <v>11</v>
      </c>
    </row>
    <row customHeight="1" ht="11.549999999999999">
      <c r="AF197" s="1915">
        <v>11</v>
      </c>
    </row>
    <row customHeight="1" ht="11.549999999999999">
      <c r="AF198" s="1915">
        <v>11</v>
      </c>
    </row>
    <row customHeight="1" ht="11.549999999999999">
      <c r="A199" s="1274"/>
      <c r="B199" s="1915"/>
      <c r="D199" s="1915"/>
      <c r="K199" s="1915"/>
      <c r="N199" s="1915"/>
      <c r="O199" s="1915"/>
      <c r="P199" s="1915"/>
      <c r="Q199" s="1915"/>
      <c r="S199" s="1915"/>
      <c r="T199" s="1915"/>
      <c r="U199" s="1915"/>
      <c r="V199" s="1915"/>
      <c r="W199" s="1915"/>
      <c r="X199" s="1915"/>
      <c r="Y199" s="1915"/>
      <c r="Z199" s="1915"/>
      <c r="AA199" s="1915"/>
      <c r="AB199" s="1915"/>
      <c r="AC199" s="1915"/>
      <c r="AD199" s="1915"/>
      <c r="AE199" s="1915"/>
      <c r="AF199" s="1915">
        <v>11</v>
      </c>
    </row>
    <row customHeight="1" ht="11.549999999999999">
      <c r="A200" s="1274"/>
      <c r="B200" s="1915"/>
      <c r="D200" s="1915"/>
      <c r="K200" s="1915"/>
      <c r="N200" s="1915"/>
      <c r="O200" s="1915"/>
      <c r="P200" s="1915"/>
      <c r="Q200" s="1915"/>
      <c r="S200" s="1915"/>
      <c r="T200" s="1915"/>
      <c r="U200" s="1915"/>
      <c r="V200" s="1915"/>
      <c r="W200" s="1915"/>
      <c r="X200" s="1915"/>
      <c r="Y200" s="1915"/>
      <c r="Z200" s="1915"/>
      <c r="AA200" s="1915"/>
      <c r="AB200" s="1915"/>
      <c r="AC200" s="1915"/>
      <c r="AD200" s="1915"/>
      <c r="AE200" s="1915"/>
      <c r="AF200" s="1915">
        <v>11</v>
      </c>
    </row>
    <row customHeight="1" ht="11.549999999999999">
      <c r="A201" s="1274"/>
      <c r="B201" s="1915"/>
      <c r="D201" s="1915"/>
      <c r="K201" s="1915"/>
      <c r="N201" s="1915"/>
      <c r="O201" s="1915"/>
      <c r="P201" s="1915"/>
      <c r="Q201" s="1915"/>
      <c r="S201" s="1915"/>
      <c r="T201" s="1915"/>
      <c r="U201" s="1915"/>
      <c r="V201" s="1915"/>
      <c r="W201" s="1915"/>
      <c r="X201" s="1915"/>
      <c r="Y201" s="1915"/>
      <c r="Z201" s="1915"/>
      <c r="AA201" s="1915"/>
      <c r="AB201" s="1915"/>
      <c r="AC201" s="1915"/>
      <c r="AD201" s="1915"/>
      <c r="AE201" s="1915"/>
      <c r="AF201" s="1915">
        <v>11</v>
      </c>
    </row>
    <row customHeight="1" ht="11.549999999999999">
      <c r="A202" s="1274"/>
      <c r="B202" s="1915"/>
      <c r="D202" s="1915"/>
      <c r="K202" s="1915"/>
      <c r="N202" s="1915"/>
      <c r="O202" s="1915"/>
      <c r="P202" s="1915"/>
      <c r="Q202" s="1915"/>
      <c r="S202" s="1915"/>
      <c r="T202" s="1915"/>
      <c r="U202" s="1915"/>
      <c r="V202" s="1915"/>
      <c r="W202" s="1915"/>
      <c r="X202" s="1915"/>
      <c r="Y202" s="1915"/>
      <c r="Z202" s="1915"/>
      <c r="AA202" s="1915"/>
      <c r="AB202" s="1915"/>
      <c r="AC202" s="1915"/>
      <c r="AD202" s="1915"/>
      <c r="AE202" s="1915"/>
      <c r="AF202" s="1915">
        <v>11</v>
      </c>
    </row>
    <row customHeight="1" ht="11.549999999999999">
      <c r="A203" s="1274"/>
      <c r="B203" s="1915"/>
      <c r="D203" s="1915"/>
      <c r="K203" s="1915"/>
      <c r="N203" s="1915"/>
      <c r="O203" s="1915"/>
      <c r="P203" s="1915"/>
      <c r="Q203" s="1915"/>
      <c r="S203" s="1915"/>
      <c r="T203" s="1915"/>
      <c r="U203" s="1915"/>
      <c r="V203" s="1915"/>
      <c r="W203" s="1915"/>
      <c r="X203" s="1915"/>
      <c r="Y203" s="1915"/>
      <c r="Z203" s="1915"/>
      <c r="AA203" s="1915"/>
      <c r="AB203" s="1915"/>
      <c r="AC203" s="1915"/>
      <c r="AD203" s="1915"/>
      <c r="AE203" s="1915"/>
      <c r="AF203" s="1915">
        <v>11</v>
      </c>
    </row>
    <row customHeight="1" ht="11.549999999999999">
      <c r="A204" s="1274"/>
      <c r="B204" s="1915"/>
      <c r="D204" s="1915"/>
      <c r="K204" s="1915"/>
      <c r="N204" s="1915"/>
      <c r="O204" s="1915"/>
      <c r="P204" s="1915"/>
      <c r="Q204" s="1915"/>
      <c r="S204" s="1915"/>
      <c r="T204" s="1915"/>
      <c r="U204" s="1915"/>
      <c r="V204" s="1915"/>
      <c r="W204" s="1915"/>
      <c r="X204" s="1915"/>
      <c r="Y204" s="1915"/>
      <c r="Z204" s="1915"/>
      <c r="AA204" s="1915"/>
      <c r="AB204" s="1915"/>
      <c r="AC204" s="1915"/>
      <c r="AD204" s="1915"/>
      <c r="AE204" s="1915"/>
      <c r="AF204" s="1915">
        <v>11</v>
      </c>
    </row>
    <row customHeight="1" ht="11.549999999999999">
      <c r="A205" s="1274"/>
      <c r="B205" s="1915"/>
      <c r="D205" s="1915"/>
      <c r="K205" s="1915"/>
      <c r="N205" s="1915"/>
      <c r="O205" s="1915"/>
      <c r="P205" s="1915"/>
      <c r="Q205" s="1915"/>
      <c r="S205" s="1915"/>
      <c r="T205" s="1915"/>
      <c r="U205" s="1915"/>
      <c r="V205" s="1915"/>
      <c r="W205" s="1915"/>
      <c r="X205" s="1915"/>
      <c r="Y205" s="1915"/>
      <c r="Z205" s="1915"/>
      <c r="AA205" s="1915"/>
      <c r="AB205" s="1915"/>
      <c r="AC205" s="1915"/>
      <c r="AD205" s="1915"/>
      <c r="AE205" s="1915"/>
      <c r="AF205" s="1915">
        <v>11</v>
      </c>
    </row>
    <row customHeight="1" ht="11.549999999999999">
      <c r="A206" s="1274"/>
      <c r="B206" s="1915"/>
      <c r="D206" s="1915"/>
      <c r="K206" s="1915"/>
      <c r="N206" s="1915"/>
      <c r="O206" s="1915"/>
      <c r="P206" s="1915"/>
      <c r="Q206" s="1915"/>
      <c r="S206" s="1915"/>
      <c r="T206" s="1915"/>
      <c r="U206" s="1915"/>
      <c r="V206" s="1915"/>
      <c r="W206" s="1915"/>
      <c r="X206" s="1915"/>
      <c r="Y206" s="1915"/>
      <c r="Z206" s="1915"/>
      <c r="AA206" s="1915"/>
      <c r="AB206" s="1915"/>
      <c r="AC206" s="1915"/>
      <c r="AD206" s="1915"/>
      <c r="AE206" s="1915"/>
      <c r="AF206" s="1915">
        <v>11</v>
      </c>
    </row>
    <row customHeight="1" ht="11.549999999999999">
      <c r="A207" s="1274"/>
      <c r="B207" s="1915"/>
      <c r="D207" s="1915"/>
      <c r="K207" s="1915"/>
      <c r="N207" s="1915"/>
      <c r="O207" s="1915"/>
      <c r="P207" s="1915"/>
      <c r="Q207" s="1915"/>
      <c r="S207" s="1915"/>
      <c r="T207" s="1915"/>
      <c r="U207" s="1915"/>
      <c r="V207" s="1915"/>
      <c r="W207" s="1915"/>
      <c r="X207" s="1915"/>
      <c r="Y207" s="1915"/>
      <c r="Z207" s="1915"/>
      <c r="AA207" s="1915"/>
      <c r="AB207" s="1915"/>
      <c r="AC207" s="1915"/>
      <c r="AD207" s="1915"/>
      <c r="AE207" s="1915"/>
      <c r="AF207" s="1915">
        <v>11</v>
      </c>
    </row>
    <row customHeight="1" ht="11.549999999999999">
      <c r="A208" s="1274"/>
      <c r="B208" s="1915"/>
      <c r="D208" s="1915"/>
      <c r="K208" s="1915"/>
      <c r="N208" s="1915"/>
      <c r="O208" s="1915"/>
      <c r="P208" s="1915"/>
      <c r="Q208" s="1915"/>
      <c r="S208" s="1915"/>
      <c r="T208" s="1915"/>
      <c r="U208" s="1915"/>
      <c r="V208" s="1915"/>
      <c r="W208" s="1915"/>
      <c r="X208" s="1915"/>
      <c r="Y208" s="1915"/>
      <c r="Z208" s="1915"/>
      <c r="AA208" s="1915"/>
      <c r="AB208" s="1915"/>
      <c r="AC208" s="1915"/>
      <c r="AD208" s="1915"/>
      <c r="AE208" s="1915"/>
      <c r="AF208" s="1915">
        <v>11</v>
      </c>
    </row>
    <row customHeight="1" ht="11.549999999999999">
      <c r="A209" s="1274"/>
      <c r="B209" s="1915"/>
      <c r="D209" s="1915"/>
      <c r="K209" s="1915"/>
      <c r="N209" s="1915"/>
      <c r="O209" s="1915"/>
      <c r="P209" s="1915"/>
      <c r="Q209" s="1915"/>
      <c r="S209" s="1915"/>
      <c r="T209" s="1915"/>
      <c r="U209" s="1915"/>
      <c r="V209" s="1915"/>
      <c r="W209" s="1915"/>
      <c r="X209" s="1915"/>
      <c r="Y209" s="1915"/>
      <c r="Z209" s="1915"/>
      <c r="AA209" s="1915"/>
      <c r="AB209" s="1915"/>
      <c r="AC209" s="1915"/>
      <c r="AD209" s="1915"/>
      <c r="AE209" s="1915"/>
      <c r="AF209" s="1915">
        <v>11</v>
      </c>
    </row>
    <row customHeight="1" ht="11.25" hidden="1">
      <c r="A210" s="1271" t="s">
        <v>85</v>
      </c>
      <c r="B210" s="1444">
        <v>0</v>
      </c>
      <c r="C210" s="1920">
        <v>0</v>
      </c>
      <c r="D210" s="1919">
        <v>3</v>
      </c>
      <c r="E210" s="1915">
        <v>7</v>
      </c>
      <c r="F210" s="1915">
        <v>54</v>
      </c>
      <c r="G210" s="1915">
        <v>10</v>
      </c>
      <c r="H210" s="1915">
        <v>0</v>
      </c>
      <c r="I210" s="1915">
        <v>40</v>
      </c>
      <c r="J210" s="1915">
        <v>102</v>
      </c>
      <c r="K210" s="1444">
        <v>9</v>
      </c>
      <c r="L210" s="1920">
        <v>5</v>
      </c>
      <c r="M210" s="1920">
        <v>3</v>
      </c>
      <c r="N210" s="1444">
        <v>3</v>
      </c>
      <c r="O210" s="1444">
        <v>3</v>
      </c>
      <c r="P210" s="1444">
        <v>3</v>
      </c>
      <c r="Q210" s="1444">
        <v>3</v>
      </c>
      <c r="R210" s="1920">
        <v>10</v>
      </c>
      <c r="S210" s="1444">
        <v>34</v>
      </c>
      <c r="T210" s="1444">
        <v>9</v>
      </c>
      <c r="U210" s="828">
        <v>8</v>
      </c>
      <c r="V210" s="1444">
        <v>8</v>
      </c>
      <c r="W210" s="1444">
        <v>8</v>
      </c>
      <c r="X210" s="1444">
        <v>8</v>
      </c>
      <c r="Y210" s="1444">
        <v>8</v>
      </c>
      <c r="Z210" s="1444">
        <v>8</v>
      </c>
      <c r="AA210" s="1916">
        <v>8</v>
      </c>
      <c r="AB210" s="1916">
        <v>8</v>
      </c>
      <c r="AC210" s="1916">
        <v>8</v>
      </c>
      <c r="AD210" s="1916">
        <v>8</v>
      </c>
      <c r="AE210" s="1916">
        <v>8</v>
      </c>
      <c r="AF210" s="1915">
        <v>11</v>
      </c>
    </row>
  </sheetData>
  <sheetProtection sheet="1" formatColumns="0" formatRows="0" autoFilter="0" sort="1" insertRows="1" insertColumns="1" deleteRows="1" deleteColumns="1"/>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F8A61D-F233-736B-2BDD-97A9A28279DD}" mc:Ignorable="x14ac xr xr2 xr3">
  <sheetPr>
    <tabColor theme="9" tint="-0.25"/>
  </sheetPr>
  <dimension ref="A1:X102"/>
  <sheetViews>
    <sheetView showGridLines="0" zoomScale="90" workbookViewId="0">
      <pane xSplit="8" ySplit="11" topLeftCell="I12" activePane="bottomRight" state="frozen"/>
      <selection pane="bottomLeft" activeCell="A12" sqref="A12"/>
      <selection pane="topRight" activeCell="I1" sqref="I1"/>
      <selection pane="bottomRight" activeCell="A1" sqref="A1"/>
    </sheetView>
  </sheetViews>
  <sheetFormatPr defaultColWidth="10.57421875" customHeight="1" defaultRowHeight="11.25"/>
  <cols>
    <col min="1" max="1" style="37759" width="9.140625" hidden="1" customWidth="1"/>
    <col min="2" max="2" style="30621" width="3.57421875" hidden="1" customWidth="1"/>
    <col min="3" max="3" style="30541" width="3.00390625" customWidth="1"/>
    <col min="4" max="4" style="30541" width="7.00390625" customWidth="1"/>
    <col min="5" max="5" style="30541" width="69.00390625" customWidth="1"/>
    <col min="6" max="6" style="30541" width="10.00390625" customWidth="1"/>
    <col min="7" max="8" style="30541" width="44.00390625" hidden="1" customWidth="1"/>
    <col min="9" max="9" style="30541" width="44.00390625" customWidth="1"/>
    <col min="10" max="10" style="30541" width="43.00390625" customWidth="1"/>
    <col min="11" max="11" style="30541" width="73.00390625" customWidth="1"/>
    <col min="12" max="12" style="30541" width="3.00390625" customWidth="1"/>
    <col min="13" max="23" style="30541" width="10.00390625" customWidth="1"/>
    <col min="24" max="24" style="30541" width="10.57421875" hidden="1"/>
  </cols>
  <sheetData>
    <row s="30620" customFormat="1" customHeight="1" ht="22.5" hidden="1">
      <c r="A1" s="820"/>
      <c r="B1" s="795"/>
      <c r="G1" s="701">
        <v>4</v>
      </c>
      <c r="I1" s="701">
        <v>4</v>
      </c>
      <c r="K1" s="701">
        <v>5</v>
      </c>
      <c r="X1" s="701" t="s">
        <v>14</v>
      </c>
    </row>
    <row customHeight="1" ht="3">
      <c r="X2" s="789">
        <v>3</v>
      </c>
    </row>
    <row customHeight="1" ht="78.75">
      <c r="D3" s="252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523"/>
      <c r="F3" s="2524"/>
      <c r="X3" s="789">
        <v>75</v>
      </c>
    </row>
    <row s="30541" customFormat="1" customHeight="1" ht="21">
      <c r="A4" s="1235"/>
      <c r="B4" s="795"/>
      <c r="D4" s="2498" t="str">
        <f>IF(org=0,"Не определено",org)</f>
        <v>АО "ДГК"</v>
      </c>
      <c r="E4" s="2499"/>
      <c r="F4" s="2500"/>
      <c r="X4" s="1042">
        <v>20</v>
      </c>
    </row>
    <row customHeight="1" ht="11.549999999999999">
      <c r="C5" s="793"/>
      <c r="D5" s="872"/>
      <c r="E5" s="872"/>
      <c r="F5" s="872"/>
      <c r="G5" s="872"/>
      <c r="H5" s="1036"/>
      <c r="I5" s="872"/>
      <c r="J5" s="1036"/>
      <c r="K5" s="872"/>
      <c r="X5" s="789">
        <v>11</v>
      </c>
    </row>
    <row customHeight="1" ht="1.05">
      <c r="C6" s="793"/>
      <c r="D6" s="793"/>
      <c r="E6" s="806"/>
      <c r="F6" s="898"/>
      <c r="G6" s="1306"/>
      <c r="H6" s="1306"/>
      <c r="I6" s="1306" t="s">
        <v>147</v>
      </c>
      <c r="J6" s="1306"/>
      <c r="X6" s="789">
        <v>1</v>
      </c>
    </row>
    <row customHeight="1" ht="11.549999999999999">
      <c r="D7" s="995"/>
      <c r="E7" s="2651" t="s">
        <v>137</v>
      </c>
      <c r="F7" s="2652"/>
      <c r="G7" s="2677" t="str">
        <f>IF(G6="","",INDEX(DIFFERENTIATION_UNMERGE_VD,MATCH(G6,DIFFERENTIATION_ID_DIFF,0)))</f>
        <v/>
      </c>
      <c r="H7" s="2678"/>
      <c r="I7" s="2677">
        <f>IF(I6="","",INDEX(DIFFERENTIATION_UNMERGE_VD,MATCH(I6,DIFFERENTIATION_ID_DIFF,0)))</f>
        <v>0</v>
      </c>
      <c r="J7" s="2678"/>
      <c r="K7" s="2459"/>
      <c r="L7" s="793"/>
      <c r="X7" s="789">
        <v>11</v>
      </c>
    </row>
    <row customHeight="1" ht="11.549999999999999">
      <c r="A8" s="988"/>
      <c r="D8" s="995"/>
      <c r="E8" s="2651" t="s">
        <v>636</v>
      </c>
      <c r="F8" s="2652"/>
      <c r="G8" s="2677" t="str">
        <f>IF(G6="","",INDEX(DIFFERENTIATION_UNMERGE_AREA,MATCH(G6,DIFFERENTIATION_ID_DIFF,0)))</f>
        <v/>
      </c>
      <c r="H8" s="2678"/>
      <c r="I8" s="2677" t="str">
        <f>IF(I6="","",INDEX(DIFFERENTIATION_UNMERGE_AREA,MATCH(I6,DIFFERENTIATION_ID_DIFF,0)))</f>
        <v/>
      </c>
      <c r="J8" s="2678"/>
      <c r="K8" s="2483"/>
      <c r="L8" s="793"/>
      <c r="X8" s="789">
        <v>11</v>
      </c>
    </row>
    <row customHeight="1" ht="11.549999999999999">
      <c r="A9" s="988"/>
      <c r="D9" s="995"/>
      <c r="E9" s="2651" t="s">
        <v>637</v>
      </c>
      <c r="F9" s="2652"/>
      <c r="G9" s="2677" t="str">
        <f>IF(G6="","",INDEX(DIFFERENTIATION_UNMERGE_SYSTEM,MATCH(G6,DIFFERENTIATION_ID_DIFF,0)))</f>
        <v/>
      </c>
      <c r="H9" s="2678"/>
      <c r="I9" s="2677" t="str">
        <f>IF(I6="","",INDEX(DIFFERENTIATION_UNMERGE_SYSTEM,MATCH(I6,DIFFERENTIATION_ID_DIFF,0)))</f>
        <v>без дифференциации</v>
      </c>
      <c r="J9" s="2678"/>
      <c r="K9" s="2483"/>
      <c r="L9" s="793"/>
      <c r="X9" s="789">
        <v>11</v>
      </c>
    </row>
    <row s="30541" customFormat="1" customHeight="1" ht="11.549999999999999">
      <c r="A10" s="1305"/>
      <c r="B10" s="795"/>
      <c r="D10" s="2385" t="s">
        <v>360</v>
      </c>
      <c r="E10" s="2386"/>
      <c r="F10" s="2386"/>
      <c r="G10" s="2386"/>
      <c r="H10" s="2386"/>
      <c r="I10" s="2386"/>
      <c r="J10" s="2387"/>
      <c r="K10" s="2483"/>
      <c r="L10" s="793"/>
      <c r="X10" s="1042">
        <v>11</v>
      </c>
    </row>
    <row s="30541" customFormat="1" customHeight="1" ht="24">
      <c r="A11" s="2669"/>
      <c r="B11" s="2669"/>
      <c r="C11" s="941"/>
      <c r="D11" s="987" t="s">
        <v>91</v>
      </c>
      <c r="E11" s="989" t="s">
        <v>878</v>
      </c>
      <c r="F11" s="989" t="s">
        <v>638</v>
      </c>
      <c r="G11" s="749" t="s">
        <v>363</v>
      </c>
      <c r="H11" s="749" t="s">
        <v>450</v>
      </c>
      <c r="I11" s="1091" t="s">
        <v>363</v>
      </c>
      <c r="J11" s="1092" t="s">
        <v>450</v>
      </c>
      <c r="K11" s="2516"/>
      <c r="L11" s="942"/>
      <c r="X11" s="793">
        <v>23</v>
      </c>
    </row>
    <row s="30621" customFormat="1" customHeight="1" ht="10.5">
      <c r="A12" s="1236"/>
      <c r="D12" s="1309" t="s">
        <v>141</v>
      </c>
      <c r="E12" s="1309" t="s">
        <v>105</v>
      </c>
      <c r="F12" s="1309" t="s">
        <v>93</v>
      </c>
      <c r="G12" s="1310" t="str">
        <f>G1&amp;".1"</f>
        <v>4.1</v>
      </c>
      <c r="H12" s="1310" t="str">
        <f>G1&amp;".2"</f>
        <v>4.2</v>
      </c>
      <c r="I12" s="1310" t="str">
        <f>I1&amp;".1"</f>
        <v>4.1</v>
      </c>
      <c r="J12" s="1310" t="str">
        <f>I1&amp;".2"</f>
        <v>4.2</v>
      </c>
      <c r="K12" s="1310"/>
      <c r="X12" s="795">
        <v>10</v>
      </c>
    </row>
    <row customHeight="1" ht="22.5">
      <c r="A13" s="2676" t="s">
        <v>879</v>
      </c>
      <c r="D13" s="1237" t="s">
        <v>141</v>
      </c>
      <c r="E13" s="563" t="s">
        <v>880</v>
      </c>
      <c r="F13" s="944" t="s">
        <v>881</v>
      </c>
      <c r="G13" s="841"/>
      <c r="H13" s="945"/>
      <c r="I13" s="841"/>
      <c r="J13" s="945"/>
      <c r="K13" s="573" t="s">
        <v>882</v>
      </c>
      <c r="L13" s="1004"/>
      <c r="X13" s="789">
        <v>0</v>
      </c>
    </row>
    <row customHeight="1" ht="22.5">
      <c r="A14" s="2676"/>
      <c r="D14" s="823" t="s">
        <v>105</v>
      </c>
      <c r="E14" s="563" t="s">
        <v>883</v>
      </c>
      <c r="F14" s="944" t="s">
        <v>884</v>
      </c>
      <c r="G14" s="841"/>
      <c r="H14" s="946"/>
      <c r="I14" s="841"/>
      <c r="J14" s="946"/>
      <c r="K14" s="573" t="s">
        <v>885</v>
      </c>
      <c r="L14" s="1004"/>
      <c r="X14" s="789">
        <v>0</v>
      </c>
    </row>
    <row s="30541" customFormat="1" customHeight="1" ht="78.75">
      <c r="A15" s="2676"/>
      <c r="B15" s="795"/>
      <c r="D15" s="1237" t="s">
        <v>93</v>
      </c>
      <c r="E15" s="991" t="s">
        <v>886</v>
      </c>
      <c r="F15" s="1234" t="s">
        <v>366</v>
      </c>
      <c r="G15" s="1234" t="s">
        <v>366</v>
      </c>
      <c r="H15" s="390"/>
      <c r="I15" s="1234" t="s">
        <v>366</v>
      </c>
      <c r="J15" s="390"/>
      <c r="K15" s="573" t="s">
        <v>887</v>
      </c>
      <c r="L15" s="1004"/>
      <c r="X15" s="1042">
        <v>0</v>
      </c>
    </row>
    <row s="30541" customFormat="1" customHeight="1" ht="22.5">
      <c r="A16" s="2676"/>
      <c r="B16" s="795"/>
      <c r="D16" s="1237" t="s">
        <v>384</v>
      </c>
      <c r="E16" s="1238" t="s">
        <v>888</v>
      </c>
      <c r="F16" s="1234" t="s">
        <v>889</v>
      </c>
      <c r="G16" s="1101"/>
      <c r="H16" s="390"/>
      <c r="I16" s="1101"/>
      <c r="J16" s="390"/>
      <c r="K16" s="573"/>
      <c r="L16" s="1004"/>
      <c r="X16" s="1042">
        <v>0</v>
      </c>
    </row>
    <row s="30541" customFormat="1" customHeight="1" ht="22.5">
      <c r="A17" s="2676"/>
      <c r="B17" s="795"/>
      <c r="D17" s="1237" t="s">
        <v>392</v>
      </c>
      <c r="E17" s="1238" t="s">
        <v>890</v>
      </c>
      <c r="F17" s="1234" t="s">
        <v>891</v>
      </c>
      <c r="G17" s="1101"/>
      <c r="H17" s="390"/>
      <c r="I17" s="1101"/>
      <c r="J17" s="390"/>
      <c r="K17" s="573"/>
      <c r="L17" s="1004"/>
      <c r="X17" s="1042">
        <v>0</v>
      </c>
    </row>
    <row s="30541" customFormat="1" customHeight="1" ht="33.75">
      <c r="A18" s="2676"/>
      <c r="B18" s="795"/>
      <c r="D18" s="1237" t="s">
        <v>394</v>
      </c>
      <c r="E18" s="1238" t="s">
        <v>892</v>
      </c>
      <c r="F18" s="1234" t="s">
        <v>643</v>
      </c>
      <c r="G18" s="964"/>
      <c r="H18" s="390"/>
      <c r="I18" s="964"/>
      <c r="J18" s="390"/>
      <c r="K18" s="573"/>
      <c r="L18" s="1004"/>
      <c r="X18" s="1042">
        <v>0</v>
      </c>
    </row>
    <row customHeight="1" ht="101.25">
      <c r="A19" s="2676"/>
      <c r="D19" s="1237" t="s">
        <v>94</v>
      </c>
      <c r="E19" s="563" t="s">
        <v>893</v>
      </c>
      <c r="F19" s="944" t="s">
        <v>618</v>
      </c>
      <c r="G19" s="947"/>
      <c r="H19" s="946"/>
      <c r="I19" s="1239"/>
      <c r="J19" s="946"/>
      <c r="K19" s="573" t="s">
        <v>894</v>
      </c>
      <c r="L19" s="1004"/>
      <c r="X19" s="789">
        <v>0</v>
      </c>
    </row>
    <row s="30541" customFormat="1" customHeight="1" ht="18.75">
      <c r="A20" s="2676"/>
      <c r="C20" s="1240"/>
      <c r="D20" s="1237" t="s">
        <v>825</v>
      </c>
      <c r="E20" s="1238" t="s">
        <v>895</v>
      </c>
      <c r="F20" s="1234" t="s">
        <v>366</v>
      </c>
      <c r="G20" s="1234" t="s">
        <v>366</v>
      </c>
      <c r="H20" s="1233" t="s">
        <v>366</v>
      </c>
      <c r="I20" s="1234" t="s">
        <v>366</v>
      </c>
      <c r="J20" s="1233" t="s">
        <v>366</v>
      </c>
      <c r="K20" s="1232"/>
      <c r="L20" s="1004"/>
      <c r="W20" s="959"/>
      <c r="X20" s="1042">
        <v>0</v>
      </c>
    </row>
    <row s="30541" customFormat="1" customHeight="1" ht="33.75">
      <c r="A21" s="2676"/>
      <c r="C21" s="1240"/>
      <c r="D21" s="1237" t="s">
        <v>828</v>
      </c>
      <c r="E21" s="860" t="s">
        <v>896</v>
      </c>
      <c r="F21" s="1234" t="s">
        <v>897</v>
      </c>
      <c r="G21" s="964"/>
      <c r="H21" s="390"/>
      <c r="I21" s="964"/>
      <c r="J21" s="390"/>
      <c r="K21" s="1232"/>
      <c r="L21" s="1004"/>
      <c r="W21" s="959"/>
      <c r="X21" s="1042">
        <v>0</v>
      </c>
    </row>
    <row s="30541" customFormat="1" customHeight="1" ht="33.75">
      <c r="A22" s="2676"/>
      <c r="C22" s="1240"/>
      <c r="D22" s="1237" t="s">
        <v>831</v>
      </c>
      <c r="E22" s="860" t="s">
        <v>898</v>
      </c>
      <c r="F22" s="1234" t="s">
        <v>899</v>
      </c>
      <c r="G22" s="964"/>
      <c r="H22" s="390"/>
      <c r="I22" s="964"/>
      <c r="J22" s="390"/>
      <c r="K22" s="1232"/>
      <c r="L22" s="1004"/>
      <c r="W22" s="959"/>
      <c r="X22" s="1042">
        <v>0</v>
      </c>
    </row>
    <row s="30541" customFormat="1" customHeight="1" ht="22.5">
      <c r="A23" s="2676"/>
      <c r="C23" s="1240"/>
      <c r="D23" s="1237" t="s">
        <v>867</v>
      </c>
      <c r="E23" s="1238" t="s">
        <v>900</v>
      </c>
      <c r="F23" s="1234" t="s">
        <v>366</v>
      </c>
      <c r="G23" s="1234" t="s">
        <v>366</v>
      </c>
      <c r="H23" s="1233" t="s">
        <v>366</v>
      </c>
      <c r="I23" s="1234" t="s">
        <v>366</v>
      </c>
      <c r="J23" s="1233" t="s">
        <v>366</v>
      </c>
      <c r="K23" s="1232"/>
      <c r="L23" s="1004"/>
      <c r="W23" s="959"/>
      <c r="X23" s="1042">
        <v>0</v>
      </c>
    </row>
    <row s="30541" customFormat="1" customHeight="1" ht="22.5">
      <c r="A24" s="2676"/>
      <c r="C24" s="1240"/>
      <c r="D24" s="1237" t="s">
        <v>901</v>
      </c>
      <c r="E24" s="860" t="s">
        <v>902</v>
      </c>
      <c r="F24" s="1234" t="s">
        <v>903</v>
      </c>
      <c r="G24" s="964"/>
      <c r="H24" s="970"/>
      <c r="I24" s="964"/>
      <c r="J24" s="970"/>
      <c r="K24" s="1232"/>
      <c r="L24" s="1004"/>
      <c r="W24" s="959"/>
      <c r="X24" s="1042">
        <v>0</v>
      </c>
    </row>
    <row s="30541" customFormat="1" customHeight="1" ht="22.5">
      <c r="A25" s="2676"/>
      <c r="C25" s="1240"/>
      <c r="D25" s="1237" t="s">
        <v>904</v>
      </c>
      <c r="E25" s="860" t="s">
        <v>905</v>
      </c>
      <c r="F25" s="1234" t="s">
        <v>366</v>
      </c>
      <c r="G25" s="1234" t="s">
        <v>366</v>
      </c>
      <c r="H25" s="1233" t="s">
        <v>366</v>
      </c>
      <c r="I25" s="1234" t="s">
        <v>366</v>
      </c>
      <c r="J25" s="1233" t="s">
        <v>366</v>
      </c>
      <c r="K25" s="1232"/>
      <c r="L25" s="1004"/>
      <c r="W25" s="959"/>
      <c r="X25" s="1042">
        <v>0</v>
      </c>
    </row>
    <row s="30541" customFormat="1" customHeight="1" ht="18.75">
      <c r="A26" s="2676"/>
      <c r="C26" s="1240"/>
      <c r="D26" s="1237" t="s">
        <v>906</v>
      </c>
      <c r="E26" s="837" t="s">
        <v>907</v>
      </c>
      <c r="F26" s="1234" t="s">
        <v>908</v>
      </c>
      <c r="G26" s="964"/>
      <c r="H26" s="970"/>
      <c r="I26" s="964"/>
      <c r="J26" s="970"/>
      <c r="K26" s="1232"/>
      <c r="L26" s="1004"/>
      <c r="W26" s="959"/>
      <c r="X26" s="1042">
        <v>0</v>
      </c>
    </row>
    <row s="30541" customFormat="1" customHeight="1" ht="18.75">
      <c r="A27" s="2676"/>
      <c r="C27" s="1240"/>
      <c r="D27" s="1237" t="s">
        <v>909</v>
      </c>
      <c r="E27" s="837" t="s">
        <v>910</v>
      </c>
      <c r="F27" s="1234" t="s">
        <v>911</v>
      </c>
      <c r="G27" s="964"/>
      <c r="H27" s="970"/>
      <c r="I27" s="964"/>
      <c r="J27" s="970"/>
      <c r="K27" s="1232"/>
      <c r="L27" s="1004"/>
      <c r="W27" s="959"/>
      <c r="X27" s="1042">
        <v>0</v>
      </c>
    </row>
    <row s="30541" customFormat="1" customHeight="1" ht="18.75">
      <c r="A28" s="2676"/>
      <c r="C28" s="1240"/>
      <c r="D28" s="1237" t="s">
        <v>912</v>
      </c>
      <c r="E28" s="860" t="s">
        <v>913</v>
      </c>
      <c r="F28" s="1234" t="s">
        <v>366</v>
      </c>
      <c r="G28" s="1234" t="s">
        <v>366</v>
      </c>
      <c r="H28" s="1233" t="s">
        <v>366</v>
      </c>
      <c r="I28" s="1234" t="s">
        <v>366</v>
      </c>
      <c r="J28" s="1233" t="s">
        <v>366</v>
      </c>
      <c r="K28" s="1232"/>
      <c r="L28" s="1004"/>
      <c r="W28" s="959"/>
      <c r="X28" s="1042">
        <v>0</v>
      </c>
    </row>
    <row s="30541" customFormat="1" customHeight="1" ht="18.75">
      <c r="A29" s="2676"/>
      <c r="C29" s="1240"/>
      <c r="D29" s="1237" t="s">
        <v>914</v>
      </c>
      <c r="E29" s="837" t="s">
        <v>907</v>
      </c>
      <c r="F29" s="1234" t="s">
        <v>915</v>
      </c>
      <c r="G29" s="964"/>
      <c r="H29" s="970"/>
      <c r="I29" s="964"/>
      <c r="J29" s="970"/>
      <c r="K29" s="1232"/>
      <c r="L29" s="1004"/>
      <c r="W29" s="959"/>
      <c r="X29" s="1042">
        <v>0</v>
      </c>
    </row>
    <row s="30541" customFormat="1" customHeight="1" ht="18.75">
      <c r="A30" s="2676"/>
      <c r="C30" s="1240"/>
      <c r="D30" s="1237" t="s">
        <v>916</v>
      </c>
      <c r="E30" s="837" t="s">
        <v>917</v>
      </c>
      <c r="F30" s="1234" t="s">
        <v>918</v>
      </c>
      <c r="G30" s="964"/>
      <c r="H30" s="970"/>
      <c r="I30" s="964"/>
      <c r="J30" s="970"/>
      <c r="K30" s="1232"/>
      <c r="L30" s="1004"/>
      <c r="W30" s="959"/>
      <c r="X30" s="1042">
        <v>0</v>
      </c>
    </row>
    <row customHeight="1" ht="126.75">
      <c r="A31" s="2676"/>
      <c r="D31" s="1237" t="s">
        <v>124</v>
      </c>
      <c r="E31" s="563" t="s">
        <v>919</v>
      </c>
      <c r="F31" s="944" t="s">
        <v>630</v>
      </c>
      <c r="G31" s="841"/>
      <c r="H31" s="946"/>
      <c r="I31" s="841"/>
      <c r="J31" s="946"/>
      <c r="K31" s="573" t="s">
        <v>920</v>
      </c>
      <c r="L31" s="1004"/>
      <c r="X31" s="789">
        <v>0</v>
      </c>
    </row>
    <row customHeight="1" ht="56.25">
      <c r="A32" s="2676"/>
      <c r="D32" s="1237" t="s">
        <v>95</v>
      </c>
      <c r="E32" s="563" t="s">
        <v>921</v>
      </c>
      <c r="F32" s="823" t="s">
        <v>891</v>
      </c>
      <c r="G32" s="841"/>
      <c r="H32" s="946"/>
      <c r="I32" s="841"/>
      <c r="J32" s="946"/>
      <c r="K32" s="573" t="s">
        <v>922</v>
      </c>
      <c r="L32" s="1004"/>
      <c r="X32" s="789">
        <v>0</v>
      </c>
    </row>
    <row customHeight="1" ht="11.25">
      <c r="A33" s="2676"/>
      <c r="E33" s="948"/>
      <c r="F33" s="465"/>
      <c r="G33" s="465"/>
      <c r="H33" s="465"/>
      <c r="I33" s="465"/>
      <c r="J33" s="465"/>
      <c r="K33" s="465"/>
      <c r="X33" s="789">
        <v>0</v>
      </c>
    </row>
    <row customHeight="1" ht="12.75">
      <c r="A34" s="2676"/>
      <c r="D34" s="349">
        <v>1</v>
      </c>
      <c r="E34" s="619" t="s">
        <v>923</v>
      </c>
      <c r="X34" s="789">
        <v>0</v>
      </c>
    </row>
    <row customHeight="1" ht="11.25">
      <c r="A35" s="2676"/>
      <c r="D35" s="653"/>
      <c r="E35" s="619" t="s">
        <v>924</v>
      </c>
      <c r="X35" s="789">
        <v>0</v>
      </c>
    </row>
    <row s="30541" customFormat="1" customHeight="1" ht="11.549999999999999">
      <c r="A36" s="1317"/>
      <c r="B36" s="802"/>
      <c r="D36" s="1318"/>
      <c r="E36" s="1319"/>
      <c r="X36" s="793">
        <v>11</v>
      </c>
    </row>
    <row s="30541" customFormat="1" customHeight="1" ht="22.5" hidden="1">
      <c r="A37" s="2676" t="s">
        <v>925</v>
      </c>
      <c r="B37" s="795"/>
      <c r="D37" s="1237">
        <v>1</v>
      </c>
      <c r="E37" s="991" t="s">
        <v>926</v>
      </c>
      <c r="F37" s="944" t="s">
        <v>881</v>
      </c>
      <c r="G37" s="841"/>
      <c r="H37" s="803"/>
      <c r="I37" s="841"/>
      <c r="J37" s="803"/>
      <c r="K37" s="573" t="s">
        <v>927</v>
      </c>
      <c r="X37" s="1042">
        <v>0</v>
      </c>
    </row>
    <row s="30541" customFormat="1" customHeight="1" ht="22.5" hidden="1">
      <c r="A38" s="2676"/>
      <c r="B38" s="795"/>
      <c r="D38" s="953" t="s">
        <v>105</v>
      </c>
      <c r="E38" s="1316" t="s">
        <v>928</v>
      </c>
      <c r="F38" s="1320" t="s">
        <v>618</v>
      </c>
      <c r="G38" s="1320" t="s">
        <v>618</v>
      </c>
      <c r="H38" s="1314"/>
      <c r="I38" s="1320" t="s">
        <v>618</v>
      </c>
      <c r="J38" s="1314"/>
      <c r="K38" s="1315"/>
      <c r="X38" s="1042">
        <v>0</v>
      </c>
    </row>
    <row s="30541" customFormat="1" customHeight="1" ht="33.75" hidden="1">
      <c r="A39" s="2676"/>
      <c r="B39" s="795"/>
      <c r="D39" s="949" t="s">
        <v>783</v>
      </c>
      <c r="E39" s="1007" t="s">
        <v>929</v>
      </c>
      <c r="F39" s="944" t="s">
        <v>930</v>
      </c>
      <c r="G39" s="952"/>
      <c r="H39" s="1307"/>
      <c r="I39" s="952"/>
      <c r="J39" s="1307"/>
      <c r="K39" s="573" t="s">
        <v>931</v>
      </c>
      <c r="X39" s="1042">
        <v>0</v>
      </c>
    </row>
    <row s="30541" customFormat="1" customHeight="1" ht="33.75" hidden="1">
      <c r="A40" s="2676"/>
      <c r="B40" s="795"/>
      <c r="D40" s="949" t="s">
        <v>786</v>
      </c>
      <c r="E40" s="1007" t="s">
        <v>932</v>
      </c>
      <c r="F40" s="1311" t="s">
        <v>933</v>
      </c>
      <c r="G40" s="1025"/>
      <c r="H40" s="1307"/>
      <c r="I40" s="1025"/>
      <c r="J40" s="1307"/>
      <c r="K40" s="573" t="s">
        <v>934</v>
      </c>
      <c r="X40" s="1042">
        <v>0</v>
      </c>
    </row>
    <row s="30541" customFormat="1" customHeight="1" ht="22.5" hidden="1">
      <c r="A41" s="2676"/>
      <c r="B41" s="795"/>
      <c r="D41" s="949" t="s">
        <v>93</v>
      </c>
      <c r="E41" s="1006" t="s">
        <v>935</v>
      </c>
      <c r="F41" s="944" t="s">
        <v>618</v>
      </c>
      <c r="G41" s="944" t="s">
        <v>618</v>
      </c>
      <c r="H41" s="1308"/>
      <c r="I41" s="944" t="s">
        <v>618</v>
      </c>
      <c r="J41" s="1308"/>
      <c r="K41" s="586"/>
      <c r="X41" s="1042">
        <v>0</v>
      </c>
    </row>
    <row s="30541" customFormat="1" customHeight="1" ht="45" hidden="1">
      <c r="A42" s="2676"/>
      <c r="B42" s="795"/>
      <c r="D42" s="949" t="s">
        <v>384</v>
      </c>
      <c r="E42" s="1007" t="s">
        <v>936</v>
      </c>
      <c r="F42" s="944" t="s">
        <v>630</v>
      </c>
      <c r="G42" s="841"/>
      <c r="H42" s="1308"/>
      <c r="I42" s="841"/>
      <c r="J42" s="1308"/>
      <c r="K42" s="586" t="s">
        <v>937</v>
      </c>
      <c r="X42" s="1042">
        <v>0</v>
      </c>
    </row>
    <row s="30541" customFormat="1" customHeight="1" ht="45" hidden="1">
      <c r="A43" s="2676"/>
      <c r="B43" s="795"/>
      <c r="D43" s="949" t="s">
        <v>392</v>
      </c>
      <c r="E43" s="951" t="s">
        <v>938</v>
      </c>
      <c r="F43" s="1312" t="s">
        <v>630</v>
      </c>
      <c r="G43" s="1026"/>
      <c r="H43" s="1307"/>
      <c r="I43" s="1026"/>
      <c r="J43" s="1307"/>
      <c r="K43" s="586" t="s">
        <v>939</v>
      </c>
      <c r="X43" s="1042">
        <v>0</v>
      </c>
    </row>
    <row s="30541" customFormat="1" customHeight="1" ht="11.25" hidden="1">
      <c r="A44" s="2676"/>
      <c r="B44" s="795"/>
      <c r="D44" s="949" t="s">
        <v>94</v>
      </c>
      <c r="E44" s="950" t="s">
        <v>940</v>
      </c>
      <c r="F44" s="944" t="s">
        <v>930</v>
      </c>
      <c r="G44" s="952"/>
      <c r="H44" s="1307"/>
      <c r="I44" s="952"/>
      <c r="J44" s="1307"/>
      <c r="K44" s="573"/>
      <c r="X44" s="1042">
        <v>0</v>
      </c>
    </row>
    <row s="30541" customFormat="1" customHeight="1" ht="11.25" hidden="1">
      <c r="A45" s="2676"/>
      <c r="B45" s="795"/>
      <c r="D45" s="949" t="s">
        <v>825</v>
      </c>
      <c r="E45" s="951" t="s">
        <v>941</v>
      </c>
      <c r="F45" s="944" t="s">
        <v>930</v>
      </c>
      <c r="G45" s="952"/>
      <c r="H45" s="1307"/>
      <c r="I45" s="952"/>
      <c r="J45" s="1307"/>
      <c r="K45" s="573"/>
      <c r="X45" s="1042">
        <v>0</v>
      </c>
    </row>
    <row s="30541" customFormat="1" customHeight="1" ht="11.25" hidden="1">
      <c r="A46" s="2676"/>
      <c r="B46" s="795"/>
      <c r="D46" s="949" t="s">
        <v>867</v>
      </c>
      <c r="E46" s="951" t="s">
        <v>942</v>
      </c>
      <c r="F46" s="944" t="s">
        <v>930</v>
      </c>
      <c r="G46" s="952"/>
      <c r="H46" s="1307"/>
      <c r="I46" s="952"/>
      <c r="J46" s="1307"/>
      <c r="K46" s="573"/>
      <c r="X46" s="1042">
        <v>0</v>
      </c>
    </row>
    <row s="30541" customFormat="1" customHeight="1" ht="11.25" hidden="1">
      <c r="A47" s="2676"/>
      <c r="B47" s="795"/>
      <c r="D47" s="949" t="s">
        <v>870</v>
      </c>
      <c r="E47" s="951" t="s">
        <v>943</v>
      </c>
      <c r="F47" s="944" t="s">
        <v>930</v>
      </c>
      <c r="G47" s="952"/>
      <c r="H47" s="1307"/>
      <c r="I47" s="952"/>
      <c r="J47" s="1307"/>
      <c r="K47" s="573"/>
      <c r="X47" s="1042">
        <v>0</v>
      </c>
    </row>
    <row s="30541" customFormat="1" customHeight="1" ht="11.25" hidden="1">
      <c r="A48" s="2676"/>
      <c r="B48" s="795"/>
      <c r="D48" s="949" t="s">
        <v>944</v>
      </c>
      <c r="E48" s="955" t="s">
        <v>945</v>
      </c>
      <c r="F48" s="944" t="s">
        <v>930</v>
      </c>
      <c r="G48" s="952"/>
      <c r="H48" s="1307"/>
      <c r="I48" s="952"/>
      <c r="J48" s="1307"/>
      <c r="K48" s="573"/>
      <c r="X48" s="1042">
        <v>0</v>
      </c>
    </row>
    <row s="30541" customFormat="1" customHeight="1" ht="11.25" hidden="1">
      <c r="A49" s="2676"/>
      <c r="B49" s="795"/>
      <c r="D49" s="949" t="s">
        <v>946</v>
      </c>
      <c r="E49" s="955" t="s">
        <v>947</v>
      </c>
      <c r="F49" s="944" t="s">
        <v>930</v>
      </c>
      <c r="G49" s="952"/>
      <c r="H49" s="1307"/>
      <c r="I49" s="952"/>
      <c r="J49" s="1307"/>
      <c r="K49" s="573"/>
      <c r="X49" s="1042">
        <v>0</v>
      </c>
    </row>
    <row s="30541" customFormat="1" customHeight="1" ht="11.25" hidden="1">
      <c r="A50" s="2676"/>
      <c r="B50" s="795"/>
      <c r="D50" s="949" t="s">
        <v>948</v>
      </c>
      <c r="E50" s="951" t="s">
        <v>949</v>
      </c>
      <c r="F50" s="944" t="s">
        <v>930</v>
      </c>
      <c r="G50" s="952"/>
      <c r="H50" s="1307"/>
      <c r="I50" s="952"/>
      <c r="J50" s="1307"/>
      <c r="K50" s="573"/>
      <c r="X50" s="1042">
        <v>0</v>
      </c>
    </row>
    <row s="30541" customFormat="1" customHeight="1" ht="11.25" hidden="1">
      <c r="A51" s="2676"/>
      <c r="B51" s="795"/>
      <c r="D51" s="949" t="s">
        <v>950</v>
      </c>
      <c r="E51" s="951" t="s">
        <v>951</v>
      </c>
      <c r="F51" s="944" t="s">
        <v>930</v>
      </c>
      <c r="G51" s="952"/>
      <c r="H51" s="1307"/>
      <c r="I51" s="952"/>
      <c r="J51" s="1307"/>
      <c r="K51" s="573"/>
      <c r="X51" s="1042">
        <v>0</v>
      </c>
    </row>
    <row s="30541" customFormat="1" customHeight="1" ht="45" hidden="1">
      <c r="A52" s="2676"/>
      <c r="B52" s="795"/>
      <c r="D52" s="949" t="s">
        <v>124</v>
      </c>
      <c r="E52" s="950" t="s">
        <v>952</v>
      </c>
      <c r="F52" s="944" t="s">
        <v>930</v>
      </c>
      <c r="G52" s="952"/>
      <c r="H52" s="1307"/>
      <c r="I52" s="952"/>
      <c r="J52" s="1307"/>
      <c r="K52" s="573"/>
      <c r="X52" s="1042">
        <v>0</v>
      </c>
    </row>
    <row s="30541" customFormat="1" customHeight="1" ht="11.25" hidden="1">
      <c r="A53" s="2676"/>
      <c r="B53" s="795"/>
      <c r="D53" s="949" t="s">
        <v>373</v>
      </c>
      <c r="E53" s="951" t="s">
        <v>941</v>
      </c>
      <c r="F53" s="944" t="s">
        <v>930</v>
      </c>
      <c r="G53" s="952"/>
      <c r="H53" s="1307"/>
      <c r="I53" s="952"/>
      <c r="J53" s="1307"/>
      <c r="K53" s="573"/>
      <c r="X53" s="1042">
        <v>0</v>
      </c>
    </row>
    <row s="30541" customFormat="1" customHeight="1" ht="11.25" hidden="1">
      <c r="A54" s="2676"/>
      <c r="B54" s="795"/>
      <c r="D54" s="949" t="s">
        <v>953</v>
      </c>
      <c r="E54" s="951" t="s">
        <v>942</v>
      </c>
      <c r="F54" s="944" t="s">
        <v>930</v>
      </c>
      <c r="G54" s="952"/>
      <c r="H54" s="1307"/>
      <c r="I54" s="952"/>
      <c r="J54" s="1307"/>
      <c r="K54" s="573"/>
      <c r="X54" s="1042">
        <v>0</v>
      </c>
    </row>
    <row s="30541" customFormat="1" customHeight="1" ht="11.25" hidden="1">
      <c r="A55" s="2676"/>
      <c r="B55" s="795"/>
      <c r="D55" s="949" t="s">
        <v>954</v>
      </c>
      <c r="E55" s="951" t="s">
        <v>943</v>
      </c>
      <c r="F55" s="944" t="s">
        <v>930</v>
      </c>
      <c r="G55" s="952"/>
      <c r="H55" s="1307"/>
      <c r="I55" s="952"/>
      <c r="J55" s="1307"/>
      <c r="K55" s="573"/>
      <c r="X55" s="1042">
        <v>0</v>
      </c>
    </row>
    <row s="30541" customFormat="1" customHeight="1" ht="11.25" hidden="1">
      <c r="A56" s="2676"/>
      <c r="B56" s="795"/>
      <c r="D56" s="949" t="s">
        <v>955</v>
      </c>
      <c r="E56" s="955" t="s">
        <v>945</v>
      </c>
      <c r="F56" s="944" t="s">
        <v>930</v>
      </c>
      <c r="G56" s="952"/>
      <c r="H56" s="1307"/>
      <c r="I56" s="952"/>
      <c r="J56" s="1307"/>
      <c r="K56" s="573"/>
      <c r="X56" s="1042">
        <v>0</v>
      </c>
    </row>
    <row s="30541" customFormat="1" customHeight="1" ht="11.25" hidden="1">
      <c r="A57" s="2676"/>
      <c r="B57" s="795"/>
      <c r="D57" s="949" t="s">
        <v>956</v>
      </c>
      <c r="E57" s="955" t="s">
        <v>947</v>
      </c>
      <c r="F57" s="944" t="s">
        <v>930</v>
      </c>
      <c r="G57" s="952"/>
      <c r="H57" s="1307"/>
      <c r="I57" s="952"/>
      <c r="J57" s="1307"/>
      <c r="K57" s="573"/>
      <c r="X57" s="1042">
        <v>0</v>
      </c>
    </row>
    <row s="30541" customFormat="1" customHeight="1" ht="11.25" hidden="1">
      <c r="A58" s="2676"/>
      <c r="B58" s="795"/>
      <c r="D58" s="949" t="s">
        <v>957</v>
      </c>
      <c r="E58" s="951" t="s">
        <v>949</v>
      </c>
      <c r="F58" s="944" t="s">
        <v>930</v>
      </c>
      <c r="G58" s="952"/>
      <c r="H58" s="1307"/>
      <c r="I58" s="952"/>
      <c r="J58" s="1307"/>
      <c r="K58" s="573"/>
      <c r="X58" s="1042">
        <v>0</v>
      </c>
    </row>
    <row s="30541" customFormat="1" customHeight="1" ht="11.25" hidden="1">
      <c r="A59" s="2676"/>
      <c r="B59" s="795"/>
      <c r="D59" s="949" t="s">
        <v>958</v>
      </c>
      <c r="E59" s="951" t="s">
        <v>951</v>
      </c>
      <c r="F59" s="944" t="s">
        <v>930</v>
      </c>
      <c r="G59" s="952"/>
      <c r="H59" s="1307"/>
      <c r="I59" s="952"/>
      <c r="J59" s="1307"/>
      <c r="K59" s="573"/>
      <c r="X59" s="1042">
        <v>0</v>
      </c>
    </row>
    <row s="30541" customFormat="1" customHeight="1" ht="33.75" hidden="1">
      <c r="A60" s="2676"/>
      <c r="B60" s="795"/>
      <c r="D60" s="949" t="s">
        <v>95</v>
      </c>
      <c r="E60" s="950" t="s">
        <v>959</v>
      </c>
      <c r="F60" s="1005" t="s">
        <v>630</v>
      </c>
      <c r="G60" s="1026"/>
      <c r="H60" s="1307"/>
      <c r="I60" s="1026"/>
      <c r="J60" s="1307"/>
      <c r="K60" s="586" t="s">
        <v>960</v>
      </c>
      <c r="X60" s="1042">
        <v>0</v>
      </c>
    </row>
    <row s="30541" customFormat="1" customHeight="1" ht="33.75" hidden="1">
      <c r="A61" s="2676"/>
      <c r="B61" s="795"/>
      <c r="D61" s="949" t="s">
        <v>96</v>
      </c>
      <c r="E61" s="950" t="s">
        <v>961</v>
      </c>
      <c r="F61" s="1010" t="s">
        <v>891</v>
      </c>
      <c r="G61" s="952"/>
      <c r="H61" s="1307"/>
      <c r="I61" s="952"/>
      <c r="J61" s="1307"/>
      <c r="K61" s="573"/>
      <c r="X61" s="1042">
        <v>0</v>
      </c>
    </row>
    <row s="30541" customFormat="1" customHeight="1" ht="22.5" hidden="1">
      <c r="A62" s="2676"/>
      <c r="B62" s="795" t="s">
        <v>660</v>
      </c>
      <c r="D62" s="949" t="s">
        <v>142</v>
      </c>
      <c r="E62" s="950" t="s">
        <v>962</v>
      </c>
      <c r="F62" s="1010" t="s">
        <v>366</v>
      </c>
      <c r="G62" s="666"/>
      <c r="H62" s="1307"/>
      <c r="I62" s="666"/>
      <c r="J62" s="1307"/>
      <c r="K62" s="573" t="s">
        <v>703</v>
      </c>
      <c r="X62" s="1042">
        <v>0</v>
      </c>
    </row>
    <row s="30541" customFormat="1" customHeight="1" ht="45" hidden="1">
      <c r="A63" s="2676"/>
      <c r="B63" s="795" t="s">
        <v>660</v>
      </c>
      <c r="D63" s="949" t="s">
        <v>963</v>
      </c>
      <c r="E63" s="951" t="s">
        <v>964</v>
      </c>
      <c r="F63" s="1005" t="s">
        <v>366</v>
      </c>
      <c r="G63" s="666"/>
      <c r="H63" s="1307"/>
      <c r="I63" s="666"/>
      <c r="J63" s="1307"/>
      <c r="K63" s="573" t="s">
        <v>703</v>
      </c>
      <c r="X63" s="1042">
        <v>0</v>
      </c>
    </row>
    <row s="30541" customFormat="1" customHeight="1" ht="11.549999999999999">
      <c r="A64" s="1317"/>
      <c r="B64" s="802"/>
      <c r="D64" s="1318"/>
      <c r="E64" s="1319"/>
      <c r="X64" s="793">
        <v>11</v>
      </c>
    </row>
    <row s="30541" customFormat="1" customHeight="1" ht="22.5" hidden="1">
      <c r="A65" s="2676" t="s">
        <v>965</v>
      </c>
      <c r="B65" s="795"/>
      <c r="D65" s="949">
        <v>1</v>
      </c>
      <c r="E65" s="1028" t="s">
        <v>966</v>
      </c>
      <c r="F65" s="1024" t="s">
        <v>881</v>
      </c>
      <c r="G65" s="1025"/>
      <c r="H65" s="1313"/>
      <c r="I65" s="1025"/>
      <c r="J65" s="1313"/>
      <c r="K65" s="585" t="s">
        <v>967</v>
      </c>
      <c r="X65" s="1042">
        <v>0</v>
      </c>
    </row>
    <row s="30541" customFormat="1" customHeight="1" ht="56.25" hidden="1">
      <c r="A66" s="2676"/>
      <c r="B66" s="795"/>
      <c r="D66" s="1027" t="s">
        <v>105</v>
      </c>
      <c r="E66" s="991" t="s">
        <v>968</v>
      </c>
      <c r="F66" s="944" t="s">
        <v>618</v>
      </c>
      <c r="G66" s="944" t="s">
        <v>618</v>
      </c>
      <c r="H66" s="803"/>
      <c r="I66" s="944" t="s">
        <v>618</v>
      </c>
      <c r="J66" s="803"/>
      <c r="K66" s="573"/>
      <c r="X66" s="1042">
        <v>0</v>
      </c>
    </row>
    <row s="30541" customFormat="1" customHeight="1" ht="33.75" hidden="1">
      <c r="A67" s="2676"/>
      <c r="B67" s="795"/>
      <c r="D67" s="1027" t="s">
        <v>780</v>
      </c>
      <c r="E67" s="1238" t="s">
        <v>969</v>
      </c>
      <c r="F67" s="944" t="s">
        <v>933</v>
      </c>
      <c r="G67" s="1011"/>
      <c r="H67" s="803"/>
      <c r="I67" s="1011"/>
      <c r="J67" s="803"/>
      <c r="K67" s="573"/>
      <c r="X67" s="1042">
        <v>0</v>
      </c>
    </row>
    <row s="30541" customFormat="1" customHeight="1" ht="22.5" hidden="1">
      <c r="A68" s="2676"/>
      <c r="B68" s="795"/>
      <c r="D68" s="1027" t="s">
        <v>367</v>
      </c>
      <c r="E68" s="1238" t="s">
        <v>970</v>
      </c>
      <c r="F68" s="944" t="s">
        <v>933</v>
      </c>
      <c r="G68" s="1011"/>
      <c r="H68" s="803"/>
      <c r="I68" s="1011"/>
      <c r="J68" s="803"/>
      <c r="K68" s="573"/>
      <c r="X68" s="1042">
        <v>0</v>
      </c>
    </row>
    <row s="30541" customFormat="1" customHeight="1" ht="22.5" hidden="1">
      <c r="A69" s="2676"/>
      <c r="B69" s="795"/>
      <c r="D69" s="1027" t="s">
        <v>370</v>
      </c>
      <c r="E69" s="1238" t="s">
        <v>971</v>
      </c>
      <c r="F69" s="1005" t="s">
        <v>630</v>
      </c>
      <c r="G69" s="1026"/>
      <c r="H69" s="803"/>
      <c r="I69" s="1026"/>
      <c r="J69" s="803"/>
      <c r="K69" s="573"/>
      <c r="X69" s="1042">
        <v>0</v>
      </c>
    </row>
    <row s="30541" customFormat="1" customHeight="1" ht="22.5" hidden="1">
      <c r="A70" s="2676"/>
      <c r="B70" s="795"/>
      <c r="D70" s="1027" t="s">
        <v>800</v>
      </c>
      <c r="E70" s="1238" t="s">
        <v>972</v>
      </c>
      <c r="F70" s="1005" t="s">
        <v>630</v>
      </c>
      <c r="G70" s="1026"/>
      <c r="H70" s="803"/>
      <c r="I70" s="1026"/>
      <c r="J70" s="803"/>
      <c r="K70" s="573"/>
      <c r="X70" s="1042">
        <v>0</v>
      </c>
    </row>
    <row s="30541" customFormat="1" customHeight="1" ht="22.5" hidden="1">
      <c r="A71" s="2676"/>
      <c r="B71" s="795"/>
      <c r="D71" s="949" t="s">
        <v>93</v>
      </c>
      <c r="E71" s="950" t="s">
        <v>973</v>
      </c>
      <c r="F71" s="944" t="s">
        <v>933</v>
      </c>
      <c r="G71" s="841"/>
      <c r="H71" s="1314"/>
      <c r="I71" s="841"/>
      <c r="J71" s="1314"/>
      <c r="K71" s="586"/>
      <c r="X71" s="1042">
        <v>0</v>
      </c>
    </row>
    <row s="30541" customFormat="1" customHeight="1" ht="56.25" hidden="1">
      <c r="A72" s="2676"/>
      <c r="B72" s="795"/>
      <c r="D72" s="949" t="s">
        <v>94</v>
      </c>
      <c r="E72" s="950" t="s">
        <v>974</v>
      </c>
      <c r="F72" s="1005" t="s">
        <v>630</v>
      </c>
      <c r="G72" s="1026"/>
      <c r="H72" s="1307"/>
      <c r="I72" s="1026"/>
      <c r="J72" s="1307"/>
      <c r="K72" s="586"/>
      <c r="X72" s="1042">
        <v>0</v>
      </c>
    </row>
    <row s="30541" customFormat="1" customHeight="1" ht="33.75" hidden="1">
      <c r="A73" s="2676"/>
      <c r="B73" s="795"/>
      <c r="D73" s="949" t="s">
        <v>124</v>
      </c>
      <c r="E73" s="950" t="s">
        <v>975</v>
      </c>
      <c r="F73" s="1010" t="s">
        <v>891</v>
      </c>
      <c r="G73" s="952"/>
      <c r="H73" s="1307"/>
      <c r="I73" s="952"/>
      <c r="J73" s="1307"/>
      <c r="K73" s="573"/>
      <c r="X73" s="1042">
        <v>0</v>
      </c>
    </row>
    <row s="30541" customFormat="1" customHeight="1" ht="22.5" hidden="1">
      <c r="A74" s="2676"/>
      <c r="B74" s="795" t="s">
        <v>660</v>
      </c>
      <c r="D74" s="949" t="s">
        <v>95</v>
      </c>
      <c r="E74" s="950" t="s">
        <v>976</v>
      </c>
      <c r="F74" s="1010" t="s">
        <v>366</v>
      </c>
      <c r="G74" s="666"/>
      <c r="H74" s="1307"/>
      <c r="I74" s="666"/>
      <c r="J74" s="1307"/>
      <c r="K74" s="573" t="s">
        <v>703</v>
      </c>
      <c r="X74" s="1042">
        <v>0</v>
      </c>
    </row>
    <row s="30541" customFormat="1" customHeight="1" ht="45" hidden="1">
      <c r="A75" s="2676"/>
      <c r="B75" s="795" t="s">
        <v>660</v>
      </c>
      <c r="D75" s="949" t="s">
        <v>724</v>
      </c>
      <c r="E75" s="951" t="s">
        <v>977</v>
      </c>
      <c r="F75" s="1005" t="s">
        <v>366</v>
      </c>
      <c r="G75" s="666"/>
      <c r="H75" s="1307"/>
      <c r="I75" s="666"/>
      <c r="J75" s="1307"/>
      <c r="K75" s="573" t="s">
        <v>703</v>
      </c>
      <c r="X75" s="1042">
        <v>0</v>
      </c>
    </row>
    <row s="30541" customFormat="1" customHeight="1" ht="11.549999999999999">
      <c r="A76" s="1317"/>
      <c r="B76" s="802"/>
      <c r="D76" s="1318"/>
      <c r="E76" s="1319"/>
      <c r="X76" s="793">
        <v>11</v>
      </c>
    </row>
    <row s="30541" customFormat="1" customHeight="1" ht="11.25" hidden="1">
      <c r="A77" s="2676" t="s">
        <v>978</v>
      </c>
      <c r="B77" s="795"/>
      <c r="D77" s="949">
        <v>1</v>
      </c>
      <c r="E77" s="950" t="s">
        <v>979</v>
      </c>
      <c r="F77" s="1005" t="s">
        <v>881</v>
      </c>
      <c r="G77" s="1008"/>
      <c r="H77" s="1307"/>
      <c r="I77" s="1008"/>
      <c r="J77" s="1307"/>
      <c r="K77" s="573" t="s">
        <v>980</v>
      </c>
      <c r="X77" s="1042">
        <v>0</v>
      </c>
    </row>
    <row s="30541" customFormat="1" customHeight="1" ht="11.25" hidden="1">
      <c r="A78" s="2676"/>
      <c r="B78" s="795"/>
      <c r="D78" s="949" t="s">
        <v>105</v>
      </c>
      <c r="E78" s="950" t="s">
        <v>981</v>
      </c>
      <c r="F78" s="1005" t="s">
        <v>881</v>
      </c>
      <c r="G78" s="1008"/>
      <c r="H78" s="1307"/>
      <c r="I78" s="1008"/>
      <c r="J78" s="1307"/>
      <c r="K78" s="573" t="s">
        <v>982</v>
      </c>
      <c r="X78" s="1042">
        <v>0</v>
      </c>
    </row>
    <row s="30541" customFormat="1" customHeight="1" ht="22.5" hidden="1">
      <c r="A79" s="2676"/>
      <c r="B79" s="795"/>
      <c r="D79" s="949" t="s">
        <v>93</v>
      </c>
      <c r="E79" s="1006" t="s">
        <v>983</v>
      </c>
      <c r="F79" s="944" t="s">
        <v>930</v>
      </c>
      <c r="G79" s="1008"/>
      <c r="H79" s="1307"/>
      <c r="I79" s="1008"/>
      <c r="J79" s="1307"/>
      <c r="K79" s="573" t="s">
        <v>984</v>
      </c>
      <c r="X79" s="1042">
        <v>0</v>
      </c>
    </row>
    <row s="30541" customFormat="1" customHeight="1" ht="11.25" hidden="1">
      <c r="A80" s="2676"/>
      <c r="B80" s="795"/>
      <c r="D80" s="949" t="s">
        <v>384</v>
      </c>
      <c r="E80" s="1007" t="s">
        <v>985</v>
      </c>
      <c r="F80" s="944" t="s">
        <v>930</v>
      </c>
      <c r="G80" s="1008"/>
      <c r="H80" s="1307"/>
      <c r="I80" s="1008"/>
      <c r="J80" s="1307"/>
      <c r="K80" s="573"/>
      <c r="X80" s="1042">
        <v>0</v>
      </c>
    </row>
    <row s="30541" customFormat="1" customHeight="1" ht="11.25" hidden="1">
      <c r="A81" s="2676"/>
      <c r="B81" s="795"/>
      <c r="D81" s="949" t="s">
        <v>392</v>
      </c>
      <c r="E81" s="1007" t="s">
        <v>986</v>
      </c>
      <c r="F81" s="944" t="s">
        <v>930</v>
      </c>
      <c r="G81" s="1008"/>
      <c r="H81" s="1307"/>
      <c r="I81" s="1008"/>
      <c r="J81" s="1307"/>
      <c r="K81" s="573"/>
      <c r="X81" s="1042">
        <v>0</v>
      </c>
    </row>
    <row s="30541" customFormat="1" customHeight="1" ht="11.25" hidden="1">
      <c r="A82" s="2676"/>
      <c r="B82" s="795"/>
      <c r="D82" s="949" t="s">
        <v>394</v>
      </c>
      <c r="E82" s="1007" t="s">
        <v>987</v>
      </c>
      <c r="F82" s="944" t="s">
        <v>930</v>
      </c>
      <c r="G82" s="1008"/>
      <c r="H82" s="1307"/>
      <c r="I82" s="1008"/>
      <c r="J82" s="1307"/>
      <c r="K82" s="573"/>
      <c r="X82" s="1042">
        <v>0</v>
      </c>
    </row>
    <row s="30541" customFormat="1" customHeight="1" ht="11.25" hidden="1">
      <c r="A83" s="2676"/>
      <c r="B83" s="795"/>
      <c r="D83" s="949" t="s">
        <v>396</v>
      </c>
      <c r="E83" s="1007" t="s">
        <v>988</v>
      </c>
      <c r="F83" s="944" t="s">
        <v>930</v>
      </c>
      <c r="G83" s="1008"/>
      <c r="H83" s="1307"/>
      <c r="I83" s="1008"/>
      <c r="J83" s="1307"/>
      <c r="K83" s="573"/>
      <c r="X83" s="1042">
        <v>0</v>
      </c>
    </row>
    <row s="30541" customFormat="1" customHeight="1" ht="11.25" hidden="1">
      <c r="A84" s="2676"/>
      <c r="B84" s="795"/>
      <c r="D84" s="949" t="s">
        <v>989</v>
      </c>
      <c r="E84" s="1007" t="s">
        <v>990</v>
      </c>
      <c r="F84" s="944" t="s">
        <v>930</v>
      </c>
      <c r="G84" s="1008"/>
      <c r="H84" s="1307"/>
      <c r="I84" s="1008"/>
      <c r="J84" s="1307"/>
      <c r="K84" s="573"/>
      <c r="X84" s="1042">
        <v>0</v>
      </c>
    </row>
    <row s="30541" customFormat="1" customHeight="1" ht="11.25" hidden="1">
      <c r="A85" s="2676"/>
      <c r="B85" s="795"/>
      <c r="D85" s="949" t="s">
        <v>991</v>
      </c>
      <c r="E85" s="1007" t="s">
        <v>992</v>
      </c>
      <c r="F85" s="944" t="s">
        <v>930</v>
      </c>
      <c r="G85" s="1008"/>
      <c r="H85" s="1307"/>
      <c r="I85" s="1008"/>
      <c r="J85" s="1307"/>
      <c r="K85" s="573"/>
      <c r="X85" s="1042">
        <v>0</v>
      </c>
    </row>
    <row s="30541" customFormat="1" customHeight="1" ht="11.25" hidden="1">
      <c r="A86" s="2676"/>
      <c r="B86" s="795"/>
      <c r="D86" s="949" t="s">
        <v>993</v>
      </c>
      <c r="E86" s="1007" t="s">
        <v>994</v>
      </c>
      <c r="F86" s="944" t="s">
        <v>930</v>
      </c>
      <c r="G86" s="1008"/>
      <c r="H86" s="1307"/>
      <c r="I86" s="1008"/>
      <c r="J86" s="1307"/>
      <c r="K86" s="573"/>
      <c r="X86" s="1042">
        <v>0</v>
      </c>
    </row>
    <row s="30541" customFormat="1" customHeight="1" ht="45" hidden="1">
      <c r="A87" s="2676"/>
      <c r="B87" s="795"/>
      <c r="D87" s="949" t="s">
        <v>94</v>
      </c>
      <c r="E87" s="950" t="s">
        <v>995</v>
      </c>
      <c r="F87" s="944" t="s">
        <v>930</v>
      </c>
      <c r="G87" s="1008"/>
      <c r="H87" s="1307"/>
      <c r="I87" s="1008"/>
      <c r="J87" s="1307"/>
      <c r="K87" s="573" t="s">
        <v>996</v>
      </c>
      <c r="X87" s="1042">
        <v>0</v>
      </c>
    </row>
    <row s="30541" customFormat="1" customHeight="1" ht="11.25" hidden="1">
      <c r="A88" s="2676"/>
      <c r="B88" s="795"/>
      <c r="D88" s="949" t="s">
        <v>825</v>
      </c>
      <c r="E88" s="1007" t="s">
        <v>985</v>
      </c>
      <c r="F88" s="944" t="s">
        <v>930</v>
      </c>
      <c r="G88" s="1008"/>
      <c r="H88" s="1307"/>
      <c r="I88" s="1008"/>
      <c r="J88" s="1307"/>
      <c r="K88" s="573"/>
      <c r="X88" s="1042">
        <v>0</v>
      </c>
    </row>
    <row s="30541" customFormat="1" customHeight="1" ht="11.25" hidden="1">
      <c r="A89" s="2676"/>
      <c r="B89" s="795"/>
      <c r="D89" s="949" t="s">
        <v>867</v>
      </c>
      <c r="E89" s="1007" t="s">
        <v>986</v>
      </c>
      <c r="F89" s="944" t="s">
        <v>930</v>
      </c>
      <c r="G89" s="1008"/>
      <c r="H89" s="1307"/>
      <c r="I89" s="1008"/>
      <c r="J89" s="1307"/>
      <c r="K89" s="573"/>
      <c r="X89" s="1042">
        <v>0</v>
      </c>
    </row>
    <row s="30541" customFormat="1" customHeight="1" ht="11.25" hidden="1">
      <c r="A90" s="2676"/>
      <c r="B90" s="795"/>
      <c r="D90" s="949" t="s">
        <v>870</v>
      </c>
      <c r="E90" s="1007" t="s">
        <v>987</v>
      </c>
      <c r="F90" s="944" t="s">
        <v>930</v>
      </c>
      <c r="G90" s="1008"/>
      <c r="H90" s="1307"/>
      <c r="I90" s="1008"/>
      <c r="J90" s="1307"/>
      <c r="K90" s="573"/>
      <c r="X90" s="1042">
        <v>0</v>
      </c>
    </row>
    <row s="30541" customFormat="1" customHeight="1" ht="11.25" hidden="1">
      <c r="A91" s="2676"/>
      <c r="B91" s="795"/>
      <c r="D91" s="949" t="s">
        <v>948</v>
      </c>
      <c r="E91" s="1007" t="s">
        <v>988</v>
      </c>
      <c r="F91" s="944" t="s">
        <v>930</v>
      </c>
      <c r="G91" s="1008"/>
      <c r="H91" s="1307"/>
      <c r="I91" s="1008"/>
      <c r="J91" s="1307"/>
      <c r="K91" s="573"/>
      <c r="X91" s="1042">
        <v>0</v>
      </c>
    </row>
    <row s="30541" customFormat="1" customHeight="1" ht="11.25" hidden="1">
      <c r="A92" s="2676"/>
      <c r="B92" s="795"/>
      <c r="D92" s="949" t="s">
        <v>950</v>
      </c>
      <c r="E92" s="1007" t="s">
        <v>990</v>
      </c>
      <c r="F92" s="944" t="s">
        <v>930</v>
      </c>
      <c r="G92" s="1008"/>
      <c r="H92" s="1307"/>
      <c r="I92" s="1008"/>
      <c r="J92" s="1307"/>
      <c r="K92" s="573"/>
      <c r="X92" s="1042">
        <v>0</v>
      </c>
    </row>
    <row s="30541" customFormat="1" customHeight="1" ht="11.25" hidden="1">
      <c r="A93" s="2676"/>
      <c r="B93" s="795"/>
      <c r="D93" s="949" t="s">
        <v>997</v>
      </c>
      <c r="E93" s="1007" t="s">
        <v>992</v>
      </c>
      <c r="F93" s="944" t="s">
        <v>930</v>
      </c>
      <c r="G93" s="1008"/>
      <c r="H93" s="1307"/>
      <c r="I93" s="1008"/>
      <c r="J93" s="1307"/>
      <c r="K93" s="573"/>
      <c r="X93" s="1042">
        <v>0</v>
      </c>
    </row>
    <row s="30541" customFormat="1" customHeight="1" ht="11.25" hidden="1">
      <c r="A94" s="2676"/>
      <c r="B94" s="795"/>
      <c r="D94" s="949" t="s">
        <v>998</v>
      </c>
      <c r="E94" s="1007" t="s">
        <v>994</v>
      </c>
      <c r="F94" s="944" t="s">
        <v>930</v>
      </c>
      <c r="G94" s="1008"/>
      <c r="H94" s="1307"/>
      <c r="I94" s="1008"/>
      <c r="J94" s="1307"/>
      <c r="K94" s="573"/>
      <c r="X94" s="1042">
        <v>0</v>
      </c>
    </row>
    <row s="30541" customFormat="1" customHeight="1" ht="24.75" hidden="1">
      <c r="A95" s="2676"/>
      <c r="B95" s="795"/>
      <c r="D95" s="949" t="s">
        <v>124</v>
      </c>
      <c r="E95" s="950" t="s">
        <v>999</v>
      </c>
      <c r="F95" s="1009" t="s">
        <v>630</v>
      </c>
      <c r="G95" s="1011"/>
      <c r="H95" s="1307"/>
      <c r="I95" s="1011"/>
      <c r="J95" s="1307"/>
      <c r="K95" s="573" t="s">
        <v>1000</v>
      </c>
      <c r="X95" s="1042">
        <v>0</v>
      </c>
    </row>
    <row s="30541" customFormat="1" customHeight="1" ht="33.75" hidden="1">
      <c r="A96" s="2676"/>
      <c r="B96" s="795"/>
      <c r="D96" s="949" t="s">
        <v>95</v>
      </c>
      <c r="E96" s="950" t="s">
        <v>1001</v>
      </c>
      <c r="F96" s="1010" t="s">
        <v>891</v>
      </c>
      <c r="G96" s="1012"/>
      <c r="H96" s="1307"/>
      <c r="I96" s="1012"/>
      <c r="J96" s="1307"/>
      <c r="K96" s="573"/>
      <c r="X96" s="1042">
        <v>0</v>
      </c>
    </row>
    <row s="30541" customFormat="1" customHeight="1" ht="22.5" hidden="1">
      <c r="A97" s="2676"/>
      <c r="B97" s="795" t="s">
        <v>660</v>
      </c>
      <c r="D97" s="949" t="s">
        <v>96</v>
      </c>
      <c r="E97" s="950" t="s">
        <v>1002</v>
      </c>
      <c r="F97" s="1010" t="s">
        <v>366</v>
      </c>
      <c r="G97" s="669"/>
      <c r="H97" s="1307"/>
      <c r="I97" s="669"/>
      <c r="J97" s="1307"/>
      <c r="K97" s="573" t="s">
        <v>703</v>
      </c>
      <c r="X97" s="1042">
        <v>0</v>
      </c>
    </row>
    <row s="30541" customFormat="1" customHeight="1" ht="45" hidden="1">
      <c r="A98" s="2676"/>
      <c r="B98" s="795" t="s">
        <v>660</v>
      </c>
      <c r="D98" s="949" t="s">
        <v>1003</v>
      </c>
      <c r="E98" s="951" t="s">
        <v>1004</v>
      </c>
      <c r="F98" s="1005" t="s">
        <v>366</v>
      </c>
      <c r="G98" s="669"/>
      <c r="H98" s="1307"/>
      <c r="I98" s="669"/>
      <c r="J98" s="1307"/>
      <c r="K98" s="573" t="s">
        <v>703</v>
      </c>
      <c r="X98" s="1042">
        <v>0</v>
      </c>
    </row>
    <row s="30541" customFormat="1" customHeight="1" ht="95.25" hidden="1">
      <c r="A99" s="2676"/>
      <c r="B99" s="795" t="s">
        <v>660</v>
      </c>
      <c r="D99" s="949" t="s">
        <v>142</v>
      </c>
      <c r="E99" s="950" t="s">
        <v>1005</v>
      </c>
      <c r="F99" s="1005" t="s">
        <v>366</v>
      </c>
      <c r="G99" s="669"/>
      <c r="H99" s="1307"/>
      <c r="I99" s="669"/>
      <c r="J99" s="1307"/>
      <c r="K99" s="573" t="s">
        <v>703</v>
      </c>
      <c r="X99" s="1042">
        <v>0</v>
      </c>
    </row>
    <row s="30541" customFormat="1" customHeight="1" ht="22.5" hidden="1">
      <c r="A100" s="2676"/>
      <c r="B100" s="795" t="s">
        <v>660</v>
      </c>
      <c r="D100" s="949" t="s">
        <v>178</v>
      </c>
      <c r="E100" s="950" t="s">
        <v>1006</v>
      </c>
      <c r="F100" s="1005" t="s">
        <v>366</v>
      </c>
      <c r="G100" s="669"/>
      <c r="H100" s="1307"/>
      <c r="I100" s="669"/>
      <c r="J100" s="1307"/>
      <c r="K100" s="573" t="s">
        <v>703</v>
      </c>
      <c r="X100" s="1042">
        <v>0</v>
      </c>
    </row>
    <row s="30541" customFormat="1" customHeight="1" ht="11.549999999999999">
      <c r="A101" s="1317"/>
      <c r="B101" s="802"/>
      <c r="D101" s="1318"/>
      <c r="E101" s="1319"/>
      <c r="X101" s="793">
        <v>11</v>
      </c>
    </row>
    <row customHeight="1" ht="22.5" hidden="1">
      <c r="A102" s="820" t="s">
        <v>85</v>
      </c>
      <c r="B102" s="795">
        <v>0</v>
      </c>
      <c r="C102" s="789">
        <v>3</v>
      </c>
      <c r="D102" s="789">
        <v>7</v>
      </c>
      <c r="E102" s="789">
        <v>69</v>
      </c>
      <c r="F102" s="789">
        <v>10</v>
      </c>
      <c r="G102" s="789">
        <v>0</v>
      </c>
      <c r="H102" s="789">
        <v>0</v>
      </c>
      <c r="I102" s="1042">
        <v>43</v>
      </c>
      <c r="J102" s="1042">
        <v>43</v>
      </c>
      <c r="K102" s="789">
        <v>73</v>
      </c>
      <c r="L102" s="789">
        <v>3</v>
      </c>
      <c r="M102" s="789">
        <v>10</v>
      </c>
      <c r="N102" s="789">
        <v>10</v>
      </c>
      <c r="O102" s="789">
        <v>10</v>
      </c>
      <c r="P102" s="789">
        <v>10</v>
      </c>
      <c r="Q102" s="789">
        <v>10</v>
      </c>
      <c r="R102" s="789">
        <v>10</v>
      </c>
      <c r="S102" s="789">
        <v>10</v>
      </c>
      <c r="T102" s="789">
        <v>10</v>
      </c>
      <c r="U102" s="789">
        <v>10</v>
      </c>
      <c r="V102" s="789">
        <v>10</v>
      </c>
      <c r="W102" s="789">
        <v>10</v>
      </c>
      <c r="X102" s="789">
        <v>23</v>
      </c>
    </row>
  </sheetData>
  <sheetProtection sheet="1" formatColumns="0" formatRows="0" autoFilter="0" sort="1" insertRows="1" insertColumns="1" deleteRows="1" deleteColumns="1"/>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5C91CF-84D4-889E-64C6-347EC9663361}" mc:Ignorable="x14ac xr xr2 xr3">
  <sheetPr>
    <tabColor rgb="FFCCCCFF"/>
  </sheetPr>
  <dimension ref="A1:AM17"/>
  <sheetViews>
    <sheetView showGridLines="0" zoomScale="90" workbookViewId="0">
      <pane xSplit="4" ySplit="12" topLeftCell="E13" activePane="bottomRight" state="frozen"/>
      <selection pane="bottomLeft" activeCell="A13" sqref="A13"/>
      <selection pane="topRight" activeCell="E1" sqref="E1"/>
      <selection pane="bottomRight" activeCell="A1" sqref="A1"/>
    </sheetView>
  </sheetViews>
  <sheetFormatPr defaultColWidth="9.140625" customHeight="1" defaultRowHeight="11.25"/>
  <cols>
    <col min="1" max="1" style="30764" width="6.421875" hidden="1" customWidth="1"/>
    <col min="2" max="2" style="30764" width="2.00390625" hidden="1" customWidth="1"/>
    <col min="3" max="3" style="30764" width="3.00390625" customWidth="1"/>
    <col min="4" max="4" style="30764" width="4.00390625" customWidth="1"/>
    <col min="5" max="5" style="30764" width="44.00390625" customWidth="1"/>
    <col min="6" max="6" style="30764" width="6.421875" customWidth="1"/>
    <col min="7" max="7" style="30764" width="4.00390625" customWidth="1"/>
    <col min="8" max="8" style="30764" width="5.00390625" customWidth="1"/>
    <col min="9" max="9" style="30764" width="52.00390625" customWidth="1"/>
    <col min="10" max="10" style="30764" width="7.00390625" customWidth="1"/>
    <col min="11" max="11" style="30764" width="3.00390625" customWidth="1"/>
    <col min="12" max="12" style="30764" width="6.00390625" customWidth="1"/>
    <col min="13" max="13" style="30764" width="56.00390625" customWidth="1"/>
    <col min="14" max="14" style="30815" width="8.00390625" customWidth="1"/>
    <col min="15" max="20" style="30727" width="9.140625" hidden="1"/>
    <col min="21" max="24" style="30816" width="9.140625" hidden="1"/>
    <col min="25" max="37" style="30815" width="9.140625" hidden="1"/>
    <col min="38" max="38" style="30815" width="8.00390625" customWidth="1"/>
    <col min="39" max="39" style="30764" width="9.140625" hidden="1"/>
  </cols>
  <sheetData>
    <row customHeight="1" ht="11.25" hidden="1">
      <c r="AM1" s="867" t="s">
        <v>14</v>
      </c>
    </row>
    <row customHeight="1" ht="11.25" hidden="1">
      <c r="AM2" s="867">
        <v>0</v>
      </c>
    </row>
    <row customHeight="1" ht="11.549999999999999">
      <c r="AM3" s="867">
        <v>11</v>
      </c>
    </row>
    <row customHeight="1" ht="35.699999999999996">
      <c r="A4" s="869"/>
      <c r="B4" s="869"/>
      <c r="D4" s="2403" t="str">
        <f>Титульный!E5</f>
        <v>Показатели, подлежащие раскрытию в сфере теплоснабжения (цены и тарифы)</v>
      </c>
      <c r="E4" s="2404"/>
      <c r="F4" s="2404"/>
      <c r="G4" s="2404"/>
      <c r="H4" s="2404"/>
      <c r="I4" s="2405"/>
      <c r="J4" s="868"/>
      <c r="K4" s="868"/>
      <c r="L4" s="868"/>
      <c r="M4" s="868"/>
      <c r="AM4" s="867">
        <v>34</v>
      </c>
    </row>
    <row s="30735" customFormat="1" customHeight="1" ht="14.699999999999998">
      <c r="A5" s="869"/>
      <c r="B5" s="869"/>
      <c r="C5" s="869"/>
      <c r="D5" s="2406" t="str">
        <f>IF(org=0,"Не определено",org)</f>
        <v>АО "ДГК"</v>
      </c>
      <c r="E5" s="2407"/>
      <c r="F5" s="2407"/>
      <c r="G5" s="2407"/>
      <c r="H5" s="2407"/>
      <c r="I5" s="2408"/>
      <c r="J5" s="870"/>
      <c r="K5" s="870"/>
      <c r="L5" s="870"/>
      <c r="M5" s="870"/>
      <c r="N5" s="870"/>
      <c r="O5" s="1154"/>
      <c r="P5" s="1154"/>
      <c r="Q5" s="1154"/>
      <c r="R5" s="1154"/>
      <c r="S5" s="1154"/>
      <c r="T5" s="1154"/>
      <c r="U5" s="1545"/>
      <c r="V5" s="1545"/>
      <c r="W5" s="1545"/>
      <c r="X5" s="1545"/>
      <c r="Y5" s="870"/>
      <c r="Z5" s="870"/>
      <c r="AA5" s="870"/>
      <c r="AB5" s="870"/>
      <c r="AC5" s="870"/>
      <c r="AD5" s="870"/>
      <c r="AE5" s="870"/>
      <c r="AF5" s="870"/>
      <c r="AG5" s="870"/>
      <c r="AH5" s="870"/>
      <c r="AI5" s="870"/>
      <c r="AJ5" s="870"/>
      <c r="AK5" s="870"/>
      <c r="AL5" s="870"/>
      <c r="AM5" s="871">
        <v>14</v>
      </c>
    </row>
    <row s="30735" customFormat="1" customHeight="1" ht="6.3">
      <c r="A6" s="2409"/>
      <c r="B6" s="2409"/>
      <c r="C6" s="2409"/>
      <c r="D6" s="2409"/>
      <c r="E6" s="2409"/>
      <c r="F6" s="2409"/>
      <c r="G6" s="872"/>
      <c r="H6" s="872"/>
      <c r="I6" s="872"/>
      <c r="J6" s="872"/>
      <c r="K6" s="872"/>
      <c r="N6" s="874"/>
      <c r="O6" s="1698"/>
      <c r="P6" s="1698"/>
      <c r="Q6" s="1698"/>
      <c r="R6" s="1698"/>
      <c r="S6" s="1698"/>
      <c r="T6" s="1698"/>
      <c r="U6" s="1548"/>
      <c r="V6" s="1548"/>
      <c r="W6" s="1548"/>
      <c r="X6" s="1548"/>
      <c r="Y6" s="874"/>
      <c r="Z6" s="874"/>
      <c r="AA6" s="874"/>
      <c r="AB6" s="874"/>
      <c r="AC6" s="874"/>
      <c r="AD6" s="874"/>
      <c r="AE6" s="874"/>
      <c r="AF6" s="874"/>
      <c r="AG6" s="874"/>
      <c r="AH6" s="874"/>
      <c r="AI6" s="874"/>
      <c r="AJ6" s="874"/>
      <c r="AK6" s="874"/>
      <c r="AL6" s="874"/>
      <c r="AM6" s="873">
        <v>6</v>
      </c>
    </row>
    <row customHeight="1" ht="45.75" hidden="1">
      <c r="E7" s="241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15"/>
      <c r="G7" s="2415"/>
      <c r="H7" s="2415"/>
      <c r="I7" s="2415"/>
      <c r="J7" s="2415"/>
      <c r="K7" s="2415"/>
      <c r="L7" s="2415"/>
      <c r="M7" s="2415"/>
      <c r="AM7" s="867">
        <v>0</v>
      </c>
    </row>
    <row s="30735" customFormat="1" customHeight="1" ht="6.3">
      <c r="A8" s="875"/>
      <c r="B8" s="875"/>
      <c r="C8" s="875"/>
      <c r="D8" s="875"/>
      <c r="E8" s="875"/>
      <c r="F8" s="875"/>
      <c r="G8" s="875"/>
      <c r="H8" s="875"/>
      <c r="I8" s="875"/>
      <c r="J8" s="875"/>
      <c r="K8" s="875"/>
      <c r="L8" s="875"/>
      <c r="M8" s="873"/>
      <c r="N8" s="870"/>
      <c r="O8" s="1154"/>
      <c r="P8" s="1154"/>
      <c r="Q8" s="1154"/>
      <c r="R8" s="1154"/>
      <c r="S8" s="1154"/>
      <c r="T8" s="1154"/>
      <c r="U8" s="1545"/>
      <c r="V8" s="1545"/>
      <c r="W8" s="1545"/>
      <c r="X8" s="1545"/>
      <c r="Y8" s="870"/>
      <c r="Z8" s="870"/>
      <c r="AA8" s="870"/>
      <c r="AB8" s="870"/>
      <c r="AC8" s="870"/>
      <c r="AD8" s="870"/>
      <c r="AE8" s="870"/>
      <c r="AF8" s="870"/>
      <c r="AG8" s="870"/>
      <c r="AH8" s="870"/>
      <c r="AI8" s="870"/>
      <c r="AJ8" s="870"/>
      <c r="AK8" s="870"/>
      <c r="AL8" s="870"/>
      <c r="AM8" s="871">
        <v>6</v>
      </c>
    </row>
    <row customHeight="1" ht="18.75">
      <c r="A9" s="2410"/>
      <c r="B9" s="607"/>
      <c r="C9" s="607"/>
      <c r="D9" s="2411" t="s">
        <v>137</v>
      </c>
      <c r="E9" s="2411"/>
      <c r="F9" s="2412" t="s">
        <v>138</v>
      </c>
      <c r="G9" s="2413"/>
      <c r="H9" s="2413"/>
      <c r="I9" s="2413"/>
      <c r="J9" s="2416" t="s">
        <v>139</v>
      </c>
      <c r="K9" s="2416"/>
      <c r="L9" s="2416"/>
      <c r="M9" s="2416"/>
      <c r="AM9" s="867">
        <v>18</v>
      </c>
    </row>
    <row customHeight="1" ht="24">
      <c r="A10" s="2410"/>
      <c r="B10" s="876"/>
      <c r="C10" s="809"/>
      <c r="D10" s="807" t="s">
        <v>91</v>
      </c>
      <c r="E10" s="807" t="s">
        <v>92</v>
      </c>
      <c r="F10" s="807" t="s">
        <v>140</v>
      </c>
      <c r="G10" s="2417" t="s">
        <v>91</v>
      </c>
      <c r="H10" s="2418"/>
      <c r="I10" s="807" t="s">
        <v>92</v>
      </c>
      <c r="J10" s="807" t="s">
        <v>140</v>
      </c>
      <c r="K10" s="2417" t="s">
        <v>91</v>
      </c>
      <c r="L10" s="2418"/>
      <c r="M10" s="807" t="s">
        <v>92</v>
      </c>
      <c r="N10" s="1911"/>
      <c r="AM10" s="867">
        <v>23</v>
      </c>
    </row>
    <row s="30764" customFormat="1" customHeight="1" ht="11.25" hidden="1">
      <c r="A11" s="877"/>
      <c r="B11" s="877"/>
      <c r="C11" s="877"/>
      <c r="D11" s="878" t="s">
        <v>141</v>
      </c>
      <c r="E11" s="878" t="s">
        <v>105</v>
      </c>
      <c r="F11" s="878" t="s">
        <v>93</v>
      </c>
      <c r="G11" s="2399" t="s">
        <v>94</v>
      </c>
      <c r="H11" s="2400"/>
      <c r="I11" s="878" t="s">
        <v>124</v>
      </c>
      <c r="J11" s="878" t="s">
        <v>95</v>
      </c>
      <c r="K11" s="2401" t="s">
        <v>96</v>
      </c>
      <c r="L11" s="2402"/>
      <c r="M11" s="878" t="s">
        <v>142</v>
      </c>
      <c r="N11" s="1910"/>
      <c r="O11" s="1697"/>
      <c r="P11" s="1699"/>
      <c r="Q11" s="1699"/>
      <c r="R11" s="1699"/>
      <c r="S11" s="1699"/>
      <c r="T11" s="1699"/>
      <c r="U11" s="1549"/>
      <c r="V11" s="1549"/>
      <c r="W11" s="1549"/>
      <c r="X11" s="1549"/>
      <c r="Y11" s="879"/>
      <c r="Z11" s="879"/>
      <c r="AA11" s="879"/>
      <c r="AB11" s="879"/>
      <c r="AC11" s="879"/>
      <c r="AD11" s="879"/>
      <c r="AE11" s="879"/>
      <c r="AF11" s="879"/>
      <c r="AG11" s="879"/>
      <c r="AH11" s="879"/>
      <c r="AI11" s="879"/>
      <c r="AJ11" s="879"/>
      <c r="AK11" s="879"/>
      <c r="AL11" s="879"/>
      <c r="AM11" s="880">
        <v>0</v>
      </c>
    </row>
    <row customHeight="1" ht="1.05">
      <c r="A12" s="881"/>
      <c r="B12" s="882"/>
      <c r="C12" s="882"/>
      <c r="D12" s="883"/>
      <c r="E12" s="651"/>
      <c r="F12" s="884"/>
      <c r="G12" s="1343"/>
      <c r="H12" s="1343"/>
      <c r="I12" s="884"/>
      <c r="J12" s="884"/>
      <c r="K12" s="458"/>
      <c r="L12" s="651"/>
      <c r="M12" s="885"/>
      <c r="N12" s="1911"/>
      <c r="O12" s="1697" t="s">
        <v>143</v>
      </c>
      <c r="P12" s="1697" t="s">
        <v>144</v>
      </c>
      <c r="Q12" s="1697" t="s">
        <v>145</v>
      </c>
      <c r="R12" s="1697" t="s">
        <v>146</v>
      </c>
      <c r="AM12" s="867">
        <v>1</v>
      </c>
    </row>
    <row s="30764" customFormat="1" customHeight="1" ht="15.75">
      <c r="A13" s="577"/>
      <c r="B13" s="577"/>
      <c r="C13" s="810"/>
      <c r="D13" s="2392" t="s">
        <v>141</v>
      </c>
      <c r="E13" s="2393"/>
      <c r="F13" s="2396" t="s">
        <v>64</v>
      </c>
      <c r="G13" s="2397"/>
      <c r="H13" s="2398">
        <v>1</v>
      </c>
      <c r="I13" s="2389" t="str">
        <f>IF(U13="","",INDEX(TERRITORY_MR_LIST,MATCH(U13,TERRITORY_LIST_ID,0)))</f>
        <v/>
      </c>
      <c r="J13" s="2391" t="s">
        <v>19</v>
      </c>
      <c r="K13" s="886"/>
      <c r="L13" s="811" t="s">
        <v>141</v>
      </c>
      <c r="M13" s="887" t="s">
        <v>28</v>
      </c>
      <c r="N13" s="1096"/>
      <c r="O13" s="1700" t="s">
        <v>147</v>
      </c>
      <c r="P13" s="1697">
        <f>$E$13</f>
        <v>0</v>
      </c>
      <c r="Q13" s="1697" t="str">
        <f>IF($F$13="нет","без дифференциации",$I$13)</f>
        <v/>
      </c>
      <c r="R13" s="1697" t="str">
        <f>IF($J$13="нет","без дифференциации",M13)</f>
        <v>без дифференциации</v>
      </c>
      <c r="S13" s="1700"/>
      <c r="T13" s="1700"/>
      <c r="U13" s="1550"/>
      <c r="V13" s="1550"/>
      <c r="W13" s="1550"/>
      <c r="X13" s="1550"/>
      <c r="Y13" s="888" t="s">
        <v>148</v>
      </c>
      <c r="Z13" s="888">
        <v>1705000</v>
      </c>
      <c r="AA13" s="888"/>
      <c r="AB13" s="888"/>
      <c r="AC13" s="888"/>
      <c r="AD13" s="888"/>
      <c r="AE13" s="888"/>
      <c r="AF13" s="888"/>
      <c r="AG13" s="888"/>
      <c r="AH13" s="888"/>
      <c r="AI13" s="888"/>
      <c r="AJ13" s="888"/>
      <c r="AK13" s="888"/>
      <c r="AL13" s="888"/>
      <c r="AM13" s="890">
        <v>15</v>
      </c>
    </row>
    <row s="30764" customFormat="1" customHeight="1" ht="15.75">
      <c r="A14" s="577"/>
      <c r="B14" s="577"/>
      <c r="C14" s="460"/>
      <c r="D14" s="2392"/>
      <c r="E14" s="2394"/>
      <c r="F14" s="2391"/>
      <c r="G14" s="2397"/>
      <c r="H14" s="2398"/>
      <c r="I14" s="2390"/>
      <c r="J14" s="2391"/>
      <c r="K14" s="705"/>
      <c r="L14" s="461"/>
      <c r="M14" s="891" t="s">
        <v>149</v>
      </c>
      <c r="N14" s="1096"/>
      <c r="O14" s="1700"/>
      <c r="P14" s="1697"/>
      <c r="Q14" s="1697"/>
      <c r="R14" s="1697"/>
      <c r="S14" s="1700"/>
      <c r="T14" s="1700"/>
      <c r="U14" s="1550"/>
      <c r="V14" s="1550"/>
      <c r="W14" s="1550"/>
      <c r="X14" s="1550"/>
      <c r="Y14" s="888"/>
      <c r="Z14" s="888"/>
      <c r="AA14" s="888"/>
      <c r="AB14" s="888"/>
      <c r="AC14" s="888"/>
      <c r="AD14" s="888"/>
      <c r="AE14" s="888"/>
      <c r="AF14" s="888"/>
      <c r="AG14" s="888"/>
      <c r="AH14" s="888"/>
      <c r="AI14" s="888"/>
      <c r="AJ14" s="888"/>
      <c r="AK14" s="888"/>
      <c r="AL14" s="888"/>
      <c r="AM14" s="890">
        <v>15</v>
      </c>
    </row>
    <row s="30764" customFormat="1" customHeight="1" ht="15.75">
      <c r="A15" s="577"/>
      <c r="B15" s="577"/>
      <c r="C15" s="460"/>
      <c r="D15" s="2392"/>
      <c r="E15" s="2395"/>
      <c r="F15" s="2391"/>
      <c r="G15" s="1344"/>
      <c r="H15" s="1345"/>
      <c r="I15" s="864" t="s">
        <v>150</v>
      </c>
      <c r="J15" s="461"/>
      <c r="K15" s="461"/>
      <c r="L15" s="461"/>
      <c r="M15" s="892"/>
      <c r="N15" s="1096"/>
      <c r="O15" s="1700"/>
      <c r="P15" s="1697"/>
      <c r="Q15" s="1697"/>
      <c r="R15" s="1697"/>
      <c r="S15" s="1700"/>
      <c r="T15" s="1700"/>
      <c r="U15" s="1550"/>
      <c r="V15" s="1550"/>
      <c r="W15" s="1550"/>
      <c r="X15" s="1550"/>
      <c r="Y15" s="888"/>
      <c r="Z15" s="888"/>
      <c r="AA15" s="888"/>
      <c r="AB15" s="888"/>
      <c r="AC15" s="888"/>
      <c r="AD15" s="888"/>
      <c r="AE15" s="888"/>
      <c r="AF15" s="888"/>
      <c r="AG15" s="888"/>
      <c r="AH15" s="888"/>
      <c r="AI15" s="888"/>
      <c r="AJ15" s="888"/>
      <c r="AK15" s="888"/>
      <c r="AL15" s="888"/>
      <c r="AM15" s="890">
        <v>15</v>
      </c>
    </row>
    <row customHeight="1" ht="15.75">
      <c r="A16" s="893"/>
      <c r="B16" s="419"/>
      <c r="C16" s="1090"/>
      <c r="D16" s="705"/>
      <c r="E16" s="855" t="s">
        <v>151</v>
      </c>
      <c r="F16" s="461"/>
      <c r="G16" s="461"/>
      <c r="H16" s="461"/>
      <c r="I16" s="461"/>
      <c r="J16" s="461"/>
      <c r="K16" s="461" t="s">
        <v>28</v>
      </c>
      <c r="L16" s="461"/>
      <c r="M16" s="892"/>
      <c r="N16" s="1911"/>
      <c r="AM16" s="867">
        <v>15</v>
      </c>
    </row>
    <row customHeight="1" ht="11.25" hidden="1">
      <c r="A17" s="867" t="s">
        <v>85</v>
      </c>
      <c r="B17" s="867">
        <v>0</v>
      </c>
      <c r="C17" s="867">
        <v>3</v>
      </c>
      <c r="D17" s="867">
        <v>4</v>
      </c>
      <c r="E17" s="867">
        <v>44</v>
      </c>
      <c r="F17" s="867">
        <v>6</v>
      </c>
      <c r="G17" s="867">
        <v>4</v>
      </c>
      <c r="H17" s="867">
        <v>5</v>
      </c>
      <c r="I17" s="867">
        <v>52</v>
      </c>
      <c r="J17" s="867">
        <v>6</v>
      </c>
      <c r="K17" s="867">
        <v>3</v>
      </c>
      <c r="L17" s="867">
        <v>6</v>
      </c>
      <c r="M17" s="867">
        <v>56</v>
      </c>
      <c r="N17" s="868">
        <v>8</v>
      </c>
      <c r="O17" s="1697">
        <v>0</v>
      </c>
      <c r="P17" s="1697">
        <v>0</v>
      </c>
      <c r="Q17" s="1697">
        <v>0</v>
      </c>
      <c r="R17" s="1697">
        <v>0</v>
      </c>
      <c r="S17" s="1697">
        <v>0</v>
      </c>
      <c r="T17" s="1697">
        <v>0</v>
      </c>
      <c r="U17" s="1547">
        <v>0</v>
      </c>
      <c r="V17" s="1547">
        <v>0</v>
      </c>
      <c r="W17" s="1547">
        <v>0</v>
      </c>
      <c r="X17" s="1547">
        <v>0</v>
      </c>
      <c r="Y17" s="868">
        <v>0</v>
      </c>
      <c r="Z17" s="868">
        <v>0</v>
      </c>
      <c r="AA17" s="868">
        <v>0</v>
      </c>
      <c r="AB17" s="868">
        <v>0</v>
      </c>
      <c r="AC17" s="868">
        <v>0</v>
      </c>
      <c r="AD17" s="868">
        <v>0</v>
      </c>
      <c r="AE17" s="868">
        <v>0</v>
      </c>
      <c r="AF17" s="868">
        <v>0</v>
      </c>
      <c r="AG17" s="868">
        <v>0</v>
      </c>
      <c r="AH17" s="868">
        <v>0</v>
      </c>
      <c r="AI17" s="868">
        <v>0</v>
      </c>
      <c r="AJ17" s="868">
        <v>0</v>
      </c>
      <c r="AK17" s="868">
        <v>0</v>
      </c>
      <c r="AL17" s="868">
        <v>8</v>
      </c>
      <c r="AM17" s="867">
        <v>11</v>
      </c>
    </row>
  </sheetData>
  <sheetProtection sheet="1" formatColumns="0" formatRows="0" autoFilter="0" sort="1" insertRows="1" insertColumns="1" deleteRows="1" deleteColumns="1"/>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84ED02-E7E8-3E6D-933A-C1454C62E859}" mc:Ignorable="x14ac xr xr2 xr3">
  <sheetPr>
    <tabColor rgb="FFE26B0A"/>
  </sheetPr>
  <dimension ref="A1:V40"/>
  <sheetViews>
    <sheetView showGridLines="0" zoomScale="90" workbookViewId="0">
      <pane xSplit="8" ySplit="31" topLeftCell="I32" activePane="bottomRight" state="frozen"/>
      <selection pane="bottomLeft" activeCell="A32" sqref="A32"/>
      <selection pane="topRight" activeCell="I1" sqref="I1"/>
      <selection pane="bottomRight" activeCell="A1" sqref="A1"/>
    </sheetView>
  </sheetViews>
  <sheetFormatPr defaultColWidth="10.57421875" customHeight="1" defaultRowHeight="15"/>
  <cols>
    <col min="1" max="1" style="30505" width="9.140625" hidden="1" customWidth="1"/>
    <col min="2" max="2" style="30541" width="9.140625" hidden="1" customWidth="1"/>
    <col min="3" max="3" style="37788" width="4.00390625" customWidth="1"/>
    <col min="4" max="4" style="30541" width="6.00390625" customWidth="1"/>
    <col min="5" max="5" style="30541" width="36.00390625" customWidth="1"/>
    <col min="6" max="6" style="30541" width="9.00390625" customWidth="1"/>
    <col min="7" max="7" style="30541" width="25.7109375" hidden="1" customWidth="1"/>
    <col min="8" max="8" style="30541" width="33.7109375" hidden="1" customWidth="1"/>
    <col min="9" max="9" style="30541" width="25.7109375" customWidth="1"/>
    <col min="10" max="10" style="30541" width="33.00390625" customWidth="1"/>
    <col min="11" max="11" style="30620" width="93.00390625" customWidth="1"/>
    <col min="12" max="20" style="30541" width="10.00390625" customWidth="1"/>
    <col min="21" max="21" style="37789" width="10.00390625" customWidth="1"/>
    <col min="22" max="22" style="30541" width="10.57421875" hidden="1"/>
  </cols>
  <sheetData>
    <row s="30620" customFormat="1" customHeight="1" ht="22.5" hidden="1">
      <c r="C1" s="956"/>
      <c r="G1" s="701">
        <v>4</v>
      </c>
      <c r="I1" s="701">
        <v>4</v>
      </c>
      <c r="U1" s="704"/>
      <c r="V1" s="701" t="s">
        <v>14</v>
      </c>
    </row>
    <row s="30620" customFormat="1" customHeight="1" ht="15" hidden="1">
      <c r="C2" s="956"/>
      <c r="U2" s="704"/>
      <c r="V2" s="701">
        <v>0</v>
      </c>
    </row>
    <row customHeight="1" ht="22.5" hidden="1">
      <c r="A3" s="789"/>
      <c r="B3" s="2681"/>
      <c r="C3" s="2682" t="s">
        <v>106</v>
      </c>
      <c r="D3" s="973" t="str">
        <f>B3&amp;".1"</f>
        <v>.1</v>
      </c>
      <c r="E3" s="974" t="s">
        <v>1007</v>
      </c>
      <c r="F3" s="975" t="s">
        <v>366</v>
      </c>
      <c r="G3" s="970"/>
      <c r="H3" s="685"/>
      <c r="I3" s="970"/>
      <c r="J3" s="685"/>
      <c r="K3" s="573" t="s">
        <v>1008</v>
      </c>
      <c r="V3" s="789">
        <v>0</v>
      </c>
    </row>
    <row customHeight="1" ht="15" hidden="1">
      <c r="A4" s="789"/>
      <c r="B4" s="2681"/>
      <c r="C4" s="2682"/>
      <c r="D4" s="973" t="str">
        <f>B3&amp;".2"</f>
        <v>.2</v>
      </c>
      <c r="E4" s="974" t="s">
        <v>1009</v>
      </c>
      <c r="F4" s="975" t="s">
        <v>366</v>
      </c>
      <c r="G4" s="2022" t="s">
        <v>28</v>
      </c>
      <c r="H4" s="685"/>
      <c r="I4" s="2022" t="s">
        <v>28</v>
      </c>
      <c r="J4" s="685"/>
      <c r="K4" s="573" t="s">
        <v>1010</v>
      </c>
      <c r="V4" s="789">
        <v>0</v>
      </c>
    </row>
    <row s="30620" customFormat="1" customHeight="1" ht="15" hidden="1">
      <c r="C5" s="956"/>
      <c r="U5" s="704"/>
      <c r="V5" s="701">
        <v>0</v>
      </c>
    </row>
    <row customHeight="1" ht="22.5" hidden="1">
      <c r="A6" s="789"/>
      <c r="B6" s="2681"/>
      <c r="C6" s="2682" t="s">
        <v>106</v>
      </c>
      <c r="D6" s="973" t="str">
        <f>B6&amp;".1"</f>
        <v>.1</v>
      </c>
      <c r="E6" s="974" t="s">
        <v>1011</v>
      </c>
      <c r="F6" s="975" t="s">
        <v>366</v>
      </c>
      <c r="G6" s="970"/>
      <c r="H6" s="685"/>
      <c r="I6" s="970"/>
      <c r="J6" s="685"/>
      <c r="K6" s="573" t="s">
        <v>1012</v>
      </c>
      <c r="V6" s="789">
        <v>0</v>
      </c>
    </row>
    <row customHeight="1" ht="15" hidden="1">
      <c r="A7" s="789"/>
      <c r="B7" s="2681"/>
      <c r="C7" s="2682"/>
      <c r="D7" s="973" t="str">
        <f>B6&amp;".2"</f>
        <v>.2</v>
      </c>
      <c r="E7" s="974" t="s">
        <v>1009</v>
      </c>
      <c r="F7" s="975" t="s">
        <v>366</v>
      </c>
      <c r="G7" s="2022" t="s">
        <v>28</v>
      </c>
      <c r="H7" s="685"/>
      <c r="I7" s="2022" t="s">
        <v>28</v>
      </c>
      <c r="J7" s="685"/>
      <c r="K7" s="573" t="s">
        <v>1010</v>
      </c>
      <c r="V7" s="789">
        <v>0</v>
      </c>
    </row>
    <row s="30620" customFormat="1" customHeight="1" ht="15" hidden="1">
      <c r="C8" s="956"/>
      <c r="U8" s="704"/>
      <c r="V8" s="701">
        <v>0</v>
      </c>
    </row>
    <row customHeight="1" ht="22.5" hidden="1">
      <c r="A9" s="789"/>
      <c r="B9" s="2681"/>
      <c r="C9" s="2682" t="s">
        <v>106</v>
      </c>
      <c r="D9" s="973" t="str">
        <f>B9&amp;".1"</f>
        <v>.1</v>
      </c>
      <c r="E9" s="974" t="s">
        <v>1013</v>
      </c>
      <c r="F9" s="975" t="s">
        <v>366</v>
      </c>
      <c r="G9" s="981" t="s">
        <v>28</v>
      </c>
      <c r="H9" s="685" t="s">
        <v>28</v>
      </c>
      <c r="I9" s="981" t="s">
        <v>28</v>
      </c>
      <c r="J9" s="685" t="s">
        <v>28</v>
      </c>
      <c r="K9" s="573"/>
      <c r="V9" s="789">
        <v>0</v>
      </c>
    </row>
    <row customHeight="1" ht="15" hidden="1">
      <c r="A10" s="789"/>
      <c r="B10" s="2681"/>
      <c r="C10" s="2682"/>
      <c r="D10" s="973" t="str">
        <f>B9&amp;".2"</f>
        <v>.2</v>
      </c>
      <c r="E10" s="974" t="s">
        <v>1014</v>
      </c>
      <c r="F10" s="975" t="s">
        <v>366</v>
      </c>
      <c r="G10" s="2016" t="s">
        <v>28</v>
      </c>
      <c r="H10" s="685" t="s">
        <v>28</v>
      </c>
      <c r="I10" s="2016" t="s">
        <v>28</v>
      </c>
      <c r="J10" s="685" t="s">
        <v>28</v>
      </c>
      <c r="K10" s="573" t="s">
        <v>1015</v>
      </c>
      <c r="V10" s="789">
        <v>0</v>
      </c>
    </row>
    <row customHeight="1" ht="15" hidden="1">
      <c r="A11" s="789"/>
      <c r="B11" s="2681"/>
      <c r="C11" s="2682"/>
      <c r="D11" s="973" t="str">
        <f>B9&amp;".3"</f>
        <v>.3</v>
      </c>
      <c r="E11" s="974" t="s">
        <v>1016</v>
      </c>
      <c r="F11" s="975" t="s">
        <v>366</v>
      </c>
      <c r="G11" s="2016" t="s">
        <v>28</v>
      </c>
      <c r="H11" s="685" t="s">
        <v>28</v>
      </c>
      <c r="I11" s="2016" t="s">
        <v>28</v>
      </c>
      <c r="J11" s="685" t="s">
        <v>28</v>
      </c>
      <c r="K11" s="573" t="s">
        <v>1017</v>
      </c>
      <c r="V11" s="789">
        <v>0</v>
      </c>
    </row>
    <row s="30620" customFormat="1" customHeight="1" ht="15" hidden="1">
      <c r="C12" s="956"/>
      <c r="U12" s="704"/>
      <c r="V12" s="701">
        <v>0</v>
      </c>
    </row>
    <row customHeight="1" ht="33.75" hidden="1">
      <c r="A13" s="789"/>
      <c r="B13" s="2681"/>
      <c r="C13" s="2682" t="s">
        <v>106</v>
      </c>
      <c r="D13" s="973" t="str">
        <f>B13&amp;".1"</f>
        <v>.1</v>
      </c>
      <c r="E13" s="974" t="s">
        <v>1018</v>
      </c>
      <c r="F13" s="975" t="s">
        <v>366</v>
      </c>
      <c r="G13" s="981" t="s">
        <v>28</v>
      </c>
      <c r="H13" s="685" t="s">
        <v>28</v>
      </c>
      <c r="I13" s="981" t="s">
        <v>28</v>
      </c>
      <c r="J13" s="685" t="s">
        <v>28</v>
      </c>
      <c r="K13" s="573" t="s">
        <v>1019</v>
      </c>
      <c r="V13" s="789">
        <v>0</v>
      </c>
    </row>
    <row customHeight="1" ht="15" hidden="1">
      <c r="B14" s="2681"/>
      <c r="C14" s="2682"/>
      <c r="D14" s="973" t="str">
        <f>B13&amp;".2"</f>
        <v>.2</v>
      </c>
      <c r="E14" s="974" t="s">
        <v>1020</v>
      </c>
      <c r="F14" s="975" t="s">
        <v>366</v>
      </c>
      <c r="G14" s="2016" t="s">
        <v>28</v>
      </c>
      <c r="H14" s="685" t="s">
        <v>28</v>
      </c>
      <c r="I14" s="2016" t="s">
        <v>28</v>
      </c>
      <c r="J14" s="685" t="s">
        <v>28</v>
      </c>
      <c r="K14" s="573" t="s">
        <v>1021</v>
      </c>
      <c r="V14" s="789">
        <v>0</v>
      </c>
    </row>
    <row s="30620" customFormat="1" customHeight="1" ht="15" hidden="1">
      <c r="C15" s="956"/>
      <c r="U15" s="704"/>
      <c r="V15" s="701">
        <v>0</v>
      </c>
    </row>
    <row s="30620" customFormat="1" customHeight="1" ht="15" hidden="1">
      <c r="C16" s="956"/>
      <c r="U16" s="704"/>
      <c r="V16" s="701">
        <v>0</v>
      </c>
    </row>
    <row s="30620" customFormat="1" customHeight="1" ht="15" hidden="1">
      <c r="C17" s="956"/>
      <c r="U17" s="704"/>
      <c r="V17" s="701">
        <v>0</v>
      </c>
    </row>
    <row s="30620" customFormat="1" customHeight="1" ht="15" hidden="1">
      <c r="C18" s="956"/>
      <c r="U18" s="704"/>
      <c r="V18" s="701">
        <v>0</v>
      </c>
    </row>
    <row s="30620" customFormat="1" customHeight="1" ht="15" hidden="1">
      <c r="C19" s="956"/>
      <c r="U19" s="704"/>
      <c r="V19" s="701">
        <v>0</v>
      </c>
    </row>
    <row s="30620" customFormat="1" customHeight="1" ht="15" hidden="1">
      <c r="C20" s="956"/>
      <c r="U20" s="704"/>
      <c r="V20" s="701">
        <v>0</v>
      </c>
    </row>
    <row customHeight="1" ht="15.75">
      <c r="C21" s="460"/>
      <c r="D21" s="793"/>
      <c r="E21" s="793"/>
      <c r="F21" s="793"/>
      <c r="G21" s="793"/>
      <c r="H21" s="793"/>
      <c r="I21" s="793"/>
      <c r="J21" s="793"/>
      <c r="V21" s="789">
        <v>15</v>
      </c>
    </row>
    <row customHeight="1" ht="23.25">
      <c r="C22" s="460"/>
      <c r="D22" s="252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21"/>
      <c r="F22" s="2521"/>
      <c r="G22" s="2521"/>
      <c r="H22" s="2521"/>
      <c r="I22" s="2521"/>
      <c r="J22" s="960"/>
      <c r="K22" s="821"/>
      <c r="V22" s="789">
        <v>22</v>
      </c>
    </row>
    <row customHeight="1" ht="15.75">
      <c r="C23" s="460"/>
      <c r="D23" s="2460" t="str">
        <f>IF(org=0,"Не определено",org)</f>
        <v>АО "ДГК"</v>
      </c>
      <c r="E23" s="2460"/>
      <c r="F23" s="2460"/>
      <c r="G23" s="2460"/>
      <c r="H23" s="2460"/>
      <c r="I23" s="2460"/>
      <c r="J23" s="960"/>
      <c r="K23" s="821"/>
      <c r="V23" s="789">
        <v>15</v>
      </c>
    </row>
    <row customHeight="1" ht="15.75">
      <c r="C24" s="460"/>
      <c r="D24" s="793"/>
      <c r="E24" s="793"/>
      <c r="F24" s="793"/>
      <c r="G24" s="821">
        <v>22</v>
      </c>
      <c r="H24" s="1036"/>
      <c r="I24" s="821">
        <v>22</v>
      </c>
      <c r="J24" s="1036"/>
      <c r="V24" s="789">
        <v>15</v>
      </c>
    </row>
    <row s="30541" customFormat="1" customHeight="1" ht="1.05">
      <c r="A25" s="1043"/>
      <c r="C25" s="460"/>
      <c r="D25" s="793"/>
      <c r="E25" s="793"/>
      <c r="F25" s="793"/>
      <c r="G25" s="821"/>
      <c r="H25" s="1036"/>
      <c r="I25" s="821" t="s">
        <v>147</v>
      </c>
      <c r="J25" s="1036"/>
      <c r="K25" s="701"/>
      <c r="U25" s="959"/>
      <c r="V25" s="1042">
        <v>1</v>
      </c>
    </row>
    <row customHeight="1" ht="15.75">
      <c r="C26" s="460"/>
      <c r="D26" s="995"/>
      <c r="E26" s="2651" t="s">
        <v>137</v>
      </c>
      <c r="F26" s="2652"/>
      <c r="G26" s="2679" t="str">
        <f>IF(G25="","",INDEX(DIFFERENTIATION_UNMERGE_VD,MATCH(G25,DIFFERENTIATION_ID_DIFF,0)))</f>
        <v/>
      </c>
      <c r="H26" s="2680"/>
      <c r="I26" s="2679">
        <f>IF(I25="","",INDEX(DIFFERENTIATION_UNMERGE_VD,MATCH(I25,DIFFERENTIATION_ID_DIFF,0)))</f>
        <v>0</v>
      </c>
      <c r="J26" s="2680"/>
      <c r="K26" s="2459" t="s">
        <v>361</v>
      </c>
      <c r="V26" s="789">
        <v>15</v>
      </c>
    </row>
    <row s="30541" customFormat="1" customHeight="1" ht="15.75">
      <c r="A27" s="1043"/>
      <c r="C27" s="460"/>
      <c r="D27" s="995"/>
      <c r="E27" s="2651" t="s">
        <v>636</v>
      </c>
      <c r="F27" s="2652"/>
      <c r="G27" s="2679" t="str">
        <f>IF(G25="","",INDEX(DIFFERENTIATION_UNMERGE_AREA,MATCH(G25,DIFFERENTIATION_ID_DIFF,0)))</f>
        <v/>
      </c>
      <c r="H27" s="2680"/>
      <c r="I27" s="2679" t="str">
        <f>IF(I25="","",INDEX(DIFFERENTIATION_UNMERGE_AREA,MATCH(I25,DIFFERENTIATION_ID_DIFF,0)))</f>
        <v/>
      </c>
      <c r="J27" s="2680"/>
      <c r="K27" s="2479"/>
      <c r="U27" s="959"/>
      <c r="V27" s="1042">
        <v>15</v>
      </c>
    </row>
    <row s="30541" customFormat="1" customHeight="1" ht="15.75">
      <c r="A28" s="1043"/>
      <c r="C28" s="460"/>
      <c r="D28" s="995"/>
      <c r="E28" s="2651" t="s">
        <v>637</v>
      </c>
      <c r="F28" s="2652"/>
      <c r="G28" s="2679" t="str">
        <f>IF(G25="","",INDEX(DIFFERENTIATION_UNMERGE_SYSTEM,MATCH(G25,DIFFERENTIATION_ID_DIFF,0)))</f>
        <v/>
      </c>
      <c r="H28" s="2680"/>
      <c r="I28" s="2679" t="str">
        <f>IF(I25="","",INDEX(DIFFERENTIATION_UNMERGE_SYSTEM,MATCH(I25,DIFFERENTIATION_ID_DIFF,0)))</f>
        <v>без дифференциации</v>
      </c>
      <c r="J28" s="2680"/>
      <c r="K28" s="2479"/>
      <c r="U28" s="959"/>
      <c r="V28" s="1042">
        <v>15</v>
      </c>
    </row>
    <row s="30541" customFormat="1" customHeight="1" ht="15.75">
      <c r="A29" s="1043"/>
      <c r="C29" s="460"/>
      <c r="D29" s="2653" t="s">
        <v>360</v>
      </c>
      <c r="E29" s="2654"/>
      <c r="F29" s="2654"/>
      <c r="G29" s="1171"/>
      <c r="H29" s="1171"/>
      <c r="I29" s="1171"/>
      <c r="J29" s="1172"/>
      <c r="K29" s="2479"/>
      <c r="U29" s="959"/>
      <c r="V29" s="1042">
        <v>15</v>
      </c>
    </row>
    <row customHeight="1" ht="35.699999999999996">
      <c r="C30" s="460"/>
      <c r="D30" s="1045" t="s">
        <v>91</v>
      </c>
      <c r="E30" s="1044" t="s">
        <v>362</v>
      </c>
      <c r="F30" s="1044" t="s">
        <v>638</v>
      </c>
      <c r="G30" s="1092" t="s">
        <v>363</v>
      </c>
      <c r="H30" s="1091" t="s">
        <v>450</v>
      </c>
      <c r="I30" s="968" t="s">
        <v>363</v>
      </c>
      <c r="J30" s="749" t="s">
        <v>450</v>
      </c>
      <c r="K30" s="2485"/>
      <c r="V30" s="789">
        <v>34</v>
      </c>
    </row>
    <row customHeight="1" ht="15" hidden="1">
      <c r="C31" s="460"/>
      <c r="D31" s="877"/>
      <c r="E31" s="877"/>
      <c r="F31" s="877"/>
      <c r="G31" s="943"/>
      <c r="H31" s="943"/>
      <c r="I31" s="943"/>
      <c r="J31" s="943"/>
      <c r="K31" s="573"/>
      <c r="V31" s="789">
        <v>0</v>
      </c>
    </row>
    <row customHeight="1" ht="24">
      <c r="A32" s="789"/>
      <c r="B32" s="789" t="s">
        <v>1022</v>
      </c>
      <c r="C32" s="810"/>
      <c r="D32" s="976">
        <v>1</v>
      </c>
      <c r="E32" s="977" t="s">
        <v>1023</v>
      </c>
      <c r="F32" s="975" t="s">
        <v>366</v>
      </c>
      <c r="G32" s="1097" t="s">
        <v>366</v>
      </c>
      <c r="H32" s="1097" t="s">
        <v>366</v>
      </c>
      <c r="I32" s="975" t="s">
        <v>366</v>
      </c>
      <c r="J32" s="975" t="s">
        <v>366</v>
      </c>
      <c r="K32" s="573"/>
      <c r="V32" s="789">
        <v>23</v>
      </c>
    </row>
    <row customHeight="1" ht="11.549999999999999">
      <c r="A33" s="789"/>
      <c r="C33" s="789"/>
      <c r="D33" s="631"/>
      <c r="E33" s="864" t="s">
        <v>658</v>
      </c>
      <c r="F33" s="856"/>
      <c r="G33" s="856"/>
      <c r="H33" s="856"/>
      <c r="I33" s="856"/>
      <c r="J33" s="856"/>
      <c r="K33" s="857"/>
      <c r="U33" s="789"/>
      <c r="V33" s="789">
        <v>11</v>
      </c>
    </row>
    <row customHeight="1" ht="24">
      <c r="A34" s="789"/>
      <c r="B34" s="865" t="s">
        <v>708</v>
      </c>
      <c r="C34" s="810"/>
      <c r="D34" s="976">
        <v>2</v>
      </c>
      <c r="E34" s="977" t="s">
        <v>1024</v>
      </c>
      <c r="F34" s="1104" t="s">
        <v>366</v>
      </c>
      <c r="G34" s="1104" t="s">
        <v>366</v>
      </c>
      <c r="H34" s="1104" t="s">
        <v>366</v>
      </c>
      <c r="I34" s="975"/>
      <c r="J34" s="975"/>
      <c r="K34" s="573"/>
      <c r="V34" s="789">
        <v>23</v>
      </c>
    </row>
    <row customHeight="1" ht="11.549999999999999">
      <c r="A35" s="789"/>
      <c r="C35" s="789"/>
      <c r="D35" s="631"/>
      <c r="E35" s="864" t="s">
        <v>1025</v>
      </c>
      <c r="F35" s="856"/>
      <c r="G35" s="978"/>
      <c r="H35" s="856"/>
      <c r="I35" s="978"/>
      <c r="J35" s="856"/>
      <c r="K35" s="857"/>
      <c r="U35" s="789"/>
      <c r="V35" s="789">
        <v>11</v>
      </c>
    </row>
    <row customHeight="1" ht="71.25">
      <c r="A36" s="789"/>
      <c r="B36" s="789" t="s">
        <v>1026</v>
      </c>
      <c r="C36" s="810"/>
      <c r="D36" s="976">
        <v>3</v>
      </c>
      <c r="E36" s="977" t="s">
        <v>1027</v>
      </c>
      <c r="F36" s="979" t="s">
        <v>366</v>
      </c>
      <c r="G36" s="1098" t="s">
        <v>1028</v>
      </c>
      <c r="H36" s="1097" t="s">
        <v>366</v>
      </c>
      <c r="I36" s="808" t="s">
        <v>1028</v>
      </c>
      <c r="J36" s="975" t="s">
        <v>366</v>
      </c>
      <c r="K36" s="573" t="s">
        <v>1029</v>
      </c>
      <c r="V36" s="789">
        <v>68</v>
      </c>
    </row>
    <row customHeight="1" ht="11.549999999999999">
      <c r="A37" s="789"/>
      <c r="C37" s="789"/>
      <c r="D37" s="631"/>
      <c r="E37" s="864" t="s">
        <v>1030</v>
      </c>
      <c r="F37" s="856"/>
      <c r="G37" s="978"/>
      <c r="H37" s="978"/>
      <c r="I37" s="978"/>
      <c r="J37" s="978"/>
      <c r="K37" s="857"/>
      <c r="U37" s="789"/>
      <c r="V37" s="789">
        <v>11</v>
      </c>
    </row>
    <row customHeight="1" ht="71.25">
      <c r="A38" s="789"/>
      <c r="B38" s="789" t="s">
        <v>1031</v>
      </c>
      <c r="C38" s="810"/>
      <c r="D38" s="976">
        <v>4</v>
      </c>
      <c r="E38" s="977" t="s">
        <v>1032</v>
      </c>
      <c r="F38" s="979" t="s">
        <v>366</v>
      </c>
      <c r="G38" s="1098" t="s">
        <v>1028</v>
      </c>
      <c r="H38" s="1099" t="s">
        <v>366</v>
      </c>
      <c r="I38" s="808" t="s">
        <v>1028</v>
      </c>
      <c r="J38" s="805" t="s">
        <v>366</v>
      </c>
      <c r="K38" s="963" t="s">
        <v>1033</v>
      </c>
      <c r="V38" s="789">
        <v>68</v>
      </c>
    </row>
    <row customHeight="1" ht="11.549999999999999">
      <c r="A39" s="789"/>
      <c r="C39" s="789"/>
      <c r="D39" s="631"/>
      <c r="E39" s="864" t="s">
        <v>1034</v>
      </c>
      <c r="F39" s="856"/>
      <c r="G39" s="856"/>
      <c r="H39" s="980"/>
      <c r="I39" s="856"/>
      <c r="J39" s="980"/>
      <c r="K39" s="857"/>
      <c r="U39" s="789"/>
      <c r="V39" s="789">
        <v>11</v>
      </c>
    </row>
    <row customHeight="1" ht="22.5" hidden="1">
      <c r="A40" s="733" t="s">
        <v>85</v>
      </c>
      <c r="B40" s="789">
        <v>0</v>
      </c>
      <c r="C40" s="967">
        <v>4</v>
      </c>
      <c r="D40" s="789">
        <v>6</v>
      </c>
      <c r="E40" s="789">
        <v>36</v>
      </c>
      <c r="F40" s="789">
        <v>9</v>
      </c>
      <c r="G40" s="1042">
        <v>0</v>
      </c>
      <c r="H40" s="1042">
        <v>0</v>
      </c>
      <c r="I40" s="789">
        <v>25</v>
      </c>
      <c r="J40" s="789">
        <v>33</v>
      </c>
      <c r="K40" s="701">
        <v>93</v>
      </c>
      <c r="L40" s="789">
        <v>10</v>
      </c>
      <c r="M40" s="789">
        <v>10</v>
      </c>
      <c r="N40" s="789">
        <v>10</v>
      </c>
      <c r="O40" s="789">
        <v>10</v>
      </c>
      <c r="P40" s="789">
        <v>10</v>
      </c>
      <c r="Q40" s="789">
        <v>10</v>
      </c>
      <c r="R40" s="789">
        <v>10</v>
      </c>
      <c r="S40" s="789">
        <v>10</v>
      </c>
      <c r="T40" s="789">
        <v>10</v>
      </c>
      <c r="U40" s="959">
        <v>10</v>
      </c>
      <c r="V40" s="789">
        <v>23</v>
      </c>
    </row>
  </sheetData>
  <sheetProtection sheet="1" formatColumns="0" formatRows="0" autoFilter="0" sort="1" insertRows="1" insertColumns="1" deleteRows="1" deleteColumns="1"/>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5772B2-352C-9101-D33B-5E8313F31F78}"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37759" width="6.7109375" hidden="1" customWidth="1"/>
    <col min="4" max="4" style="30620" width="6.7109375" hidden="1" customWidth="1"/>
    <col min="5" max="5" style="30541" width="3.00390625" customWidth="1"/>
    <col min="6" max="6" style="30541" width="6.00390625" customWidth="1"/>
    <col min="7" max="7" style="30541" width="37.00390625" customWidth="1"/>
    <col min="8" max="8" style="30541" width="16.00390625" customWidth="1"/>
    <col min="9" max="10" style="30541" width="19.00390625" customWidth="1"/>
    <col min="11" max="11" style="30541" width="24.00390625" customWidth="1"/>
    <col min="12" max="13" style="30541" width="25.00390625" customWidth="1"/>
    <col min="14" max="16" style="30541" width="17.00390625" customWidth="1"/>
    <col min="17" max="24" style="30541" width="19.00390625" customWidth="1"/>
    <col min="25" max="25" style="30541" width="7.00390625" customWidth="1"/>
    <col min="26" max="26" style="30541" width="3.00390625" customWidth="1"/>
    <col min="27" max="27" style="30541" width="6.00390625" customWidth="1"/>
    <col min="28" max="28" style="30541" width="34.00390625" customWidth="1"/>
    <col min="29" max="30" style="30541" width="8.00390625" customWidth="1"/>
    <col min="31" max="31" style="30541" width="9.140625" hidden="1"/>
  </cols>
  <sheetData>
    <row s="30620" customFormat="1" customHeight="1" ht="10.5" hidden="1">
      <c r="A1" s="1179"/>
      <c r="B1" s="1179"/>
      <c r="C1" s="1179"/>
      <c r="E1" s="821"/>
      <c r="H1" s="1444"/>
      <c r="AE1" s="701" t="s">
        <v>14</v>
      </c>
    </row>
    <row customHeight="1" ht="10.5" hidden="1">
      <c r="AE2" s="1042">
        <v>0</v>
      </c>
    </row>
    <row s="30505" customFormat="1" customHeight="1" ht="10.5" hidden="1">
      <c r="A3" s="1179"/>
      <c r="B3" s="1179"/>
      <c r="C3" s="1179"/>
      <c r="D3" s="701"/>
      <c r="E3" s="646"/>
      <c r="G3" s="1916" t="s">
        <v>1035</v>
      </c>
      <c r="H3" s="1440"/>
      <c r="AE3" s="1043">
        <v>0</v>
      </c>
    </row>
    <row customHeight="1" ht="3">
      <c r="AE4" s="1042">
        <v>3</v>
      </c>
    </row>
    <row customHeight="1" ht="27.299999999999997">
      <c r="F5" s="253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32"/>
      <c r="H5" s="2532"/>
      <c r="I5" s="2532"/>
      <c r="J5" s="2532"/>
      <c r="K5" s="2532"/>
      <c r="M5" s="866"/>
      <c r="AB5" s="1190"/>
      <c r="AE5" s="1042">
        <v>26</v>
      </c>
    </row>
    <row s="30541" customFormat="1" customHeight="1" ht="16.8">
      <c r="A6" s="1450"/>
      <c r="B6" s="1450"/>
      <c r="C6" s="1450"/>
      <c r="D6" s="1444"/>
      <c r="E6" s="1919"/>
      <c r="F6" s="2533" t="str">
        <f>IF(org=0,"Не определено",org)</f>
        <v>АО "ДГК"</v>
      </c>
      <c r="G6" s="2533"/>
      <c r="H6" s="2533"/>
      <c r="I6" s="2533"/>
      <c r="J6" s="2533"/>
      <c r="K6" s="2533"/>
      <c r="M6" s="866"/>
      <c r="AB6" s="1432"/>
      <c r="AE6" s="1915">
        <v>16</v>
      </c>
    </row>
    <row customHeight="1" ht="10.5">
      <c r="AE7" s="1042">
        <v>10</v>
      </c>
    </row>
    <row customHeight="1" ht="10.5">
      <c r="A8" s="1335"/>
      <c r="B8" s="1335"/>
      <c r="C8" s="1335"/>
      <c r="F8" s="2385" t="s">
        <v>360</v>
      </c>
      <c r="G8" s="2386"/>
      <c r="H8" s="2386"/>
      <c r="I8" s="2386"/>
      <c r="J8" s="2386"/>
      <c r="K8" s="2386"/>
      <c r="L8" s="2386"/>
      <c r="M8" s="2386"/>
      <c r="N8" s="2386"/>
      <c r="O8" s="2386"/>
      <c r="P8" s="2386"/>
      <c r="Q8" s="2386"/>
      <c r="R8" s="2386"/>
      <c r="S8" s="2386"/>
      <c r="T8" s="2386"/>
      <c r="U8" s="2386"/>
      <c r="V8" s="2386"/>
      <c r="W8" s="2386"/>
      <c r="X8" s="2386"/>
      <c r="Y8" s="2386"/>
      <c r="Z8" s="2386"/>
      <c r="AA8" s="2386"/>
      <c r="AB8" s="2387"/>
      <c r="AE8" s="1042">
        <v>10</v>
      </c>
    </row>
    <row customHeight="1" ht="43.050000000000004">
      <c r="A9" s="1189"/>
      <c r="B9" s="1189"/>
      <c r="C9" s="1189"/>
      <c r="F9" s="2411" t="s">
        <v>91</v>
      </c>
      <c r="G9" s="2411" t="s">
        <v>1035</v>
      </c>
      <c r="H9" s="2459" t="s">
        <v>1036</v>
      </c>
      <c r="I9" s="2411" t="s">
        <v>1037</v>
      </c>
      <c r="J9" s="2411" t="s">
        <v>1038</v>
      </c>
      <c r="K9" s="2411" t="s">
        <v>1039</v>
      </c>
      <c r="L9" s="2411" t="s">
        <v>1040</v>
      </c>
      <c r="M9" s="2411" t="s">
        <v>1041</v>
      </c>
      <c r="N9" s="2493" t="s">
        <v>1042</v>
      </c>
      <c r="O9" s="2493"/>
      <c r="P9" s="2493"/>
      <c r="Q9" s="2683" t="s">
        <v>1043</v>
      </c>
      <c r="R9" s="2684"/>
      <c r="S9" s="2684"/>
      <c r="T9" s="2685"/>
      <c r="U9" s="2683" t="s">
        <v>1044</v>
      </c>
      <c r="V9" s="2684"/>
      <c r="W9" s="2684"/>
      <c r="X9" s="2685"/>
      <c r="Y9" s="2385" t="s">
        <v>1045</v>
      </c>
      <c r="Z9" s="2386"/>
      <c r="AA9" s="2386"/>
      <c r="AB9" s="2387"/>
      <c r="AE9" s="1042">
        <v>41</v>
      </c>
    </row>
    <row customHeight="1" ht="43.050000000000004">
      <c r="A10" s="1189"/>
      <c r="B10" s="1189"/>
      <c r="C10" s="1189"/>
      <c r="F10" s="2459"/>
      <c r="G10" s="2459"/>
      <c r="H10" s="2516"/>
      <c r="I10" s="2459"/>
      <c r="J10" s="2459"/>
      <c r="K10" s="2459"/>
      <c r="L10" s="2459"/>
      <c r="M10" s="2459"/>
      <c r="N10" s="1187" t="s">
        <v>1046</v>
      </c>
      <c r="O10" s="1187" t="s">
        <v>1047</v>
      </c>
      <c r="P10" s="1188" t="s">
        <v>1048</v>
      </c>
      <c r="Q10" s="1199" t="s">
        <v>92</v>
      </c>
      <c r="R10" s="1199" t="s">
        <v>1049</v>
      </c>
      <c r="S10" s="1199" t="s">
        <v>1050</v>
      </c>
      <c r="T10" s="1200" t="s">
        <v>1051</v>
      </c>
      <c r="U10" s="1199" t="s">
        <v>92</v>
      </c>
      <c r="V10" s="1199" t="s">
        <v>1052</v>
      </c>
      <c r="W10" s="1199" t="s">
        <v>1050</v>
      </c>
      <c r="X10" s="1200" t="s">
        <v>1051</v>
      </c>
      <c r="Y10" s="585" t="s">
        <v>1053</v>
      </c>
      <c r="Z10" s="2385" t="s">
        <v>91</v>
      </c>
      <c r="AA10" s="2387"/>
      <c r="AB10" s="1333" t="s">
        <v>1054</v>
      </c>
      <c r="AE10" s="1042">
        <v>41</v>
      </c>
    </row>
    <row s="30621" customFormat="1" customHeight="1" ht="5.25" hidden="1">
      <c r="A11" s="1336"/>
      <c r="B11" s="1336"/>
      <c r="C11" s="1336"/>
      <c r="E11" s="1334"/>
      <c r="F11" s="2690" t="s">
        <v>436</v>
      </c>
      <c r="G11" s="2687"/>
      <c r="H11" s="2686"/>
      <c r="I11" s="2686"/>
      <c r="J11" s="2686"/>
      <c r="K11" s="2688"/>
      <c r="L11" s="2688"/>
      <c r="M11" s="2688"/>
      <c r="N11" s="2686"/>
      <c r="O11" s="2686"/>
      <c r="P11" s="2411"/>
      <c r="Q11" s="2463"/>
      <c r="R11" s="2463"/>
      <c r="S11" s="2463"/>
      <c r="T11" s="2686"/>
      <c r="U11" s="2463"/>
      <c r="V11" s="2463"/>
      <c r="W11" s="2463"/>
      <c r="X11" s="2686"/>
      <c r="Y11" s="2392"/>
      <c r="Z11" s="2392"/>
      <c r="AA11" s="2392"/>
      <c r="AB11" s="2392"/>
      <c r="AD11" s="795" t="s">
        <v>1055</v>
      </c>
      <c r="AE11" s="795">
        <v>0</v>
      </c>
    </row>
    <row s="30621" customFormat="1" customHeight="1" ht="5.25" hidden="1">
      <c r="A12" s="1180"/>
      <c r="B12" s="1180"/>
      <c r="C12" s="1180"/>
      <c r="E12" s="802"/>
      <c r="F12" s="2690"/>
      <c r="G12" s="2687"/>
      <c r="H12" s="2686"/>
      <c r="I12" s="2686"/>
      <c r="J12" s="2686"/>
      <c r="K12" s="2688"/>
      <c r="L12" s="2688"/>
      <c r="M12" s="2688"/>
      <c r="N12" s="2686"/>
      <c r="O12" s="2686"/>
      <c r="P12" s="2411"/>
      <c r="Q12" s="2463"/>
      <c r="R12" s="2463"/>
      <c r="S12" s="2463"/>
      <c r="T12" s="2686"/>
      <c r="U12" s="2463"/>
      <c r="V12" s="2463"/>
      <c r="W12" s="2463"/>
      <c r="X12" s="2686"/>
      <c r="Y12" s="2689"/>
      <c r="Z12" s="2689"/>
      <c r="AA12" s="2689"/>
      <c r="AB12" s="2689"/>
      <c r="AE12" s="795">
        <v>0</v>
      </c>
    </row>
    <row customHeight="1" ht="10.5">
      <c r="F13" s="1186"/>
      <c r="G13" s="934" t="s">
        <v>1056</v>
      </c>
      <c r="H13" s="1452"/>
      <c r="I13" s="856"/>
      <c r="J13" s="856"/>
      <c r="K13" s="856"/>
      <c r="L13" s="856"/>
      <c r="M13" s="856"/>
      <c r="N13" s="856"/>
      <c r="O13" s="856"/>
      <c r="P13" s="856"/>
      <c r="Q13" s="856"/>
      <c r="R13" s="856"/>
      <c r="S13" s="856"/>
      <c r="T13" s="856"/>
      <c r="U13" s="856"/>
      <c r="V13" s="856"/>
      <c r="W13" s="856"/>
      <c r="X13" s="856"/>
      <c r="Y13" s="856"/>
      <c r="Z13" s="980"/>
      <c r="AA13" s="980"/>
      <c r="AB13" s="1201"/>
      <c r="AE13" s="1042">
        <v>10</v>
      </c>
    </row>
    <row customHeight="1" ht="10.5">
      <c r="AE14" s="1042">
        <v>10</v>
      </c>
    </row>
    <row s="30621" customFormat="1" customHeight="1" ht="10.5">
      <c r="A15" s="1451"/>
      <c r="B15" s="1451"/>
      <c r="C15" s="1451"/>
      <c r="E15" s="802"/>
      <c r="H15" s="795">
        <f>_xlfn.IFERROR(MATCH("нет",IP_MAIN_DIFFERENTIATION_EVENTS_FLAG,0),0)</f>
        <v>0</v>
      </c>
      <c r="AE15" s="795">
        <v>10</v>
      </c>
    </row>
    <row customHeight="1" ht="10.5" hidden="1">
      <c r="A16" s="1179" t="s">
        <v>85</v>
      </c>
      <c r="B16" s="1179">
        <v>0</v>
      </c>
      <c r="C16" s="1179">
        <v>0</v>
      </c>
      <c r="D16" s="701">
        <v>0</v>
      </c>
      <c r="E16" s="793">
        <v>3</v>
      </c>
      <c r="F16" s="1042">
        <v>6</v>
      </c>
      <c r="G16" s="1042">
        <v>37</v>
      </c>
      <c r="H16" s="1439">
        <v>16</v>
      </c>
      <c r="I16" s="1042">
        <v>19</v>
      </c>
      <c r="J16" s="1042">
        <v>19</v>
      </c>
      <c r="K16" s="1042">
        <v>24</v>
      </c>
      <c r="L16" s="1042">
        <v>25</v>
      </c>
      <c r="M16" s="1042">
        <v>25</v>
      </c>
      <c r="N16" s="1042">
        <v>17</v>
      </c>
      <c r="O16" s="1042">
        <v>17</v>
      </c>
      <c r="P16" s="1042">
        <v>17</v>
      </c>
      <c r="Q16" s="1042">
        <v>19</v>
      </c>
      <c r="R16" s="1042">
        <v>19</v>
      </c>
      <c r="S16" s="1042">
        <v>19</v>
      </c>
      <c r="T16" s="1042">
        <v>19</v>
      </c>
      <c r="U16" s="1042">
        <v>19</v>
      </c>
      <c r="V16" s="1042">
        <v>19</v>
      </c>
      <c r="W16" s="1042">
        <v>19</v>
      </c>
      <c r="X16" s="1042">
        <v>19</v>
      </c>
      <c r="Y16" s="1042">
        <v>7</v>
      </c>
      <c r="Z16" s="1042">
        <v>3</v>
      </c>
      <c r="AA16" s="1042">
        <v>6</v>
      </c>
      <c r="AB16" s="1042">
        <v>34</v>
      </c>
      <c r="AC16" s="1042">
        <v>8</v>
      </c>
      <c r="AD16" s="1042">
        <v>8</v>
      </c>
      <c r="AE16" s="1042">
        <v>10</v>
      </c>
    </row>
  </sheetData>
  <sheetProtection sheet="1" formatColumns="0" formatRows="0" autoFilter="0" sort="1" insertRows="1" insertColumns="1" deleteRows="1" deleteColumns="1"/>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D699C6-B413-6917-FB8E-ADB0739FE884}"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37759" width="4.140625" hidden="1" customWidth="1"/>
    <col min="4" max="4" style="30620" width="4.140625" hidden="1" customWidth="1"/>
    <col min="5" max="5" style="30541" width="3.00390625" customWidth="1"/>
    <col min="6" max="6" style="30541" width="14.00390625" customWidth="1"/>
    <col min="7" max="7" style="30541" width="3.00390625" customWidth="1"/>
    <col min="8" max="8" style="30541" width="7.00390625" customWidth="1"/>
    <col min="9" max="10" style="30541" width="16.00390625" customWidth="1"/>
    <col min="11" max="11" style="30541" width="25.00390625" customWidth="1"/>
    <col min="12" max="12" style="30541" width="7.00390625" customWidth="1"/>
    <col min="13" max="13" style="30541" width="15.00390625" customWidth="1"/>
    <col min="14" max="14" style="30541" width="3.00390625" customWidth="1"/>
    <col min="15" max="15" style="30541" width="4.00390625" customWidth="1"/>
    <col min="16" max="16" style="30541" width="8.00390625" customWidth="1"/>
    <col min="17" max="17" style="30541" width="21.00390625" customWidth="1"/>
    <col min="18" max="18" style="30541" width="14.00390625" customWidth="1"/>
    <col min="19" max="20" style="30541" width="17.00390625" customWidth="1"/>
    <col min="21" max="21" style="30541" width="9.00390625" customWidth="1"/>
    <col min="22" max="22" style="30541" width="12.00390625" customWidth="1"/>
    <col min="23" max="23" style="30541" width="9.00390625" customWidth="1"/>
    <col min="24" max="24" style="30541" width="21.00390625" customWidth="1"/>
    <col min="25" max="25" style="30541" width="12.00390625" customWidth="1"/>
    <col min="26" max="26" style="30541" width="3.00390625" customWidth="1"/>
    <col min="27" max="27" style="30541" width="6.00390625" customWidth="1"/>
    <col min="28" max="28" style="30541" width="38.00390625" customWidth="1"/>
    <col min="29" max="29" style="30541" width="15.00390625" customWidth="1"/>
    <col min="30" max="30" style="30541" width="37.57421875" hidden="1" customWidth="1"/>
    <col min="31" max="31" style="30541" width="15.7109375" hidden="1" customWidth="1"/>
    <col min="32" max="34" style="30541" width="16.00390625" customWidth="1"/>
    <col min="35" max="37" style="30541" width="16.7109375" hidden="1" customWidth="1"/>
    <col min="38" max="58" style="30541" width="8.00390625" customWidth="1"/>
    <col min="59" max="59" style="30541" width="9.140625" hidden="1"/>
  </cols>
  <sheetData>
    <row s="30620" customFormat="1" customHeight="1" ht="10.5" hidden="1">
      <c r="A1" s="1179"/>
      <c r="B1" s="1179"/>
      <c r="C1" s="1179"/>
      <c r="E1" s="821"/>
      <c r="H1" s="1444"/>
      <c r="L1" s="1412"/>
      <c r="M1" s="1412"/>
      <c r="AD1" s="1412"/>
      <c r="AH1" s="1431"/>
      <c r="AI1" s="1424"/>
      <c r="BG1" s="701" t="s">
        <v>14</v>
      </c>
    </row>
    <row customHeight="1" ht="10.5" hidden="1">
      <c r="BG2" s="1042">
        <v>0</v>
      </c>
    </row>
    <row s="30505" customFormat="1" customHeight="1" ht="10.5" hidden="1">
      <c r="A3" s="1179"/>
      <c r="B3" s="1179"/>
      <c r="C3" s="1179"/>
      <c r="D3" s="701"/>
      <c r="E3" s="646"/>
      <c r="H3" s="1440"/>
      <c r="L3" s="1410"/>
      <c r="M3" s="1410"/>
      <c r="AD3" s="1410"/>
      <c r="AH3" s="1429"/>
      <c r="AI3" s="1422"/>
      <c r="BG3" s="1043">
        <v>0</v>
      </c>
    </row>
    <row customHeight="1" ht="3">
      <c r="BG4" s="1042">
        <v>3</v>
      </c>
    </row>
    <row customHeight="1" ht="27.299999999999997">
      <c r="F5" s="253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32"/>
      <c r="H5" s="2532"/>
      <c r="I5" s="2532"/>
      <c r="J5" s="2532"/>
      <c r="K5" s="2532"/>
      <c r="L5" s="1419"/>
      <c r="M5" s="1419"/>
      <c r="AG5" s="1190"/>
      <c r="AH5" s="1432"/>
      <c r="BG5" s="1042">
        <v>26</v>
      </c>
    </row>
    <row customHeight="1" ht="10.5">
      <c r="F6" s="2460" t="str">
        <f>IF(org=0,"Не определено",org)</f>
        <v>АО "ДГК"</v>
      </c>
      <c r="G6" s="2460"/>
      <c r="H6" s="2460"/>
      <c r="I6" s="2460"/>
      <c r="J6" s="2460"/>
      <c r="K6" s="2460"/>
      <c r="L6" s="1420"/>
      <c r="M6" s="1420"/>
      <c r="BG6" s="1042">
        <v>10</v>
      </c>
    </row>
    <row customHeight="1" ht="11.549999999999999">
      <c r="E7" s="1192"/>
      <c r="F7" s="1203"/>
      <c r="G7" s="1203"/>
      <c r="H7" s="1468"/>
      <c r="I7" s="1203"/>
      <c r="J7" s="1203"/>
      <c r="K7" s="1205"/>
      <c r="L7" s="1417"/>
      <c r="M7" s="1417"/>
      <c r="N7" s="1203"/>
      <c r="O7" s="1203"/>
      <c r="P7" s="1203"/>
      <c r="Q7" s="1205"/>
      <c r="R7" s="1203"/>
      <c r="S7" s="1203"/>
      <c r="T7" s="1203"/>
      <c r="U7" s="1203"/>
      <c r="V7" s="1203"/>
      <c r="W7" s="1203"/>
      <c r="X7" s="1203"/>
      <c r="Y7" s="1203"/>
      <c r="Z7" s="1203"/>
      <c r="AA7" s="1203"/>
      <c r="AB7" s="1203"/>
      <c r="AC7" s="1204"/>
      <c r="AD7" s="1416"/>
      <c r="AE7" s="1204"/>
      <c r="AF7" s="1203"/>
      <c r="AG7" s="1203"/>
      <c r="AH7" s="1434"/>
      <c r="AI7" s="1427"/>
      <c r="AJ7" s="1203"/>
      <c r="AK7" s="1203"/>
      <c r="AL7" s="1194"/>
      <c r="AM7" s="1194"/>
      <c r="AN7" s="1194"/>
      <c r="AO7" s="1191"/>
      <c r="AP7" s="1191"/>
      <c r="AQ7" s="1191"/>
      <c r="AR7" s="1191"/>
      <c r="AS7" s="1191"/>
      <c r="AT7" s="1191"/>
      <c r="AU7" s="1191"/>
      <c r="AV7" s="1191"/>
      <c r="AW7" s="1191"/>
      <c r="AX7" s="1191"/>
      <c r="AY7" s="1191"/>
      <c r="AZ7" s="1191"/>
      <c r="BA7" s="1191"/>
      <c r="BB7" s="1191"/>
      <c r="BC7" s="1191"/>
      <c r="BD7" s="1191"/>
      <c r="BE7" s="1191"/>
      <c r="BF7" s="1191"/>
      <c r="BG7" s="1042">
        <v>11</v>
      </c>
    </row>
    <row customHeight="1" ht="10.5">
      <c r="E8" s="1192"/>
      <c r="F8" s="2699" t="s">
        <v>360</v>
      </c>
      <c r="G8" s="2700"/>
      <c r="H8" s="2700"/>
      <c r="I8" s="2700"/>
      <c r="J8" s="2700"/>
      <c r="K8" s="2700"/>
      <c r="L8" s="2700"/>
      <c r="M8" s="2700"/>
      <c r="N8" s="2700"/>
      <c r="O8" s="2700"/>
      <c r="P8" s="2700"/>
      <c r="Q8" s="2700"/>
      <c r="R8" s="2700"/>
      <c r="S8" s="2700"/>
      <c r="T8" s="2700"/>
      <c r="U8" s="2700"/>
      <c r="V8" s="2700"/>
      <c r="W8" s="2700"/>
      <c r="X8" s="2700"/>
      <c r="Y8" s="2700"/>
      <c r="Z8" s="2700"/>
      <c r="AA8" s="2700"/>
      <c r="AB8" s="2700"/>
      <c r="AC8" s="2700"/>
      <c r="AD8" s="2700"/>
      <c r="AE8" s="2700"/>
      <c r="AF8" s="2700"/>
      <c r="AG8" s="2700"/>
      <c r="AH8" s="2700"/>
      <c r="AI8" s="2700"/>
      <c r="AJ8" s="2700"/>
      <c r="AK8" s="2701"/>
      <c r="AL8" s="1193"/>
      <c r="AM8" s="1191"/>
      <c r="AN8" s="1191"/>
      <c r="AO8" s="1191"/>
      <c r="AP8" s="1191"/>
      <c r="AQ8" s="1191"/>
      <c r="AR8" s="1191"/>
      <c r="AS8" s="1191"/>
      <c r="AT8" s="1191"/>
      <c r="AU8" s="1191"/>
      <c r="AV8" s="1191"/>
      <c r="AW8" s="1191"/>
      <c r="AX8" s="1191"/>
      <c r="AY8" s="1191"/>
      <c r="AZ8" s="1191"/>
      <c r="BA8" s="1191"/>
      <c r="BB8" s="1191"/>
      <c r="BC8" s="1191"/>
      <c r="BD8" s="1191"/>
      <c r="BE8" s="1191"/>
      <c r="BF8" s="1191"/>
      <c r="BG8" s="1042">
        <v>10</v>
      </c>
    </row>
    <row customHeight="1" ht="24">
      <c r="A9" s="1189"/>
      <c r="B9" s="1189"/>
      <c r="C9" s="1189"/>
      <c r="E9" s="1192"/>
      <c r="F9" s="2692" t="s">
        <v>1057</v>
      </c>
      <c r="G9" s="2693" t="s">
        <v>1058</v>
      </c>
      <c r="H9" s="2694"/>
      <c r="I9" s="2411" t="s">
        <v>1059</v>
      </c>
      <c r="J9" s="2411"/>
      <c r="K9" s="2411" t="s">
        <v>1060</v>
      </c>
      <c r="L9" s="2411"/>
      <c r="M9" s="2411"/>
      <c r="N9" s="2411"/>
      <c r="O9" s="2411"/>
      <c r="P9" s="2411"/>
      <c r="Q9" s="2411"/>
      <c r="R9" s="2411"/>
      <c r="S9" s="2411"/>
      <c r="T9" s="2411"/>
      <c r="U9" s="2411"/>
      <c r="V9" s="2411"/>
      <c r="W9" s="2411"/>
      <c r="X9" s="2411"/>
      <c r="Y9" s="2411"/>
      <c r="Z9" s="2476" t="s">
        <v>1061</v>
      </c>
      <c r="AA9" s="2477"/>
      <c r="AB9" s="2411" t="s">
        <v>1062</v>
      </c>
      <c r="AC9" s="2411"/>
      <c r="AD9" s="2411"/>
      <c r="AE9" s="2411"/>
      <c r="AF9" s="2459" t="s">
        <v>1063</v>
      </c>
      <c r="AG9" s="2411" t="s">
        <v>1064</v>
      </c>
      <c r="AH9" s="2411"/>
      <c r="AI9" s="2459" t="s">
        <v>1065</v>
      </c>
      <c r="AJ9" s="2411" t="s">
        <v>1066</v>
      </c>
      <c r="AK9" s="2411"/>
      <c r="AL9" s="1426"/>
      <c r="AM9" s="1191"/>
      <c r="AN9" s="1191"/>
      <c r="AO9" s="1191"/>
      <c r="AP9" s="1191"/>
      <c r="AQ9" s="1191"/>
      <c r="AR9" s="1191"/>
      <c r="AS9" s="1191"/>
      <c r="AT9" s="1191"/>
      <c r="AU9" s="1191"/>
      <c r="AV9" s="1191"/>
      <c r="AW9" s="1191"/>
      <c r="AX9" s="1191"/>
      <c r="AY9" s="1191"/>
      <c r="AZ9" s="1191"/>
      <c r="BA9" s="1191"/>
      <c r="BB9" s="1191"/>
      <c r="BC9" s="1191"/>
      <c r="BD9" s="1191"/>
      <c r="BE9" s="1191"/>
      <c r="BF9" s="1191"/>
      <c r="BG9" s="1042">
        <v>23</v>
      </c>
    </row>
    <row customHeight="1" ht="25.2">
      <c r="A10" s="1189"/>
      <c r="B10" s="1189"/>
      <c r="C10" s="1189"/>
      <c r="E10" s="1196"/>
      <c r="F10" s="2692"/>
      <c r="G10" s="2695"/>
      <c r="H10" s="2696"/>
      <c r="I10" s="2411"/>
      <c r="J10" s="2411"/>
      <c r="K10" s="2411" t="s">
        <v>1067</v>
      </c>
      <c r="L10" s="2385" t="s">
        <v>1068</v>
      </c>
      <c r="M10" s="2387"/>
      <c r="N10" s="2411" t="s">
        <v>1069</v>
      </c>
      <c r="O10" s="2411"/>
      <c r="P10" s="2411"/>
      <c r="Q10" s="2411"/>
      <c r="R10" s="2411"/>
      <c r="S10" s="2411"/>
      <c r="T10" s="2411"/>
      <c r="U10" s="2411"/>
      <c r="V10" s="2411"/>
      <c r="W10" s="2411"/>
      <c r="X10" s="2411"/>
      <c r="Y10" s="2411"/>
      <c r="Z10" s="2478"/>
      <c r="AA10" s="2479"/>
      <c r="AB10" s="2411"/>
      <c r="AC10" s="2411"/>
      <c r="AD10" s="2411"/>
      <c r="AE10" s="2411"/>
      <c r="AF10" s="2483"/>
      <c r="AG10" s="2411"/>
      <c r="AH10" s="2411"/>
      <c r="AI10" s="2483"/>
      <c r="AJ10" s="2411"/>
      <c r="AK10" s="2411"/>
      <c r="AL10" s="1426"/>
      <c r="AM10" s="1197"/>
      <c r="AN10" s="1197"/>
      <c r="AO10" s="1197"/>
      <c r="AP10" s="1197"/>
      <c r="AQ10" s="1197"/>
      <c r="AR10" s="1197"/>
      <c r="AS10" s="1197"/>
      <c r="AT10" s="1197"/>
      <c r="AU10" s="1197"/>
      <c r="AV10" s="1197"/>
      <c r="AW10" s="1197"/>
      <c r="AX10" s="1197"/>
      <c r="AY10" s="1197"/>
      <c r="AZ10" s="1197"/>
      <c r="BA10" s="1197"/>
      <c r="BB10" s="1197"/>
      <c r="BC10" s="1197"/>
      <c r="BD10" s="1197"/>
      <c r="BE10" s="1197"/>
      <c r="BF10" s="1197"/>
      <c r="BG10" s="1042">
        <v>24</v>
      </c>
    </row>
    <row s="30541" customFormat="1" customHeight="1" ht="25.2">
      <c r="A11" s="1413"/>
      <c r="B11" s="1413"/>
      <c r="C11" s="1413"/>
      <c r="D11" s="1412"/>
      <c r="E11" s="1414"/>
      <c r="F11" s="2692"/>
      <c r="G11" s="2695"/>
      <c r="H11" s="2696"/>
      <c r="I11" s="2411"/>
      <c r="J11" s="2411"/>
      <c r="K11" s="2411"/>
      <c r="L11" s="2459" t="s">
        <v>1070</v>
      </c>
      <c r="M11" s="2459" t="s">
        <v>1071</v>
      </c>
      <c r="N11" s="2411" t="s">
        <v>1072</v>
      </c>
      <c r="O11" s="2411"/>
      <c r="P11" s="2702" t="s">
        <v>1053</v>
      </c>
      <c r="Q11" s="2702" t="s">
        <v>1073</v>
      </c>
      <c r="R11" s="2702" t="s">
        <v>1074</v>
      </c>
      <c r="S11" s="2702" t="s">
        <v>1075</v>
      </c>
      <c r="T11" s="2702"/>
      <c r="U11" s="2702"/>
      <c r="V11" s="2702"/>
      <c r="W11" s="2702"/>
      <c r="X11" s="2702"/>
      <c r="Y11" s="2702"/>
      <c r="Z11" s="2478"/>
      <c r="AA11" s="2479"/>
      <c r="AB11" s="2411" t="s">
        <v>1076</v>
      </c>
      <c r="AC11" s="2411"/>
      <c r="AD11" s="2385" t="s">
        <v>1077</v>
      </c>
      <c r="AE11" s="2387"/>
      <c r="AF11" s="2483"/>
      <c r="AG11" s="2411"/>
      <c r="AH11" s="2411"/>
      <c r="AI11" s="2483"/>
      <c r="AJ11" s="2411"/>
      <c r="AK11" s="2411"/>
      <c r="AL11" s="1426"/>
      <c r="AM11" s="1411"/>
      <c r="AN11" s="1411"/>
      <c r="AO11" s="1411"/>
      <c r="AP11" s="1411"/>
      <c r="AQ11" s="1411"/>
      <c r="AR11" s="1411"/>
      <c r="AS11" s="1411"/>
      <c r="AT11" s="1411"/>
      <c r="AU11" s="1411"/>
      <c r="AV11" s="1411"/>
      <c r="AW11" s="1411"/>
      <c r="AX11" s="1411"/>
      <c r="AY11" s="1411"/>
      <c r="AZ11" s="1411"/>
      <c r="BA11" s="1411"/>
      <c r="BB11" s="1411"/>
      <c r="BC11" s="1411"/>
      <c r="BD11" s="1411"/>
      <c r="BE11" s="1411"/>
      <c r="BF11" s="1411"/>
      <c r="BG11" s="1409">
        <v>24</v>
      </c>
    </row>
    <row customHeight="1" ht="35.699999999999996">
      <c r="A12" s="1189"/>
      <c r="B12" s="1189"/>
      <c r="C12" s="1189"/>
      <c r="E12" s="1192"/>
      <c r="F12" s="2692"/>
      <c r="G12" s="2697"/>
      <c r="H12" s="2698"/>
      <c r="I12" s="1437" t="s">
        <v>92</v>
      </c>
      <c r="J12" s="1437" t="s">
        <v>1078</v>
      </c>
      <c r="K12" s="2411"/>
      <c r="L12" s="2516"/>
      <c r="M12" s="2516"/>
      <c r="N12" s="2411"/>
      <c r="O12" s="2411"/>
      <c r="P12" s="2702"/>
      <c r="Q12" s="2702"/>
      <c r="R12" s="2702"/>
      <c r="S12" s="1418" t="s">
        <v>89</v>
      </c>
      <c r="T12" s="1418" t="s">
        <v>90</v>
      </c>
      <c r="U12" s="1418" t="s">
        <v>88</v>
      </c>
      <c r="V12" s="1418" t="s">
        <v>1079</v>
      </c>
      <c r="W12" s="1418" t="s">
        <v>88</v>
      </c>
      <c r="X12" s="1418" t="s">
        <v>1080</v>
      </c>
      <c r="Y12" s="1418" t="s">
        <v>1081</v>
      </c>
      <c r="Z12" s="2484"/>
      <c r="AA12" s="2485"/>
      <c r="AB12" s="1425" t="s">
        <v>1082</v>
      </c>
      <c r="AC12" s="1425" t="s">
        <v>1083</v>
      </c>
      <c r="AD12" s="1425" t="s">
        <v>1082</v>
      </c>
      <c r="AE12" s="1425" t="s">
        <v>1083</v>
      </c>
      <c r="AF12" s="2516"/>
      <c r="AG12" s="1438" t="s">
        <v>1084</v>
      </c>
      <c r="AH12" s="1438" t="s">
        <v>1085</v>
      </c>
      <c r="AI12" s="2516"/>
      <c r="AJ12" s="1438" t="s">
        <v>1084</v>
      </c>
      <c r="AK12" s="1438" t="s">
        <v>1085</v>
      </c>
      <c r="AL12" s="1426"/>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042">
        <v>34</v>
      </c>
    </row>
    <row customHeight="1" ht="1.05">
      <c r="E13" s="1192"/>
      <c r="F13" s="1408">
        <v>0</v>
      </c>
      <c r="G13" s="1408"/>
      <c r="H13" s="1408"/>
      <c r="I13" s="1408"/>
      <c r="J13" s="1408"/>
      <c r="K13" s="1415"/>
      <c r="L13" s="1415"/>
      <c r="M13" s="1415"/>
      <c r="N13" s="1415"/>
      <c r="O13" s="1415"/>
      <c r="P13" s="1415"/>
      <c r="Q13" s="1415"/>
      <c r="R13" s="1415"/>
      <c r="S13" s="1415"/>
      <c r="T13" s="1415"/>
      <c r="U13" s="1415"/>
      <c r="V13" s="1415"/>
      <c r="W13" s="1415"/>
      <c r="X13" s="1415"/>
      <c r="Y13" s="1415"/>
      <c r="Z13" s="1415"/>
      <c r="AA13" s="1415"/>
      <c r="AB13" s="1415"/>
      <c r="AC13" s="1415"/>
      <c r="AD13" s="1415"/>
      <c r="AE13" s="1415"/>
      <c r="AF13" s="1415"/>
      <c r="AG13" s="1415"/>
      <c r="AH13" s="1433"/>
      <c r="AI13" s="1426"/>
      <c r="AJ13" s="1415"/>
      <c r="AK13" s="1415"/>
      <c r="AL13" s="1193"/>
      <c r="AM13" s="1191"/>
      <c r="AN13" s="1191"/>
      <c r="AO13" s="1191"/>
      <c r="AP13" s="1191"/>
      <c r="AQ13" s="1191"/>
      <c r="AR13" s="1191"/>
      <c r="AS13" s="1191"/>
      <c r="AT13" s="1191"/>
      <c r="AU13" s="1191"/>
      <c r="AV13" s="1191"/>
      <c r="AW13" s="1191"/>
      <c r="AX13" s="1191"/>
      <c r="AY13" s="1191"/>
      <c r="AZ13" s="1191"/>
      <c r="BA13" s="1191"/>
      <c r="BB13" s="1191"/>
      <c r="BC13" s="1191"/>
      <c r="BD13" s="1191"/>
      <c r="BE13" s="1191"/>
      <c r="BF13" s="1191"/>
      <c r="BG13" s="1042">
        <v>1</v>
      </c>
    </row>
    <row customHeight="1" ht="10.5">
      <c r="E14" s="1191"/>
      <c r="F14" s="1202"/>
      <c r="G14" s="1202"/>
      <c r="H14" s="1456"/>
      <c r="I14" s="1202"/>
      <c r="J14" s="1202"/>
      <c r="K14" s="1202"/>
      <c r="L14" s="1415"/>
      <c r="M14" s="1415"/>
      <c r="N14" s="1202"/>
      <c r="O14" s="1202"/>
      <c r="P14" s="1202"/>
      <c r="Q14" s="1202"/>
      <c r="R14" s="1202"/>
      <c r="S14" s="1202"/>
      <c r="T14" s="1202"/>
      <c r="U14" s="1202"/>
      <c r="V14" s="1202"/>
      <c r="W14" s="1202"/>
      <c r="X14" s="1202"/>
      <c r="Y14" s="1202"/>
      <c r="Z14" s="1202"/>
      <c r="AA14" s="1202"/>
      <c r="AB14" s="1202"/>
      <c r="AC14" s="1202"/>
      <c r="AD14" s="1415"/>
      <c r="AE14" s="1202"/>
      <c r="AF14" s="1202"/>
      <c r="AG14" s="1202"/>
      <c r="AH14" s="1433"/>
      <c r="AI14" s="1426"/>
      <c r="AJ14" s="1202"/>
      <c r="AK14" s="1202"/>
      <c r="AL14" s="1191"/>
      <c r="AM14" s="1191"/>
      <c r="AN14" s="1191"/>
      <c r="AO14" s="1191"/>
      <c r="AP14" s="1191"/>
      <c r="AQ14" s="1191"/>
      <c r="AR14" s="1191"/>
      <c r="AS14" s="1191"/>
      <c r="AT14" s="1191"/>
      <c r="AU14" s="1191"/>
      <c r="AV14" s="1191"/>
      <c r="AW14" s="1191"/>
      <c r="AX14" s="1191"/>
      <c r="AY14" s="1191"/>
      <c r="AZ14" s="1191"/>
      <c r="BA14" s="1191"/>
      <c r="BB14" s="1191"/>
      <c r="BC14" s="1191"/>
      <c r="BD14" s="1191"/>
      <c r="BE14" s="1191"/>
      <c r="BF14" s="1191"/>
      <c r="BG14" s="1042">
        <v>10</v>
      </c>
    </row>
    <row customHeight="1" ht="13.5">
      <c r="E15" s="1191"/>
      <c r="F15" s="1198" t="s">
        <v>1086</v>
      </c>
      <c r="G15" s="1198"/>
      <c r="H15" s="1455"/>
      <c r="I15" s="1198"/>
      <c r="J15" s="1198"/>
      <c r="K15" s="1195"/>
      <c r="L15" s="1411"/>
      <c r="M15" s="1411"/>
      <c r="N15" s="1197"/>
      <c r="O15" s="1197"/>
      <c r="P15" s="1197"/>
      <c r="Q15" s="1197"/>
      <c r="R15" s="1197"/>
      <c r="S15" s="1197"/>
      <c r="T15" s="1197"/>
      <c r="U15" s="1197"/>
      <c r="V15" s="1197"/>
      <c r="W15" s="1197"/>
      <c r="X15" s="1197"/>
      <c r="Y15" s="1197"/>
      <c r="Z15" s="1195"/>
      <c r="AA15" s="1195"/>
      <c r="AB15" s="1195"/>
      <c r="AC15" s="1195"/>
      <c r="AD15" s="1411"/>
      <c r="AE15" s="1195"/>
      <c r="AF15" s="1195"/>
      <c r="AG15" s="1195"/>
      <c r="AH15" s="1430"/>
      <c r="AI15" s="1423"/>
      <c r="AJ15" s="1195"/>
      <c r="AK15" s="1195"/>
      <c r="AL15" s="1191"/>
      <c r="AM15" s="1191"/>
      <c r="AN15" s="1191"/>
      <c r="AO15" s="1191"/>
      <c r="AP15" s="1191"/>
      <c r="AQ15" s="1191"/>
      <c r="AR15" s="1191"/>
      <c r="AS15" s="1191"/>
      <c r="AT15" s="1191"/>
      <c r="AU15" s="1191"/>
      <c r="AV15" s="1191"/>
      <c r="AW15" s="1191"/>
      <c r="AX15" s="1191"/>
      <c r="AY15" s="1191"/>
      <c r="AZ15" s="1191"/>
      <c r="BA15" s="1191"/>
      <c r="BB15" s="1191"/>
      <c r="BC15" s="1191"/>
      <c r="BD15" s="1191"/>
      <c r="BE15" s="1191"/>
      <c r="BF15" s="1191"/>
      <c r="BG15" s="1042">
        <v>13</v>
      </c>
    </row>
    <row customHeight="1" ht="10.5">
      <c r="BG16" s="1042">
        <v>10</v>
      </c>
    </row>
    <row customHeight="1" ht="10.5">
      <c r="E17" s="1191"/>
      <c r="F17" s="2691"/>
      <c r="G17" s="2691"/>
      <c r="H17" s="2691"/>
      <c r="I17" s="2691"/>
      <c r="J17" s="2691"/>
      <c r="K17" s="1195"/>
      <c r="L17" s="1411"/>
      <c r="M17" s="1411"/>
      <c r="N17" s="1197"/>
      <c r="O17" s="1197"/>
      <c r="P17" s="1197"/>
      <c r="Q17" s="1197"/>
      <c r="R17" s="1197"/>
      <c r="S17" s="1197"/>
      <c r="T17" s="1197"/>
      <c r="U17" s="1197"/>
      <c r="V17" s="1197"/>
      <c r="W17" s="1197"/>
      <c r="X17" s="1197"/>
      <c r="Y17" s="1197"/>
      <c r="Z17" s="1195"/>
      <c r="AA17" s="1195"/>
      <c r="AB17" s="1195"/>
      <c r="AC17" s="1195"/>
      <c r="AD17" s="1411"/>
      <c r="AE17" s="1195"/>
      <c r="AF17" s="1195"/>
      <c r="AG17" s="1195"/>
      <c r="AH17" s="1430"/>
      <c r="AI17" s="1423"/>
      <c r="AJ17" s="1195"/>
      <c r="AK17" s="1195"/>
      <c r="AL17" s="1191"/>
      <c r="AM17" s="1191"/>
      <c r="AN17" s="1191"/>
      <c r="AO17" s="1191"/>
      <c r="AP17" s="1191"/>
      <c r="AQ17" s="1191"/>
      <c r="AR17" s="1191"/>
      <c r="AS17" s="1191"/>
      <c r="AT17" s="1191"/>
      <c r="AU17" s="1191"/>
      <c r="AV17" s="1191"/>
      <c r="AW17" s="1191"/>
      <c r="AX17" s="1191"/>
      <c r="AY17" s="1191"/>
      <c r="AZ17" s="1191"/>
      <c r="BA17" s="1191"/>
      <c r="BB17" s="1191"/>
      <c r="BC17" s="1191"/>
      <c r="BD17" s="1191"/>
      <c r="BE17" s="1191"/>
      <c r="BF17" s="1191"/>
      <c r="BG17" s="1042">
        <v>10</v>
      </c>
    </row>
    <row customHeight="1" ht="10.5">
      <c r="E18" s="1191"/>
      <c r="F18" s="2691"/>
      <c r="G18" s="2691"/>
      <c r="H18" s="2691"/>
      <c r="I18" s="2691"/>
      <c r="J18" s="2691"/>
      <c r="K18" s="1195"/>
      <c r="L18" s="1411"/>
      <c r="M18" s="1411"/>
      <c r="N18" s="1197"/>
      <c r="O18" s="1197"/>
      <c r="P18" s="1197"/>
      <c r="Q18" s="1197"/>
      <c r="R18" s="1197"/>
      <c r="S18" s="1197"/>
      <c r="T18" s="1197"/>
      <c r="U18" s="1197"/>
      <c r="V18" s="1197"/>
      <c r="W18" s="1197"/>
      <c r="X18" s="1197"/>
      <c r="Y18" s="1197"/>
      <c r="Z18" s="1195"/>
      <c r="AA18" s="1195"/>
      <c r="AB18" s="1195"/>
      <c r="AC18" s="1195"/>
      <c r="AD18" s="1411"/>
      <c r="AE18" s="1195"/>
      <c r="AF18" s="1195"/>
      <c r="AG18" s="1195"/>
      <c r="AH18" s="1430"/>
      <c r="AI18" s="1423"/>
      <c r="AJ18" s="1195"/>
      <c r="AK18" s="1195"/>
      <c r="AL18" s="1191"/>
      <c r="AM18" s="1191"/>
      <c r="AN18" s="1191"/>
      <c r="AO18" s="1191"/>
      <c r="AP18" s="1191"/>
      <c r="AQ18" s="1191"/>
      <c r="AR18" s="1191"/>
      <c r="AS18" s="1191"/>
      <c r="AT18" s="1191"/>
      <c r="AU18" s="1191"/>
      <c r="AV18" s="1191"/>
      <c r="AW18" s="1191"/>
      <c r="AX18" s="1191"/>
      <c r="AY18" s="1191"/>
      <c r="AZ18" s="1191"/>
      <c r="BA18" s="1191"/>
      <c r="BB18" s="1191"/>
      <c r="BC18" s="1191"/>
      <c r="BD18" s="1191"/>
      <c r="BE18" s="1191"/>
      <c r="BF18" s="1191"/>
      <c r="BG18" s="1042">
        <v>10</v>
      </c>
    </row>
    <row customHeight="1" ht="10.5">
      <c r="E19" s="1191"/>
      <c r="F19" s="2691"/>
      <c r="G19" s="2691"/>
      <c r="H19" s="2691"/>
      <c r="I19" s="2691"/>
      <c r="J19" s="2691"/>
      <c r="K19" s="1195"/>
      <c r="L19" s="1411"/>
      <c r="M19" s="1411"/>
      <c r="N19" s="1197"/>
      <c r="O19" s="1197"/>
      <c r="P19" s="1197"/>
      <c r="Q19" s="1197"/>
      <c r="R19" s="1197"/>
      <c r="S19" s="1197"/>
      <c r="T19" s="1197"/>
      <c r="U19" s="1197"/>
      <c r="V19" s="1197"/>
      <c r="W19" s="1197"/>
      <c r="X19" s="1197"/>
      <c r="Y19" s="1197"/>
      <c r="Z19" s="1195"/>
      <c r="AA19" s="1195"/>
      <c r="AB19" s="1195"/>
      <c r="AC19" s="1195"/>
      <c r="AD19" s="1411"/>
      <c r="AE19" s="1195"/>
      <c r="AF19" s="1195"/>
      <c r="AG19" s="1195"/>
      <c r="AH19" s="1430"/>
      <c r="AI19" s="1423"/>
      <c r="AJ19" s="1195"/>
      <c r="AK19" s="1195"/>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042">
        <v>10</v>
      </c>
    </row>
    <row customHeight="1" ht="10.5" hidden="1">
      <c r="A20" s="1179" t="s">
        <v>85</v>
      </c>
      <c r="B20" s="1179">
        <v>0</v>
      </c>
      <c r="C20" s="1179">
        <v>0</v>
      </c>
      <c r="D20" s="701">
        <v>0</v>
      </c>
      <c r="E20" s="793">
        <v>3</v>
      </c>
      <c r="F20" s="1042">
        <v>14</v>
      </c>
      <c r="G20" s="1042">
        <v>3</v>
      </c>
      <c r="H20" s="1439">
        <v>7</v>
      </c>
      <c r="I20" s="1042">
        <v>16</v>
      </c>
      <c r="J20" s="1042">
        <v>16</v>
      </c>
      <c r="K20" s="1042">
        <v>25</v>
      </c>
      <c r="L20" s="1409">
        <v>7</v>
      </c>
      <c r="M20" s="1409">
        <v>15</v>
      </c>
      <c r="N20" s="1042">
        <v>3</v>
      </c>
      <c r="O20" s="1042">
        <v>4</v>
      </c>
      <c r="P20" s="1042">
        <v>8</v>
      </c>
      <c r="Q20" s="1042">
        <v>21</v>
      </c>
      <c r="R20" s="1042">
        <v>14</v>
      </c>
      <c r="S20" s="1042">
        <v>17</v>
      </c>
      <c r="T20" s="1042">
        <v>17</v>
      </c>
      <c r="U20" s="1042">
        <v>9</v>
      </c>
      <c r="V20" s="1042">
        <v>12</v>
      </c>
      <c r="W20" s="1042">
        <v>9</v>
      </c>
      <c r="X20" s="1042">
        <v>21</v>
      </c>
      <c r="Y20" s="1042">
        <v>12</v>
      </c>
      <c r="Z20" s="1042">
        <v>3</v>
      </c>
      <c r="AA20" s="1042">
        <v>6</v>
      </c>
      <c r="AB20" s="1042">
        <v>38</v>
      </c>
      <c r="AC20" s="1042">
        <v>15</v>
      </c>
      <c r="AD20" s="1409">
        <v>0</v>
      </c>
      <c r="AE20" s="1042">
        <v>0</v>
      </c>
      <c r="AF20" s="1042">
        <v>16</v>
      </c>
      <c r="AG20" s="1042">
        <v>16</v>
      </c>
      <c r="AH20" s="1428">
        <v>16</v>
      </c>
      <c r="AI20" s="1421">
        <v>0</v>
      </c>
      <c r="AJ20" s="1042">
        <v>0</v>
      </c>
      <c r="AK20" s="1042">
        <v>0</v>
      </c>
      <c r="AL20" s="1042">
        <v>8</v>
      </c>
      <c r="AM20" s="1042">
        <v>8</v>
      </c>
      <c r="AN20" s="1042">
        <v>8</v>
      </c>
      <c r="AO20" s="1042">
        <v>8</v>
      </c>
      <c r="AP20" s="1042">
        <v>8</v>
      </c>
      <c r="AQ20" s="1042">
        <v>8</v>
      </c>
      <c r="AR20" s="1042">
        <v>8</v>
      </c>
      <c r="AS20" s="1042">
        <v>8</v>
      </c>
      <c r="AT20" s="1042">
        <v>8</v>
      </c>
      <c r="AU20" s="1042">
        <v>8</v>
      </c>
      <c r="AV20" s="1042">
        <v>8</v>
      </c>
      <c r="AW20" s="1042">
        <v>8</v>
      </c>
      <c r="AX20" s="1042">
        <v>8</v>
      </c>
      <c r="AY20" s="1042">
        <v>8</v>
      </c>
      <c r="AZ20" s="1042">
        <v>8</v>
      </c>
      <c r="BA20" s="1042">
        <v>8</v>
      </c>
      <c r="BB20" s="1042">
        <v>8</v>
      </c>
      <c r="BC20" s="1042">
        <v>8</v>
      </c>
      <c r="BD20" s="1042">
        <v>8</v>
      </c>
      <c r="BE20" s="1042">
        <v>8</v>
      </c>
      <c r="BF20" s="1042">
        <v>8</v>
      </c>
      <c r="BG20" s="1042">
        <v>10</v>
      </c>
    </row>
  </sheetData>
  <sheetProtection sheet="1" formatColumns="0" formatRows="0" autoFilter="0" sort="1" insertRows="1" insertColumns="1" deleteRows="1" deleteColumns="1"/>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6FA7E9-073A-0FB9-1CCA-7750B1964169}"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37759" width="4.140625" hidden="1" customWidth="1"/>
    <col min="4" max="4" style="30620" width="4.140625" hidden="1" customWidth="1"/>
    <col min="5" max="5" style="30541" width="3.00390625" customWidth="1"/>
    <col min="6" max="6" style="30541" width="6.00390625" customWidth="1"/>
    <col min="7" max="7" style="30541" width="60.00390625" customWidth="1"/>
    <col min="8" max="9" style="30541" width="21.7109375" hidden="1" customWidth="1"/>
    <col min="10" max="10" style="30541" width="0.140625" customWidth="1"/>
    <col min="11" max="11" style="30541" width="1.00390625" customWidth="1"/>
    <col min="12" max="22" style="30541" width="8.00390625" customWidth="1"/>
    <col min="23" max="23" style="30541" width="9.140625" hidden="1"/>
  </cols>
  <sheetData>
    <row s="30620" customFormat="1" customHeight="1" ht="10.5" hidden="1">
      <c r="A1" s="1450"/>
      <c r="B1" s="1450"/>
      <c r="C1" s="1450"/>
      <c r="E1" s="821"/>
      <c r="W1" s="1444" t="s">
        <v>14</v>
      </c>
    </row>
    <row customHeight="1" ht="10.5" hidden="1">
      <c r="W2" s="1439">
        <v>0</v>
      </c>
    </row>
    <row s="30505" customFormat="1" customHeight="1" ht="10.5" hidden="1">
      <c r="A3" s="1450"/>
      <c r="B3" s="1450"/>
      <c r="C3" s="1450"/>
      <c r="D3" s="1444"/>
      <c r="E3" s="646"/>
      <c r="W3" s="1440">
        <v>0</v>
      </c>
    </row>
    <row customHeight="1" ht="3">
      <c r="W4" s="1439">
        <v>3</v>
      </c>
    </row>
    <row customHeight="1" ht="27.299999999999997">
      <c r="F5" s="253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32"/>
      <c r="H5" s="2532"/>
      <c r="I5" s="2532"/>
      <c r="J5" s="2532"/>
      <c r="W5" s="1439">
        <v>26</v>
      </c>
    </row>
    <row customHeight="1" ht="10.5">
      <c r="F6" s="2460" t="str">
        <f>IF(org=0,"Не определено",org)</f>
        <v>АО "ДГК"</v>
      </c>
      <c r="G6" s="2460"/>
      <c r="H6" s="2460"/>
      <c r="I6" s="2460"/>
      <c r="J6" s="2460"/>
      <c r="W6" s="1439">
        <v>10</v>
      </c>
    </row>
    <row customHeight="1" ht="11.549999999999999">
      <c r="E7" s="1454"/>
      <c r="F7" s="1511"/>
      <c r="G7" s="1511"/>
      <c r="H7" s="1511"/>
      <c r="I7" s="1511"/>
      <c r="J7" s="1511"/>
      <c r="K7" s="1441"/>
      <c r="L7" s="1441"/>
      <c r="M7" s="1441"/>
      <c r="N7" s="1441"/>
      <c r="O7" s="1441"/>
      <c r="P7" s="1441"/>
      <c r="Q7" s="1441"/>
      <c r="R7" s="1441"/>
      <c r="S7" s="1441"/>
      <c r="T7" s="1441"/>
      <c r="U7" s="1441"/>
      <c r="V7" s="1441"/>
      <c r="W7" s="1439">
        <v>11</v>
      </c>
    </row>
    <row s="30621" customFormat="1" customHeight="1" ht="4.2">
      <c r="A8" s="1451"/>
      <c r="B8" s="1451"/>
      <c r="C8" s="1451"/>
      <c r="E8" s="1512"/>
      <c r="F8" s="1513"/>
      <c r="G8" s="1513"/>
      <c r="H8" s="1513"/>
      <c r="I8" s="1513"/>
      <c r="J8" s="1513"/>
      <c r="K8" s="1512"/>
      <c r="L8" s="1512"/>
      <c r="M8" s="1512"/>
      <c r="N8" s="1512"/>
      <c r="O8" s="1512"/>
      <c r="P8" s="1512"/>
      <c r="Q8" s="1512"/>
      <c r="R8" s="1512"/>
      <c r="S8" s="1512"/>
      <c r="T8" s="1512"/>
      <c r="U8" s="1512"/>
      <c r="V8" s="1512"/>
      <c r="W8" s="795">
        <v>4</v>
      </c>
    </row>
    <row customHeight="1" ht="10.5">
      <c r="E9" s="1454"/>
      <c r="F9" s="2703" t="s">
        <v>360</v>
      </c>
      <c r="G9" s="2704"/>
      <c r="H9" s="2704"/>
      <c r="I9" s="2704"/>
      <c r="J9" s="2704"/>
      <c r="K9" s="1524"/>
      <c r="L9" s="1441"/>
      <c r="M9" s="1441"/>
      <c r="N9" s="1441"/>
      <c r="O9" s="1441"/>
      <c r="P9" s="1441"/>
      <c r="Q9" s="1441"/>
      <c r="R9" s="1441"/>
      <c r="S9" s="1441"/>
      <c r="T9" s="1441"/>
      <c r="U9" s="1441"/>
      <c r="V9" s="1441"/>
      <c r="W9" s="1439">
        <v>10</v>
      </c>
    </row>
    <row customHeight="1" ht="25.2">
      <c r="E10" s="1441"/>
      <c r="F10" s="2707" t="s">
        <v>91</v>
      </c>
      <c r="G10" s="2712" t="s">
        <v>1087</v>
      </c>
      <c r="H10" s="2710" t="s">
        <v>1088</v>
      </c>
      <c r="I10" s="2710"/>
      <c r="J10" s="2710"/>
      <c r="K10" s="1517"/>
      <c r="L10" s="1441"/>
      <c r="M10" s="1441"/>
      <c r="N10" s="1441"/>
      <c r="O10" s="1441"/>
      <c r="P10" s="1441"/>
      <c r="Q10" s="1441"/>
      <c r="R10" s="1441"/>
      <c r="S10" s="1441"/>
      <c r="T10" s="1441"/>
      <c r="U10" s="1441"/>
      <c r="V10" s="1441"/>
      <c r="W10" s="1439">
        <v>24</v>
      </c>
    </row>
    <row customHeight="1" ht="25.5">
      <c r="E11" s="1441"/>
      <c r="F11" s="2708"/>
      <c r="G11" s="2712"/>
      <c r="H11" s="2711">
        <f>INDEX(IP_MAIN_LIST_NAME_IP,MATCH(H8,IP_MAIN_LIST_IP_ID,0))&amp;" ("&amp;INDEX(IP_MAIN_START_DATE,MATCH(H8,IP_MAIN_LIST_IP_ID,0))&amp;"-"&amp;INDEX(IP_MAIN_END_DATE,MATCH(H8,IP_MAIN_LIST_IP_ID,0))&amp;")"</f>
      </c>
      <c r="I11" s="2711"/>
      <c r="J11" s="2711"/>
      <c r="K11" s="1517"/>
      <c r="L11" s="1441"/>
      <c r="M11" s="1441"/>
      <c r="N11" s="1441"/>
      <c r="O11" s="1441"/>
      <c r="P11" s="1441"/>
      <c r="Q11" s="1441"/>
      <c r="R11" s="1441"/>
      <c r="S11" s="1441"/>
      <c r="T11" s="1441"/>
      <c r="U11" s="1441"/>
      <c r="V11" s="1441"/>
      <c r="W11" s="1439">
        <v>24</v>
      </c>
    </row>
    <row customHeight="1" ht="10.5">
      <c r="F12" s="2709"/>
      <c r="G12" s="2712"/>
      <c r="H12" s="1510" t="s">
        <v>1089</v>
      </c>
      <c r="I12" s="1516"/>
      <c r="J12" s="1510"/>
      <c r="K12" s="1518"/>
      <c r="W12" s="1439">
        <v>10</v>
      </c>
    </row>
    <row customHeight="1" ht="10.5" hidden="1">
      <c r="F13" s="1510">
        <v>1</v>
      </c>
      <c r="G13" s="1510">
        <v>2</v>
      </c>
      <c r="H13" s="1510">
        <v>3</v>
      </c>
      <c r="I13" s="1510">
        <v>4</v>
      </c>
      <c r="J13" s="1510">
        <v>5</v>
      </c>
      <c r="K13" s="1518"/>
      <c r="W13" s="1439">
        <v>0</v>
      </c>
    </row>
    <row customHeight="1" ht="11.549999999999999">
      <c r="F14" s="1509" t="s">
        <v>1090</v>
      </c>
      <c r="G14" s="2705" t="s">
        <v>1091</v>
      </c>
      <c r="H14" s="2705"/>
      <c r="I14" s="2705"/>
      <c r="J14" s="2705"/>
      <c r="K14" s="1518"/>
      <c r="W14" s="1439">
        <v>11</v>
      </c>
    </row>
    <row customHeight="1" ht="11.549999999999999">
      <c r="F15" s="1514">
        <v>1</v>
      </c>
      <c r="G15" s="974" t="s">
        <v>1092</v>
      </c>
      <c r="H15" s="1520">
        <f>SUM(I15:J15)</f>
        <v>0</v>
      </c>
      <c r="I15" s="1520">
        <f>SUM(I16:I27)</f>
        <v>0</v>
      </c>
      <c r="J15" s="1509"/>
      <c r="K15" s="1518"/>
      <c r="W15" s="1439">
        <v>11</v>
      </c>
    </row>
    <row customHeight="1" ht="24">
      <c r="F16" s="1514" t="s">
        <v>1093</v>
      </c>
      <c r="G16" s="1521" t="s">
        <v>1094</v>
      </c>
      <c r="H16" s="1520">
        <f>SUM(I16:J16)</f>
        <v>0</v>
      </c>
      <c r="I16" s="1519"/>
      <c r="J16" s="1509"/>
      <c r="K16" s="1518"/>
      <c r="W16" s="1439">
        <v>23</v>
      </c>
    </row>
    <row customHeight="1" ht="24">
      <c r="F17" s="1514" t="s">
        <v>1095</v>
      </c>
      <c r="G17" s="1521" t="s">
        <v>1096</v>
      </c>
      <c r="H17" s="1520">
        <f>SUM(I17:J17)</f>
        <v>0</v>
      </c>
      <c r="I17" s="1519"/>
      <c r="J17" s="1509"/>
      <c r="K17" s="1518"/>
      <c r="W17" s="1439">
        <v>23</v>
      </c>
    </row>
    <row customHeight="1" ht="35.699999999999996">
      <c r="F18" s="1514" t="s">
        <v>1097</v>
      </c>
      <c r="G18" s="1521" t="s">
        <v>1098</v>
      </c>
      <c r="H18" s="1520">
        <f>SUM(I18:J18)</f>
        <v>0</v>
      </c>
      <c r="I18" s="1519"/>
      <c r="J18" s="1509"/>
      <c r="K18" s="1518"/>
      <c r="W18" s="1439">
        <v>34</v>
      </c>
    </row>
    <row customHeight="1" ht="35.699999999999996">
      <c r="F19" s="1514" t="s">
        <v>1099</v>
      </c>
      <c r="G19" s="1521" t="s">
        <v>1100</v>
      </c>
      <c r="H19" s="1520">
        <f>SUM(I19:J19)</f>
        <v>0</v>
      </c>
      <c r="I19" s="1519"/>
      <c r="J19" s="1509"/>
      <c r="K19" s="1518"/>
      <c r="W19" s="1439">
        <v>34</v>
      </c>
    </row>
    <row customHeight="1" ht="48.29999999999999">
      <c r="F20" s="1514" t="s">
        <v>1101</v>
      </c>
      <c r="G20" s="1521" t="s">
        <v>1102</v>
      </c>
      <c r="H20" s="1520">
        <f>SUM(I20:J20)</f>
        <v>0</v>
      </c>
      <c r="I20" s="1519"/>
      <c r="J20" s="1509"/>
      <c r="K20" s="1518"/>
      <c r="W20" s="1439">
        <v>46</v>
      </c>
    </row>
    <row customHeight="1" ht="35.699999999999996">
      <c r="F21" s="1514" t="s">
        <v>1103</v>
      </c>
      <c r="G21" s="1521" t="s">
        <v>1104</v>
      </c>
      <c r="H21" s="1520">
        <f>SUM(I21:J21)</f>
        <v>0</v>
      </c>
      <c r="I21" s="1519"/>
      <c r="J21" s="1509"/>
      <c r="K21" s="1518"/>
      <c r="W21" s="1439">
        <v>34</v>
      </c>
    </row>
    <row customHeight="1" ht="35.699999999999996">
      <c r="F22" s="1514" t="s">
        <v>1105</v>
      </c>
      <c r="G22" s="1521" t="s">
        <v>1106</v>
      </c>
      <c r="H22" s="1520">
        <f>SUM(I22:J22)</f>
        <v>0</v>
      </c>
      <c r="I22" s="1519"/>
      <c r="J22" s="1509"/>
      <c r="K22" s="1518"/>
      <c r="W22" s="1439">
        <v>34</v>
      </c>
    </row>
    <row customHeight="1" ht="24">
      <c r="F23" s="1514" t="s">
        <v>1107</v>
      </c>
      <c r="G23" s="1521" t="s">
        <v>1108</v>
      </c>
      <c r="H23" s="1520">
        <f>SUM(I23:J23)</f>
        <v>0</v>
      </c>
      <c r="I23" s="1519"/>
      <c r="J23" s="1509"/>
      <c r="K23" s="1518"/>
      <c r="W23" s="1439">
        <v>23</v>
      </c>
    </row>
    <row customHeight="1" ht="24">
      <c r="F24" s="1514" t="s">
        <v>1109</v>
      </c>
      <c r="G24" s="1521" t="s">
        <v>1110</v>
      </c>
      <c r="H24" s="1520">
        <f>SUM(I24:J24)</f>
        <v>0</v>
      </c>
      <c r="I24" s="1519"/>
      <c r="J24" s="1509"/>
      <c r="K24" s="1518"/>
      <c r="W24" s="1439">
        <v>23</v>
      </c>
    </row>
    <row customHeight="1" ht="35.699999999999996">
      <c r="F25" s="1514" t="s">
        <v>1111</v>
      </c>
      <c r="G25" s="1521" t="s">
        <v>1112</v>
      </c>
      <c r="H25" s="1520">
        <f>SUM(I25:J25)</f>
        <v>0</v>
      </c>
      <c r="I25" s="1519"/>
      <c r="J25" s="1509"/>
      <c r="K25" s="1518"/>
      <c r="W25" s="1439">
        <v>34</v>
      </c>
    </row>
    <row customHeight="1" ht="35.699999999999996">
      <c r="F26" s="1514" t="s">
        <v>1113</v>
      </c>
      <c r="G26" s="1521" t="s">
        <v>1114</v>
      </c>
      <c r="H26" s="1520">
        <f>SUM(I26:J26)</f>
        <v>0</v>
      </c>
      <c r="I26" s="1519"/>
      <c r="J26" s="1509"/>
      <c r="K26" s="1518"/>
      <c r="W26" s="1439">
        <v>34</v>
      </c>
    </row>
    <row customHeight="1" ht="11.549999999999999">
      <c r="F27" s="1514" t="s">
        <v>1115</v>
      </c>
      <c r="G27" s="1521" t="s">
        <v>1116</v>
      </c>
      <c r="H27" s="1520">
        <f>SUM(I27:J27)</f>
        <v>0</v>
      </c>
      <c r="I27" s="1519"/>
      <c r="J27" s="1509"/>
      <c r="K27" s="1518"/>
      <c r="W27" s="1439">
        <v>11</v>
      </c>
    </row>
    <row customHeight="1" ht="11.549999999999999">
      <c r="F28" s="1514">
        <v>2</v>
      </c>
      <c r="G28" s="974" t="s">
        <v>1117</v>
      </c>
      <c r="H28" s="1520">
        <f>SUM(I28:J28)</f>
        <v>0</v>
      </c>
      <c r="I28" s="1520">
        <f>SUM(I29:I31)</f>
        <v>0</v>
      </c>
      <c r="J28" s="1509"/>
      <c r="K28" s="1518"/>
      <c r="W28" s="1439">
        <v>11</v>
      </c>
    </row>
    <row customHeight="1" ht="11.549999999999999">
      <c r="F29" s="1514" t="s">
        <v>780</v>
      </c>
      <c r="G29" s="1521" t="s">
        <v>1118</v>
      </c>
      <c r="H29" s="1520">
        <f>SUM(I29:J29)</f>
        <v>0</v>
      </c>
      <c r="I29" s="1519"/>
      <c r="J29" s="1509"/>
      <c r="K29" s="1518"/>
      <c r="W29" s="1439">
        <v>11</v>
      </c>
    </row>
    <row customHeight="1" ht="11.549999999999999">
      <c r="F30" s="1514" t="s">
        <v>367</v>
      </c>
      <c r="G30" s="1521" t="s">
        <v>1119</v>
      </c>
      <c r="H30" s="1520">
        <f>SUM(I30:J30)</f>
        <v>0</v>
      </c>
      <c r="I30" s="1519"/>
      <c r="J30" s="1509"/>
      <c r="K30" s="1518"/>
      <c r="W30" s="1439">
        <v>11</v>
      </c>
    </row>
    <row customHeight="1" ht="11.549999999999999">
      <c r="F31" s="1514" t="s">
        <v>370</v>
      </c>
      <c r="G31" s="1521" t="s">
        <v>1120</v>
      </c>
      <c r="H31" s="1520">
        <f>SUM(I31:J31)</f>
        <v>0</v>
      </c>
      <c r="I31" s="1519"/>
      <c r="J31" s="1509"/>
      <c r="K31" s="1518"/>
      <c r="W31" s="1439">
        <v>11</v>
      </c>
    </row>
    <row customHeight="1" ht="11.549999999999999">
      <c r="F32" s="1514">
        <v>3</v>
      </c>
      <c r="G32" s="974" t="s">
        <v>1121</v>
      </c>
      <c r="H32" s="1520">
        <f>SUM(I32:J32)</f>
        <v>0</v>
      </c>
      <c r="I32" s="1520">
        <f>SUM(I33:I34)</f>
        <v>0</v>
      </c>
      <c r="J32" s="1509"/>
      <c r="K32" s="1518"/>
      <c r="W32" s="1439">
        <v>11</v>
      </c>
    </row>
    <row customHeight="1" ht="48.29999999999999">
      <c r="F33" s="1514" t="s">
        <v>384</v>
      </c>
      <c r="G33" s="1521" t="s">
        <v>1122</v>
      </c>
      <c r="H33" s="1520">
        <f>SUM(I33:J33)</f>
        <v>0</v>
      </c>
      <c r="I33" s="1519"/>
      <c r="J33" s="1509"/>
      <c r="K33" s="1518"/>
      <c r="W33" s="1439">
        <v>46</v>
      </c>
    </row>
    <row customHeight="1" ht="11.549999999999999">
      <c r="F34" s="1514" t="s">
        <v>392</v>
      </c>
      <c r="G34" s="1521" t="s">
        <v>1123</v>
      </c>
      <c r="H34" s="1520">
        <f>SUM(I34:J34)</f>
        <v>0</v>
      </c>
      <c r="I34" s="1519"/>
      <c r="J34" s="1509"/>
      <c r="K34" s="1518"/>
      <c r="W34" s="1439">
        <v>11</v>
      </c>
    </row>
    <row customHeight="1" ht="11.549999999999999">
      <c r="F35" s="1514">
        <v>4</v>
      </c>
      <c r="G35" s="974" t="s">
        <v>1124</v>
      </c>
      <c r="H35" s="1520">
        <f>SUM(I35:J35)</f>
        <v>0</v>
      </c>
      <c r="I35" s="1519"/>
      <c r="J35" s="1509"/>
      <c r="K35" s="1518"/>
      <c r="W35" s="1439">
        <v>11</v>
      </c>
    </row>
    <row customHeight="1" ht="11.549999999999999">
      <c r="F36" s="1514"/>
      <c r="G36" s="977" t="s">
        <v>1125</v>
      </c>
      <c r="H36" s="1520">
        <f>SUM(I36:J36)</f>
        <v>0</v>
      </c>
      <c r="I36" s="1520">
        <f>SUM(I15,I28,I32,I35)</f>
        <v>0</v>
      </c>
      <c r="J36" s="1509"/>
      <c r="K36" s="1518"/>
      <c r="W36" s="1439">
        <v>11</v>
      </c>
    </row>
    <row customHeight="1" ht="29.25">
      <c r="F37" s="1515" t="s">
        <v>1126</v>
      </c>
      <c r="G37" s="2706" t="s">
        <v>1127</v>
      </c>
      <c r="H37" s="2706"/>
      <c r="I37" s="2706"/>
      <c r="J37" s="2706"/>
      <c r="K37" s="1518"/>
      <c r="W37" s="1439">
        <v>28</v>
      </c>
    </row>
    <row customHeight="1" ht="24">
      <c r="F38" s="1514" t="s">
        <v>141</v>
      </c>
      <c r="G38" s="974" t="s">
        <v>1128</v>
      </c>
      <c r="H38" s="1520">
        <f>SUM(I38:J38)</f>
        <v>0</v>
      </c>
      <c r="I38" s="1520">
        <f>SUM(I39,I44,I47)</f>
        <v>0</v>
      </c>
      <c r="J38" s="1509"/>
      <c r="K38" s="1518"/>
      <c r="W38" s="1439">
        <v>23</v>
      </c>
    </row>
    <row customHeight="1" ht="11.549999999999999">
      <c r="F39" s="1514" t="s">
        <v>1093</v>
      </c>
      <c r="G39" s="1521" t="s">
        <v>1092</v>
      </c>
      <c r="H39" s="1520">
        <f>SUM(I39:J39)</f>
        <v>0</v>
      </c>
      <c r="I39" s="1520">
        <f>SUM(I40:I43)</f>
        <v>0</v>
      </c>
      <c r="J39" s="1509"/>
      <c r="K39" s="1518"/>
      <c r="W39" s="1439">
        <v>11</v>
      </c>
    </row>
    <row customHeight="1" ht="24">
      <c r="F40" s="1514" t="s">
        <v>1129</v>
      </c>
      <c r="G40" s="1522" t="s">
        <v>1130</v>
      </c>
      <c r="H40" s="1520">
        <f>SUM(I40:J40)</f>
        <v>0</v>
      </c>
      <c r="I40" s="1519"/>
      <c r="J40" s="1509"/>
      <c r="K40" s="1518"/>
      <c r="W40" s="1439">
        <v>23</v>
      </c>
    </row>
    <row customHeight="1" ht="11.549999999999999">
      <c r="F41" s="1514" t="s">
        <v>1131</v>
      </c>
      <c r="G41" s="1522" t="s">
        <v>1132</v>
      </c>
      <c r="H41" s="1520">
        <f>SUM(I41:J41)</f>
        <v>0</v>
      </c>
      <c r="I41" s="1519"/>
      <c r="J41" s="1509"/>
      <c r="K41" s="1518"/>
      <c r="W41" s="1439">
        <v>11</v>
      </c>
    </row>
    <row customHeight="1" ht="11.549999999999999">
      <c r="F42" s="1514" t="s">
        <v>1133</v>
      </c>
      <c r="G42" s="1522" t="s">
        <v>1134</v>
      </c>
      <c r="H42" s="1520">
        <f>SUM(I42:J42)</f>
        <v>0</v>
      </c>
      <c r="I42" s="1519"/>
      <c r="J42" s="1509"/>
      <c r="K42" s="1518"/>
      <c r="W42" s="1439">
        <v>11</v>
      </c>
    </row>
    <row customHeight="1" ht="35.699999999999996">
      <c r="F43" s="1514" t="s">
        <v>1135</v>
      </c>
      <c r="G43" s="1522" t="s">
        <v>1136</v>
      </c>
      <c r="H43" s="1520">
        <f>SUM(I43:J43)</f>
        <v>0</v>
      </c>
      <c r="I43" s="1519"/>
      <c r="J43" s="1509"/>
      <c r="K43" s="1518"/>
      <c r="W43" s="1439">
        <v>34</v>
      </c>
    </row>
    <row customHeight="1" ht="11.549999999999999">
      <c r="F44" s="1514" t="s">
        <v>1095</v>
      </c>
      <c r="G44" s="1521" t="s">
        <v>1121</v>
      </c>
      <c r="H44" s="1520">
        <f>SUM(I44:J44)</f>
        <v>0</v>
      </c>
      <c r="I44" s="1520">
        <f>SUM(I45:I46)</f>
        <v>0</v>
      </c>
      <c r="J44" s="1509"/>
      <c r="K44" s="1518"/>
      <c r="W44" s="1439">
        <v>11</v>
      </c>
    </row>
    <row customHeight="1" ht="48.29999999999999">
      <c r="F45" s="1514" t="s">
        <v>1137</v>
      </c>
      <c r="G45" s="1522" t="s">
        <v>1122</v>
      </c>
      <c r="H45" s="1520">
        <f>SUM(I45:J45)</f>
        <v>0</v>
      </c>
      <c r="I45" s="1519"/>
      <c r="J45" s="1509"/>
      <c r="K45" s="1518"/>
      <c r="W45" s="1439">
        <v>46</v>
      </c>
    </row>
    <row customHeight="1" ht="11.549999999999999">
      <c r="F46" s="1514" t="s">
        <v>1138</v>
      </c>
      <c r="G46" s="1522" t="s">
        <v>1123</v>
      </c>
      <c r="H46" s="1520">
        <f>SUM(I46:J46)</f>
        <v>0</v>
      </c>
      <c r="I46" s="1519"/>
      <c r="J46" s="1509"/>
      <c r="K46" s="1518"/>
      <c r="W46" s="1439">
        <v>11</v>
      </c>
    </row>
    <row customHeight="1" ht="11.549999999999999">
      <c r="F47" s="1514" t="s">
        <v>1097</v>
      </c>
      <c r="G47" s="1521" t="s">
        <v>1139</v>
      </c>
      <c r="H47" s="1520">
        <f>SUM(I47:J47)</f>
        <v>0</v>
      </c>
      <c r="I47" s="1519"/>
      <c r="J47" s="1509"/>
      <c r="K47" s="1518"/>
      <c r="W47" s="1439">
        <v>11</v>
      </c>
    </row>
    <row customHeight="1" ht="24">
      <c r="F48" s="1514" t="s">
        <v>105</v>
      </c>
      <c r="G48" s="974" t="s">
        <v>1140</v>
      </c>
      <c r="H48" s="1520">
        <f>SUM(I48:J48)</f>
        <v>0</v>
      </c>
      <c r="I48" s="1520">
        <f>SUM(I49,I54,I57)</f>
        <v>0</v>
      </c>
      <c r="J48" s="1509"/>
      <c r="K48" s="1518"/>
      <c r="W48" s="1439">
        <v>23</v>
      </c>
    </row>
    <row customHeight="1" ht="11.549999999999999">
      <c r="F49" s="1514" t="s">
        <v>780</v>
      </c>
      <c r="G49" s="1521" t="s">
        <v>1092</v>
      </c>
      <c r="H49" s="1520">
        <f>SUM(I49:J49)</f>
        <v>0</v>
      </c>
      <c r="I49" s="1520">
        <f>SUM(I50:I53)</f>
        <v>0</v>
      </c>
      <c r="J49" s="1509"/>
      <c r="K49" s="1518"/>
      <c r="W49" s="1439">
        <v>11</v>
      </c>
    </row>
    <row customHeight="1" ht="24">
      <c r="F50" s="1514" t="s">
        <v>783</v>
      </c>
      <c r="G50" s="1522" t="s">
        <v>1130</v>
      </c>
      <c r="H50" s="1520">
        <f>SUM(I50:J50)</f>
        <v>0</v>
      </c>
      <c r="I50" s="1519"/>
      <c r="J50" s="1509"/>
      <c r="K50" s="1518"/>
      <c r="W50" s="1439">
        <v>23</v>
      </c>
    </row>
    <row customHeight="1" ht="11.549999999999999">
      <c r="F51" s="1514" t="s">
        <v>786</v>
      </c>
      <c r="G51" s="1522" t="s">
        <v>1132</v>
      </c>
      <c r="H51" s="1520">
        <f>SUM(I51:J51)</f>
        <v>0</v>
      </c>
      <c r="I51" s="1519"/>
      <c r="J51" s="1509"/>
      <c r="K51" s="1518"/>
      <c r="W51" s="1439">
        <v>11</v>
      </c>
    </row>
    <row customHeight="1" ht="11.549999999999999">
      <c r="F52" s="1514" t="s">
        <v>1141</v>
      </c>
      <c r="G52" s="1522" t="s">
        <v>1134</v>
      </c>
      <c r="H52" s="1520">
        <f>SUM(I52:J52)</f>
        <v>0</v>
      </c>
      <c r="I52" s="1519"/>
      <c r="J52" s="1509"/>
      <c r="K52" s="1518"/>
      <c r="W52" s="1439">
        <v>11</v>
      </c>
    </row>
    <row customHeight="1" ht="35.699999999999996">
      <c r="F53" s="1514" t="s">
        <v>1142</v>
      </c>
      <c r="G53" s="1522" t="s">
        <v>1136</v>
      </c>
      <c r="H53" s="1520">
        <f>SUM(I53:J53)</f>
        <v>0</v>
      </c>
      <c r="I53" s="1519"/>
      <c r="J53" s="1509"/>
      <c r="K53" s="1518"/>
      <c r="W53" s="1439">
        <v>34</v>
      </c>
    </row>
    <row customHeight="1" ht="11.549999999999999">
      <c r="F54" s="1514" t="s">
        <v>367</v>
      </c>
      <c r="G54" s="1521" t="s">
        <v>1121</v>
      </c>
      <c r="H54" s="1520">
        <f>SUM(I54:J54)</f>
        <v>0</v>
      </c>
      <c r="I54" s="1520">
        <f>SUM(I55:I56)</f>
        <v>0</v>
      </c>
      <c r="J54" s="1509"/>
      <c r="K54" s="1518"/>
      <c r="W54" s="1439">
        <v>11</v>
      </c>
    </row>
    <row customHeight="1" ht="48.29999999999999">
      <c r="F55" s="1514" t="s">
        <v>790</v>
      </c>
      <c r="G55" s="1522" t="s">
        <v>1122</v>
      </c>
      <c r="H55" s="1520">
        <f>SUM(I55:J55)</f>
        <v>0</v>
      </c>
      <c r="I55" s="1519"/>
      <c r="J55" s="1509"/>
      <c r="K55" s="1518"/>
      <c r="W55" s="1439">
        <v>46</v>
      </c>
    </row>
    <row customHeight="1" ht="11.549999999999999">
      <c r="F56" s="1514" t="s">
        <v>792</v>
      </c>
      <c r="G56" s="1522" t="s">
        <v>1123</v>
      </c>
      <c r="H56" s="1520">
        <f>SUM(I56:J56)</f>
        <v>0</v>
      </c>
      <c r="I56" s="1519"/>
      <c r="J56" s="1509"/>
      <c r="K56" s="1518"/>
      <c r="W56" s="1439">
        <v>11</v>
      </c>
    </row>
    <row customHeight="1" ht="11.549999999999999">
      <c r="F57" s="1514" t="s">
        <v>370</v>
      </c>
      <c r="G57" s="1521" t="s">
        <v>1139</v>
      </c>
      <c r="H57" s="1520">
        <f>SUM(I57:J57)</f>
        <v>0</v>
      </c>
      <c r="I57" s="1519"/>
      <c r="J57" s="1509"/>
      <c r="K57" s="1518"/>
      <c r="W57" s="1439">
        <v>11</v>
      </c>
    </row>
    <row customHeight="1" ht="11.549999999999999">
      <c r="F58" s="1514"/>
      <c r="G58" s="1523" t="s">
        <v>1125</v>
      </c>
      <c r="H58" s="1520">
        <f>SUM(I58:J58)</f>
        <v>0</v>
      </c>
      <c r="I58" s="1520">
        <f>SUM(I38,I48)</f>
        <v>0</v>
      </c>
      <c r="J58" s="1509"/>
      <c r="K58" s="1518"/>
      <c r="W58" s="1439">
        <v>11</v>
      </c>
    </row>
    <row customHeight="1" ht="10.5" hidden="1">
      <c r="A59" s="1450" t="s">
        <v>85</v>
      </c>
      <c r="B59" s="1450">
        <v>0</v>
      </c>
      <c r="C59" s="1450">
        <v>0</v>
      </c>
      <c r="D59" s="1444">
        <v>0</v>
      </c>
      <c r="E59" s="793">
        <v>3</v>
      </c>
      <c r="F59" s="1439">
        <v>6</v>
      </c>
      <c r="G59" s="1439">
        <v>60</v>
      </c>
      <c r="H59" s="1439">
        <v>0</v>
      </c>
      <c r="I59" s="1439">
        <v>0</v>
      </c>
      <c r="J59" s="1439">
        <v>0</v>
      </c>
      <c r="K59" s="1439">
        <v>1</v>
      </c>
      <c r="L59" s="1439">
        <v>8</v>
      </c>
      <c r="M59" s="1439">
        <v>8</v>
      </c>
      <c r="N59" s="1439">
        <v>8</v>
      </c>
      <c r="O59" s="1439">
        <v>8</v>
      </c>
      <c r="P59" s="1439">
        <v>8</v>
      </c>
      <c r="Q59" s="1439">
        <v>8</v>
      </c>
      <c r="R59" s="1439">
        <v>8</v>
      </c>
      <c r="S59" s="1439">
        <v>8</v>
      </c>
      <c r="T59" s="1439">
        <v>8</v>
      </c>
      <c r="U59" s="1439">
        <v>8</v>
      </c>
      <c r="V59" s="1439">
        <v>8</v>
      </c>
      <c r="W59" s="1439">
        <v>10</v>
      </c>
    </row>
  </sheetData>
  <sheetProtection sheet="1" formatColumns="0" formatRows="0" autoFilter="0" sort="1" insertRows="1" insertColumns="1" deleteRows="1" deleteColumns="1"/>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8A9707-C6F2-8A5E-2EB4-2D89A586E8D1}"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37964" width="4.7109375" hidden="1" customWidth="1"/>
    <col min="2" max="2" style="37970" width="4.7109375" hidden="1" customWidth="1"/>
    <col min="3" max="4" style="37964" width="4.7109375" hidden="1" customWidth="1"/>
    <col min="5" max="5" style="37964" width="3.00390625" customWidth="1"/>
    <col min="6" max="6" style="37964" width="6.00390625" customWidth="1"/>
    <col min="7" max="7" style="37964" width="18.00390625" customWidth="1"/>
    <col min="8" max="8" style="37964" width="27.00390625" customWidth="1"/>
    <col min="9" max="9" style="37964" width="18.00390625" customWidth="1"/>
    <col min="10" max="14" style="37964" width="0.8515625" hidden="1" customWidth="1"/>
    <col min="15" max="28" style="37964" width="21.7109375" customWidth="1"/>
    <col min="29" max="71" style="37964" width="0.8515625" customWidth="1"/>
    <col min="72" max="79" style="37964" width="21.7109375" hidden="1" customWidth="1"/>
    <col min="80" max="81" style="37964" width="29.140625" hidden="1" customWidth="1"/>
    <col min="82" max="89" style="37964" width="21.7109375" hidden="1" customWidth="1"/>
    <col min="90" max="102" style="37964" width="0.7109375" hidden="1" customWidth="1"/>
    <col min="103" max="114" style="37964" width="21.7109375" hidden="1" customWidth="1"/>
    <col min="115" max="178" style="37964" width="0.7109375" hidden="1" customWidth="1"/>
    <col min="179" max="179" style="37964" width="0.140625" customWidth="1"/>
    <col min="180" max="184" style="37964" width="8.00390625" customWidth="1"/>
    <col min="185" max="185" style="37964" width="9.140625" hidden="1"/>
  </cols>
  <sheetData>
    <row s="37894" customFormat="1" customHeight="1" ht="12" hidden="1">
      <c r="B1" s="1207"/>
      <c r="C1" s="1208"/>
      <c r="D1" s="1208"/>
      <c r="GC1" s="1206" t="s">
        <v>14</v>
      </c>
    </row>
    <row s="37894" customFormat="1" customHeight="1" ht="12" hidden="1">
      <c r="B2" s="1207"/>
      <c r="C2" s="1208"/>
      <c r="D2" s="1208"/>
      <c r="E2" s="1208"/>
      <c r="F2" s="1208"/>
      <c r="G2" s="1208"/>
      <c r="H2" s="1208"/>
      <c r="I2" s="1208"/>
      <c r="J2" s="1208"/>
      <c r="K2" s="1208"/>
      <c r="L2" s="1208"/>
      <c r="M2" s="1208"/>
      <c r="N2" s="1208"/>
      <c r="O2" s="1208"/>
      <c r="P2" s="1208"/>
      <c r="Q2" s="1208"/>
      <c r="R2" s="1208"/>
      <c r="S2" s="1208"/>
      <c r="T2" s="1208"/>
      <c r="U2" s="1208"/>
      <c r="V2" s="1208"/>
      <c r="W2" s="1208"/>
      <c r="X2" s="1208"/>
      <c r="Y2" s="1208"/>
      <c r="Z2" s="1208"/>
      <c r="AA2" s="1208"/>
      <c r="AB2" s="1209"/>
      <c r="AC2" s="1208"/>
      <c r="AD2" s="1208"/>
      <c r="AE2" s="1208"/>
      <c r="AF2" s="1208"/>
      <c r="AG2" s="1208"/>
      <c r="AH2" s="1208"/>
      <c r="AI2" s="1208"/>
      <c r="AJ2" s="1208"/>
      <c r="AK2" s="1208"/>
      <c r="AL2" s="1208"/>
      <c r="AM2" s="1208"/>
      <c r="AN2" s="1208"/>
      <c r="AO2" s="1208"/>
      <c r="AP2" s="1208"/>
      <c r="AQ2" s="1208"/>
      <c r="AR2" s="1208"/>
      <c r="AS2" s="1208"/>
      <c r="AT2" s="1208"/>
      <c r="AU2" s="1208"/>
      <c r="AV2" s="1208"/>
      <c r="AW2" s="1208"/>
      <c r="AX2" s="1208"/>
      <c r="AY2" s="1208"/>
      <c r="AZ2" s="1208"/>
      <c r="BA2" s="1208"/>
      <c r="BB2" s="1208"/>
      <c r="BC2" s="1208"/>
      <c r="BD2" s="1208"/>
      <c r="BE2" s="1208"/>
      <c r="BF2" s="1208"/>
      <c r="BG2" s="1208"/>
      <c r="BH2" s="1208"/>
      <c r="BI2" s="1208"/>
      <c r="BJ2" s="1208"/>
      <c r="BK2" s="1208"/>
      <c r="BL2" s="1208"/>
      <c r="BM2" s="1208"/>
      <c r="BN2" s="1208"/>
      <c r="BO2" s="1208"/>
      <c r="BP2" s="1208"/>
      <c r="BQ2" s="1208"/>
      <c r="BR2" s="1208"/>
      <c r="BS2" s="1208"/>
      <c r="BT2" s="1208"/>
      <c r="BU2" s="1208"/>
      <c r="BV2" s="1208"/>
      <c r="BW2" s="1208"/>
      <c r="BX2" s="1208"/>
      <c r="BY2" s="1208"/>
      <c r="BZ2" s="1208"/>
      <c r="CA2" s="1208"/>
      <c r="CB2" s="1208"/>
      <c r="CC2" s="1208"/>
      <c r="CD2" s="1208"/>
      <c r="CE2" s="1208"/>
      <c r="CF2" s="1208"/>
      <c r="CG2" s="1208"/>
      <c r="CH2" s="1208"/>
      <c r="CI2" s="1208"/>
      <c r="CJ2" s="1208"/>
      <c r="CK2" s="1208"/>
      <c r="CL2" s="1208"/>
      <c r="CM2" s="1208"/>
      <c r="CN2" s="1208"/>
      <c r="CO2" s="1208"/>
      <c r="CP2" s="1208"/>
      <c r="CQ2" s="1208"/>
      <c r="CR2" s="1208"/>
      <c r="CS2" s="1208"/>
      <c r="CT2" s="1208"/>
      <c r="CU2" s="1208"/>
      <c r="CV2" s="1208"/>
      <c r="CW2" s="1208"/>
      <c r="CX2" s="1208"/>
      <c r="CY2" s="1208"/>
      <c r="CZ2" s="1208"/>
      <c r="DA2" s="1208"/>
      <c r="DB2" s="1208"/>
      <c r="DC2" s="1208"/>
      <c r="DD2" s="1208"/>
      <c r="DE2" s="1208"/>
      <c r="DF2" s="1208"/>
      <c r="DG2" s="1208"/>
      <c r="DH2" s="1208"/>
      <c r="DI2" s="1208"/>
      <c r="DJ2" s="1208"/>
      <c r="DK2" s="1208"/>
      <c r="DL2" s="1208"/>
      <c r="DM2" s="1208"/>
      <c r="DN2" s="1208"/>
      <c r="DO2" s="1208"/>
      <c r="DP2" s="1208"/>
      <c r="DQ2" s="1208"/>
      <c r="DR2" s="1208"/>
      <c r="DS2" s="1208"/>
      <c r="DT2" s="1208"/>
      <c r="DU2" s="1208"/>
      <c r="DV2" s="1208"/>
      <c r="DW2" s="1208"/>
      <c r="DX2" s="1208"/>
      <c r="DY2" s="1208"/>
      <c r="DZ2" s="1208"/>
      <c r="EA2" s="1208"/>
      <c r="EB2" s="1208"/>
      <c r="EC2" s="1208"/>
      <c r="ED2" s="1208"/>
      <c r="EE2" s="1208"/>
      <c r="EF2" s="1208"/>
      <c r="EG2" s="1208"/>
      <c r="EH2" s="1208"/>
      <c r="EI2" s="1208"/>
      <c r="EJ2" s="1208"/>
      <c r="EK2" s="1208"/>
      <c r="EL2" s="1208"/>
      <c r="EM2" s="1208"/>
      <c r="EN2" s="1208"/>
      <c r="EO2" s="1208"/>
      <c r="EP2" s="1208"/>
      <c r="EQ2" s="1208"/>
      <c r="ER2" s="1208"/>
      <c r="ES2" s="1208"/>
      <c r="ET2" s="1208"/>
      <c r="EU2" s="1208"/>
      <c r="EV2" s="1208"/>
      <c r="EW2" s="1208"/>
      <c r="EX2" s="1208"/>
      <c r="EY2" s="1208"/>
      <c r="EZ2" s="1208"/>
      <c r="FA2" s="1208"/>
      <c r="FB2" s="1208"/>
      <c r="FC2" s="1208"/>
      <c r="FD2" s="1208"/>
      <c r="FE2" s="1208"/>
      <c r="FF2" s="1208"/>
      <c r="FG2" s="1208"/>
      <c r="FH2" s="1208"/>
      <c r="FI2" s="1208"/>
      <c r="FJ2" s="1208"/>
      <c r="FK2" s="1208"/>
      <c r="FL2" s="1208"/>
      <c r="FM2" s="1208"/>
      <c r="FN2" s="1208"/>
      <c r="FO2" s="1208"/>
      <c r="FP2" s="1208"/>
      <c r="FQ2" s="1208"/>
      <c r="FR2" s="1208"/>
      <c r="FS2" s="1208"/>
      <c r="FT2" s="1208"/>
      <c r="FU2" s="1208"/>
      <c r="FV2" s="1208"/>
      <c r="FW2" s="1208"/>
      <c r="GC2" s="1206">
        <v>0</v>
      </c>
    </row>
    <row s="37894" customFormat="1" customHeight="1" ht="12" hidden="1">
      <c r="B3" s="1207"/>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9"/>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208"/>
      <c r="AY3" s="1208"/>
      <c r="AZ3" s="1208"/>
      <c r="BA3" s="1208"/>
      <c r="BB3" s="1208"/>
      <c r="BC3" s="1208"/>
      <c r="BD3" s="1208"/>
      <c r="BE3" s="1208"/>
      <c r="BF3" s="1208"/>
      <c r="BG3" s="1208"/>
      <c r="BH3" s="1208"/>
      <c r="BI3" s="1208"/>
      <c r="BJ3" s="1208"/>
      <c r="BK3" s="1208"/>
      <c r="BL3" s="1208"/>
      <c r="BM3" s="1208"/>
      <c r="BN3" s="1208"/>
      <c r="BO3" s="1208"/>
      <c r="BP3" s="1208"/>
      <c r="BQ3" s="1208"/>
      <c r="BR3" s="1208"/>
      <c r="BS3" s="1208"/>
      <c r="BT3" s="1208"/>
      <c r="BU3" s="1208"/>
      <c r="BV3" s="1208"/>
      <c r="BW3" s="1208"/>
      <c r="BX3" s="1208"/>
      <c r="BY3" s="1208"/>
      <c r="BZ3" s="1208"/>
      <c r="CA3" s="1208"/>
      <c r="CB3" s="1208"/>
      <c r="CC3" s="1208"/>
      <c r="CD3" s="1208"/>
      <c r="CE3" s="1208"/>
      <c r="CF3" s="1208"/>
      <c r="CG3" s="1208"/>
      <c r="CH3" s="1208"/>
      <c r="CI3" s="1208"/>
      <c r="CJ3" s="1208"/>
      <c r="CK3" s="1208"/>
      <c r="CL3" s="1208"/>
      <c r="CM3" s="1208"/>
      <c r="CN3" s="1208"/>
      <c r="CO3" s="1208"/>
      <c r="CP3" s="1208"/>
      <c r="CQ3" s="1208"/>
      <c r="CR3" s="1208"/>
      <c r="CS3" s="1208"/>
      <c r="CT3" s="1208"/>
      <c r="CU3" s="1208"/>
      <c r="CV3" s="1208"/>
      <c r="CW3" s="1208"/>
      <c r="CX3" s="1208"/>
      <c r="CY3" s="1208"/>
      <c r="CZ3" s="1208"/>
      <c r="DA3" s="1208"/>
      <c r="DB3" s="1208"/>
      <c r="DC3" s="1208"/>
      <c r="DD3" s="1208"/>
      <c r="DE3" s="1208"/>
      <c r="DF3" s="1208"/>
      <c r="DG3" s="1208"/>
      <c r="DH3" s="1208"/>
      <c r="DI3" s="1208"/>
      <c r="DJ3" s="1208"/>
      <c r="DK3" s="1208"/>
      <c r="DL3" s="1208"/>
      <c r="DM3" s="1208"/>
      <c r="DN3" s="1208"/>
      <c r="DO3" s="1208"/>
      <c r="DP3" s="1208"/>
      <c r="DQ3" s="1208"/>
      <c r="DR3" s="1208"/>
      <c r="DS3" s="1208"/>
      <c r="DT3" s="1208"/>
      <c r="DU3" s="1208"/>
      <c r="DV3" s="1208"/>
      <c r="DW3" s="1208"/>
      <c r="DX3" s="1208"/>
      <c r="DY3" s="1208"/>
      <c r="DZ3" s="1208"/>
      <c r="EA3" s="1208"/>
      <c r="EB3" s="1208"/>
      <c r="EC3" s="1208"/>
      <c r="ED3" s="1208"/>
      <c r="EE3" s="1208"/>
      <c r="EF3" s="1208"/>
      <c r="EG3" s="1208"/>
      <c r="EH3" s="1208"/>
      <c r="EI3" s="1208"/>
      <c r="EJ3" s="1208"/>
      <c r="EK3" s="1208"/>
      <c r="EL3" s="1208"/>
      <c r="EM3" s="1208"/>
      <c r="EN3" s="1208"/>
      <c r="EO3" s="1208"/>
      <c r="EP3" s="1208"/>
      <c r="EQ3" s="1208"/>
      <c r="ER3" s="1208"/>
      <c r="ES3" s="1208"/>
      <c r="ET3" s="1208"/>
      <c r="EU3" s="1208"/>
      <c r="EV3" s="1208"/>
      <c r="EW3" s="1208"/>
      <c r="EX3" s="1208"/>
      <c r="EY3" s="1208"/>
      <c r="EZ3" s="1208"/>
      <c r="FA3" s="1208"/>
      <c r="FB3" s="1208"/>
      <c r="FC3" s="1208"/>
      <c r="FD3" s="1208"/>
      <c r="FE3" s="1208"/>
      <c r="FF3" s="1208"/>
      <c r="FG3" s="1208"/>
      <c r="FH3" s="1208"/>
      <c r="FI3" s="1208"/>
      <c r="FJ3" s="1208"/>
      <c r="FK3" s="1208"/>
      <c r="FL3" s="1208"/>
      <c r="FM3" s="1208"/>
      <c r="FN3" s="1208"/>
      <c r="FO3" s="1208"/>
      <c r="FP3" s="1208"/>
      <c r="FQ3" s="1208"/>
      <c r="FR3" s="1208"/>
      <c r="FS3" s="1208"/>
      <c r="FT3" s="1208"/>
      <c r="FU3" s="1208"/>
      <c r="FV3" s="1208"/>
      <c r="FW3" s="1208"/>
      <c r="GC3" s="1206">
        <v>0</v>
      </c>
    </row>
    <row customHeight="1" ht="10.5">
      <c r="B4" s="1211"/>
      <c r="C4" s="1212"/>
      <c r="D4" s="1212"/>
      <c r="E4" s="1212"/>
      <c r="F4" s="1212"/>
      <c r="G4" s="1212"/>
      <c r="H4" s="1213"/>
      <c r="I4" s="1213"/>
      <c r="J4" s="1213"/>
      <c r="K4" s="1213"/>
      <c r="L4" s="1213"/>
      <c r="M4" s="1214"/>
      <c r="N4" s="1214"/>
      <c r="O4" s="1214"/>
      <c r="P4" s="1214"/>
      <c r="Q4" s="1214"/>
      <c r="R4" s="1214"/>
      <c r="S4" s="1214"/>
      <c r="T4" s="1214"/>
      <c r="U4" s="1214"/>
      <c r="V4" s="1214"/>
      <c r="W4" s="1214"/>
      <c r="X4" s="1214"/>
      <c r="Y4" s="1214"/>
      <c r="Z4" s="1214"/>
      <c r="AA4" s="1214"/>
      <c r="AB4" s="1214"/>
      <c r="AC4" s="1214"/>
      <c r="AD4" s="1214"/>
      <c r="AE4" s="1214"/>
      <c r="AF4" s="1214"/>
      <c r="AG4" s="1214"/>
      <c r="AH4" s="1214"/>
      <c r="AI4" s="1214"/>
      <c r="AJ4" s="1214"/>
      <c r="AK4" s="1214"/>
      <c r="AL4" s="1214"/>
      <c r="AM4" s="1214"/>
      <c r="AN4" s="1214"/>
      <c r="AO4" s="1214"/>
      <c r="AP4" s="1214"/>
      <c r="AQ4" s="1214"/>
      <c r="AR4" s="1214"/>
      <c r="AS4" s="1214"/>
      <c r="AT4" s="1214"/>
      <c r="AU4" s="1214"/>
      <c r="AV4" s="1214"/>
      <c r="AW4" s="1214"/>
      <c r="AX4" s="1214"/>
      <c r="AY4" s="1214"/>
      <c r="AZ4" s="1214"/>
      <c r="BA4" s="1214"/>
      <c r="BB4" s="1214"/>
      <c r="BC4" s="1214"/>
      <c r="BD4" s="1214"/>
      <c r="BE4" s="1214"/>
      <c r="BF4" s="1214"/>
      <c r="BG4" s="1214"/>
      <c r="BH4" s="1214"/>
      <c r="BI4" s="1214"/>
      <c r="BJ4" s="1214"/>
      <c r="BK4" s="1214"/>
      <c r="BL4" s="1214"/>
      <c r="BM4" s="1214"/>
      <c r="BN4" s="1214"/>
      <c r="BO4" s="1214"/>
      <c r="BP4" s="1214"/>
      <c r="BQ4" s="1214"/>
      <c r="BR4" s="1214"/>
      <c r="BS4" s="1214"/>
      <c r="BT4" s="1214"/>
      <c r="BU4" s="1214"/>
      <c r="BV4" s="1214"/>
      <c r="BW4" s="1214"/>
      <c r="BX4" s="1214"/>
      <c r="BY4" s="1214"/>
      <c r="BZ4" s="1214"/>
      <c r="CA4" s="1214"/>
      <c r="CB4" s="1214"/>
      <c r="CC4" s="1214"/>
      <c r="CD4" s="1214"/>
      <c r="CE4" s="1214"/>
      <c r="CF4" s="1214"/>
      <c r="CG4" s="1214"/>
      <c r="CH4" s="1214"/>
      <c r="CI4" s="1214"/>
      <c r="CJ4" s="1214"/>
      <c r="CK4" s="1214"/>
      <c r="CL4" s="1214"/>
      <c r="CM4" s="1214"/>
      <c r="CN4" s="1214"/>
      <c r="CO4" s="1214"/>
      <c r="CP4" s="1214"/>
      <c r="CQ4" s="1214"/>
      <c r="CR4" s="1214"/>
      <c r="CS4" s="1214"/>
      <c r="CT4" s="1214"/>
      <c r="CU4" s="1214"/>
      <c r="CV4" s="1214"/>
      <c r="CW4" s="1214"/>
      <c r="CX4" s="1214"/>
      <c r="CY4" s="1214"/>
      <c r="CZ4" s="1214"/>
      <c r="DA4" s="1214"/>
      <c r="DB4" s="1214"/>
      <c r="DC4" s="1214"/>
      <c r="DD4" s="1214"/>
      <c r="DE4" s="1214"/>
      <c r="DF4" s="1214"/>
      <c r="DG4" s="1214"/>
      <c r="DH4" s="1214"/>
      <c r="DI4" s="1214"/>
      <c r="DJ4" s="1214"/>
      <c r="DK4" s="1214"/>
      <c r="DL4" s="1214"/>
      <c r="DM4" s="1214"/>
      <c r="DN4" s="1214"/>
      <c r="DO4" s="1214"/>
      <c r="DP4" s="1214"/>
      <c r="DQ4" s="1214"/>
      <c r="DR4" s="1214"/>
      <c r="DS4" s="1214"/>
      <c r="DT4" s="1214"/>
      <c r="DU4" s="1214"/>
      <c r="DV4" s="1214"/>
      <c r="DW4" s="1214"/>
      <c r="DX4" s="1214"/>
      <c r="DY4" s="1214"/>
      <c r="DZ4" s="1214"/>
      <c r="EA4" s="1214"/>
      <c r="EB4" s="1214"/>
      <c r="EC4" s="1214"/>
      <c r="ED4" s="1214"/>
      <c r="EE4" s="1214"/>
      <c r="EF4" s="1214"/>
      <c r="EG4" s="1214"/>
      <c r="EH4" s="1214"/>
      <c r="EI4" s="1214"/>
      <c r="EJ4" s="1214"/>
      <c r="EK4" s="1214"/>
      <c r="EL4" s="1214"/>
      <c r="EM4" s="1214"/>
      <c r="EN4" s="1214"/>
      <c r="EO4" s="1214"/>
      <c r="EP4" s="1214"/>
      <c r="EQ4" s="1214"/>
      <c r="ER4" s="1214"/>
      <c r="ES4" s="1214"/>
      <c r="ET4" s="1214"/>
      <c r="EU4" s="1214"/>
      <c r="EV4" s="1214"/>
      <c r="EW4" s="1214"/>
      <c r="EX4" s="1214"/>
      <c r="EY4" s="1214"/>
      <c r="EZ4" s="1214"/>
      <c r="FA4" s="1214"/>
      <c r="FB4" s="1214"/>
      <c r="FC4" s="1214"/>
      <c r="FD4" s="1214"/>
      <c r="FE4" s="1214"/>
      <c r="FF4" s="1214"/>
      <c r="FG4" s="1214"/>
      <c r="FH4" s="1214"/>
      <c r="FI4" s="1214"/>
      <c r="FJ4" s="1214"/>
      <c r="FK4" s="1214"/>
      <c r="FL4" s="1214"/>
      <c r="FM4" s="1214"/>
      <c r="FN4" s="1214"/>
      <c r="FO4" s="1214"/>
      <c r="FP4" s="1214"/>
      <c r="FQ4" s="1214"/>
      <c r="FR4" s="1214"/>
      <c r="FS4" s="1214"/>
      <c r="FT4" s="1214"/>
      <c r="FU4" s="1214"/>
      <c r="FV4" s="1214"/>
      <c r="FW4" s="1214"/>
      <c r="GC4" s="1210">
        <v>10</v>
      </c>
    </row>
    <row s="37904" customFormat="1" customHeight="1" ht="27.299999999999997">
      <c r="B5" s="2156"/>
      <c r="E5" s="2158"/>
      <c r="F5" s="271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453"/>
      <c r="H5" s="2453"/>
      <c r="I5" s="2453"/>
      <c r="J5" s="2453"/>
      <c r="K5" s="2453"/>
      <c r="L5" s="2453"/>
      <c r="M5" s="2453"/>
      <c r="N5" s="2453"/>
      <c r="O5" s="2453"/>
      <c r="P5" s="2453"/>
      <c r="Q5" s="2453"/>
      <c r="R5" s="2453"/>
      <c r="S5" s="2453"/>
      <c r="T5" s="2453"/>
      <c r="U5" s="2453"/>
      <c r="V5" s="2453"/>
      <c r="W5" s="2453"/>
      <c r="X5" s="2453"/>
      <c r="Y5" s="2453"/>
      <c r="Z5" s="2453"/>
      <c r="AA5" s="2453"/>
      <c r="AB5" s="2453"/>
      <c r="AC5" s="2453"/>
      <c r="AD5" s="2453"/>
      <c r="AE5" s="2453"/>
      <c r="AF5" s="2453"/>
      <c r="AG5" s="2453"/>
      <c r="AH5" s="2453"/>
      <c r="AI5" s="2453"/>
      <c r="AJ5" s="2453"/>
      <c r="AK5" s="2453"/>
      <c r="AL5" s="2453"/>
      <c r="AM5" s="2453"/>
      <c r="AN5" s="2453"/>
      <c r="AO5" s="2453"/>
      <c r="AP5" s="2453"/>
      <c r="AQ5" s="2453"/>
      <c r="AR5" s="2453"/>
      <c r="AS5" s="2453"/>
      <c r="AT5" s="2453"/>
      <c r="AU5" s="2453"/>
      <c r="AV5" s="2453"/>
      <c r="AW5" s="2453"/>
      <c r="AX5" s="2453"/>
      <c r="AY5" s="2453"/>
      <c r="AZ5" s="2453"/>
      <c r="BA5" s="2453"/>
      <c r="BB5" s="2453"/>
      <c r="BC5" s="2453"/>
      <c r="BD5" s="2453"/>
      <c r="BE5" s="2453"/>
      <c r="BF5" s="2453"/>
      <c r="BG5" s="2453"/>
      <c r="BH5" s="2453"/>
      <c r="BI5" s="2453"/>
      <c r="BJ5" s="2453"/>
      <c r="BK5" s="2453"/>
      <c r="BL5" s="2453"/>
      <c r="BM5" s="2453"/>
      <c r="BN5" s="2453"/>
      <c r="BO5" s="2453"/>
      <c r="BP5" s="2453"/>
      <c r="BQ5" s="2453"/>
      <c r="BR5" s="2453"/>
      <c r="BS5" s="2453"/>
      <c r="GC5" s="2157">
        <v>26</v>
      </c>
    </row>
    <row s="37909" customFormat="1" customHeight="1" ht="18.75">
      <c r="B6" s="1227"/>
      <c r="E6" s="1229"/>
      <c r="F6" s="2498" t="str">
        <f>IF(org=0,"Не определено",org)</f>
        <v>АО "ДГК"</v>
      </c>
      <c r="G6" s="2499"/>
      <c r="H6" s="2499"/>
      <c r="I6" s="2499"/>
      <c r="J6" s="2499"/>
      <c r="K6" s="2499"/>
      <c r="L6" s="2499"/>
      <c r="M6" s="2499"/>
      <c r="N6" s="2499"/>
      <c r="O6" s="2499"/>
      <c r="P6" s="2499"/>
      <c r="Q6" s="2499"/>
      <c r="R6" s="2499"/>
      <c r="S6" s="2499"/>
      <c r="T6" s="2499"/>
      <c r="U6" s="2499"/>
      <c r="V6" s="2499"/>
      <c r="W6" s="2499"/>
      <c r="X6" s="2499"/>
      <c r="Y6" s="2499"/>
      <c r="Z6" s="2499"/>
      <c r="AA6" s="2499"/>
      <c r="AB6" s="2499"/>
      <c r="AC6" s="2499"/>
      <c r="AD6" s="2499"/>
      <c r="AE6" s="2499"/>
      <c r="AF6" s="2499"/>
      <c r="AG6" s="2499"/>
      <c r="AH6" s="2499"/>
      <c r="AI6" s="2499"/>
      <c r="AJ6" s="2499"/>
      <c r="AK6" s="2499"/>
      <c r="AL6" s="2499"/>
      <c r="AM6" s="2499"/>
      <c r="AN6" s="2499"/>
      <c r="AO6" s="2499"/>
      <c r="AP6" s="2499"/>
      <c r="AQ6" s="2499"/>
      <c r="AR6" s="2499"/>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c r="BP6" s="2499"/>
      <c r="BQ6" s="2499"/>
      <c r="BR6" s="2499"/>
      <c r="BS6" s="2499"/>
      <c r="GC6" s="1228">
        <v>18</v>
      </c>
    </row>
    <row s="37913" customFormat="1" customHeight="1" ht="10.5">
      <c r="B7" s="1216"/>
      <c r="E7" s="1217"/>
      <c r="F7" s="1217"/>
      <c r="G7" s="1219"/>
      <c r="H7" s="1213"/>
      <c r="I7" s="1213"/>
      <c r="J7" s="1213"/>
      <c r="K7" s="1213"/>
      <c r="L7" s="1213"/>
      <c r="M7" s="1217"/>
      <c r="N7" s="1217"/>
      <c r="O7" s="1217"/>
      <c r="P7" s="1217"/>
      <c r="Q7" s="1217"/>
      <c r="R7" s="1217"/>
      <c r="S7" s="1217"/>
      <c r="T7" s="1217"/>
      <c r="U7" s="1217"/>
      <c r="V7" s="1217"/>
      <c r="W7" s="1217"/>
      <c r="X7" s="1217"/>
      <c r="Y7" s="1217"/>
      <c r="Z7" s="1217"/>
      <c r="AA7" s="1217"/>
      <c r="AB7" s="1217"/>
      <c r="AC7" s="1217"/>
      <c r="AD7" s="1217"/>
      <c r="AE7" s="1217"/>
      <c r="AF7" s="1217"/>
      <c r="AG7" s="1217"/>
      <c r="AH7" s="1217"/>
      <c r="AI7" s="1217"/>
      <c r="AJ7" s="1217"/>
      <c r="AK7" s="1217"/>
      <c r="AL7" s="1217"/>
      <c r="AM7" s="1217"/>
      <c r="AN7" s="1217"/>
      <c r="AO7" s="1217"/>
      <c r="AP7" s="1217"/>
      <c r="AQ7" s="1217"/>
      <c r="AR7" s="1217"/>
      <c r="AS7" s="1217"/>
      <c r="AT7" s="1217"/>
      <c r="AU7" s="1217"/>
      <c r="AV7" s="1217"/>
      <c r="AW7" s="1217"/>
      <c r="AX7" s="1217"/>
      <c r="AY7" s="1217"/>
      <c r="AZ7" s="1217"/>
      <c r="BA7" s="1217"/>
      <c r="BB7" s="1217"/>
      <c r="BC7" s="1217"/>
      <c r="BD7" s="1217"/>
      <c r="BE7" s="1217"/>
      <c r="BF7" s="1217"/>
      <c r="BG7" s="1217"/>
      <c r="BH7" s="1217"/>
      <c r="BI7" s="1217"/>
      <c r="BJ7" s="1217"/>
      <c r="BK7" s="1217"/>
      <c r="BL7" s="1217"/>
      <c r="BM7" s="1217"/>
      <c r="BN7" s="1217"/>
      <c r="BO7" s="1217"/>
      <c r="BP7" s="1217"/>
      <c r="BQ7" s="1217"/>
      <c r="BR7" s="1217"/>
      <c r="BS7" s="1217"/>
      <c r="BT7" s="1217"/>
      <c r="BU7" s="1217"/>
      <c r="BV7" s="1217"/>
      <c r="BW7" s="1217"/>
      <c r="BX7" s="1217"/>
      <c r="BY7" s="1217"/>
      <c r="BZ7" s="1217"/>
      <c r="CA7" s="1217"/>
      <c r="CB7" s="1217"/>
      <c r="CC7" s="1217"/>
      <c r="CD7" s="1217"/>
      <c r="CE7" s="1217"/>
      <c r="CF7" s="1217"/>
      <c r="CG7" s="1217"/>
      <c r="CH7" s="1217"/>
      <c r="CI7" s="1217"/>
      <c r="CJ7" s="1217"/>
      <c r="CK7" s="1217"/>
      <c r="CL7" s="1217"/>
      <c r="CM7" s="1217"/>
      <c r="CN7" s="1217"/>
      <c r="CO7" s="1217"/>
      <c r="CP7" s="1217"/>
      <c r="CQ7" s="1217"/>
      <c r="CR7" s="1217"/>
      <c r="CS7" s="1217"/>
      <c r="CT7" s="1217"/>
      <c r="CU7" s="1217"/>
      <c r="CV7" s="1217"/>
      <c r="CW7" s="1217"/>
      <c r="CX7" s="1217"/>
      <c r="CY7" s="1217"/>
      <c r="CZ7" s="1217"/>
      <c r="DA7" s="1217"/>
      <c r="DB7" s="1217"/>
      <c r="DC7" s="1217"/>
      <c r="DD7" s="1217"/>
      <c r="DE7" s="1217"/>
      <c r="DF7" s="1217"/>
      <c r="DG7" s="1217"/>
      <c r="DH7" s="1217"/>
      <c r="DI7" s="1217"/>
      <c r="DJ7" s="1217"/>
      <c r="DK7" s="1217"/>
      <c r="DL7" s="1217"/>
      <c r="DM7" s="1217"/>
      <c r="DN7" s="1217"/>
      <c r="DO7" s="1217"/>
      <c r="DP7" s="1217"/>
      <c r="DQ7" s="1217"/>
      <c r="DR7" s="1217"/>
      <c r="DS7" s="1217"/>
      <c r="DT7" s="1217"/>
      <c r="DU7" s="1217"/>
      <c r="DV7" s="1217"/>
      <c r="DW7" s="1217"/>
      <c r="DX7" s="1217"/>
      <c r="DY7" s="1217"/>
      <c r="DZ7" s="1217"/>
      <c r="EA7" s="1217"/>
      <c r="EB7" s="1217"/>
      <c r="EC7" s="1217"/>
      <c r="ED7" s="1217"/>
      <c r="EE7" s="1217"/>
      <c r="EF7" s="1217"/>
      <c r="EG7" s="1217"/>
      <c r="EH7" s="1217"/>
      <c r="EI7" s="1217"/>
      <c r="EJ7" s="1217"/>
      <c r="EK7" s="1217"/>
      <c r="EL7" s="1217"/>
      <c r="EM7" s="1217"/>
      <c r="EN7" s="1217"/>
      <c r="EO7" s="1217"/>
      <c r="EP7" s="1217"/>
      <c r="EQ7" s="1217"/>
      <c r="ER7" s="1217"/>
      <c r="ES7" s="1217"/>
      <c r="ET7" s="1217"/>
      <c r="EU7" s="1217"/>
      <c r="EV7" s="1217"/>
      <c r="EW7" s="1217"/>
      <c r="EX7" s="1217"/>
      <c r="EY7" s="1217"/>
      <c r="EZ7" s="1217"/>
      <c r="FA7" s="1217"/>
      <c r="FB7" s="1217"/>
      <c r="FC7" s="1217"/>
      <c r="FD7" s="1217"/>
      <c r="FE7" s="1217"/>
      <c r="FF7" s="1217"/>
      <c r="FG7" s="1217"/>
      <c r="FH7" s="1217"/>
      <c r="FI7" s="1217"/>
      <c r="FJ7" s="1217"/>
      <c r="FK7" s="1217"/>
      <c r="FL7" s="1217"/>
      <c r="FM7" s="1217"/>
      <c r="FN7" s="1217"/>
      <c r="FO7" s="1217"/>
      <c r="FP7" s="1217"/>
      <c r="FQ7" s="1217"/>
      <c r="FR7" s="1217"/>
      <c r="FS7" s="1217"/>
      <c r="FT7" s="1217"/>
      <c r="FU7" s="1217"/>
      <c r="FV7" s="1217"/>
      <c r="FW7" s="1217"/>
      <c r="GC7" s="1215">
        <v>10</v>
      </c>
    </row>
    <row s="37913" customFormat="1" customHeight="1" ht="11.25" hidden="1">
      <c r="B8" s="1218"/>
      <c r="F8" s="1340"/>
      <c r="G8" s="1047"/>
      <c r="H8" s="644"/>
      <c r="I8" s="644"/>
      <c r="J8" s="644"/>
      <c r="K8" s="644"/>
      <c r="L8" s="644"/>
      <c r="M8" s="1340"/>
      <c r="N8" s="1340"/>
      <c r="O8" s="2734" t="s">
        <v>1143</v>
      </c>
      <c r="P8" s="2735"/>
      <c r="Q8" s="2735"/>
      <c r="R8" s="2735"/>
      <c r="S8" s="2735"/>
      <c r="T8" s="2735"/>
      <c r="U8" s="2735"/>
      <c r="V8" s="2735"/>
      <c r="W8" s="2735"/>
      <c r="X8" s="2735"/>
      <c r="Y8" s="2735"/>
      <c r="Z8" s="2735"/>
      <c r="AA8" s="2735"/>
      <c r="AB8" s="2735"/>
      <c r="AC8" s="2735"/>
      <c r="AD8" s="2735"/>
      <c r="AE8" s="2735"/>
      <c r="AF8" s="2735"/>
      <c r="AG8" s="2735"/>
      <c r="AH8" s="2735"/>
      <c r="AI8" s="2735"/>
      <c r="AJ8" s="2735"/>
      <c r="AK8" s="2735"/>
      <c r="AL8" s="2735"/>
      <c r="AM8" s="2735"/>
      <c r="AN8" s="2735"/>
      <c r="AO8" s="2735"/>
      <c r="AP8" s="2735"/>
      <c r="AQ8" s="2735"/>
      <c r="AR8" s="2735"/>
      <c r="AS8" s="2735"/>
      <c r="AT8" s="2735"/>
      <c r="AU8" s="2735"/>
      <c r="AV8" s="2735"/>
      <c r="AW8" s="2735"/>
      <c r="AX8" s="2735"/>
      <c r="AY8" s="2735"/>
      <c r="AZ8" s="2735"/>
      <c r="BA8" s="2735"/>
      <c r="BB8" s="2735"/>
      <c r="BC8" s="2735"/>
      <c r="BD8" s="2735"/>
      <c r="BE8" s="2735"/>
      <c r="BF8" s="2735"/>
      <c r="BG8" s="2735"/>
      <c r="BH8" s="2735"/>
      <c r="BI8" s="2735"/>
      <c r="BJ8" s="2735"/>
      <c r="BK8" s="2735"/>
      <c r="BL8" s="2735"/>
      <c r="BM8" s="2735"/>
      <c r="BN8" s="2735"/>
      <c r="BO8" s="2735"/>
      <c r="BP8" s="2735"/>
      <c r="BQ8" s="2735"/>
      <c r="BR8" s="2735"/>
      <c r="BS8" s="2736"/>
      <c r="BT8" s="2723"/>
      <c r="BU8" s="2724"/>
      <c r="BV8" s="2724"/>
      <c r="BW8" s="2724"/>
      <c r="BX8" s="2724"/>
      <c r="BY8" s="2724"/>
      <c r="BZ8" s="2724"/>
      <c r="CA8" s="2724"/>
      <c r="CB8" s="2724"/>
      <c r="CC8" s="2724"/>
      <c r="CD8" s="2724"/>
      <c r="CE8" s="2724"/>
      <c r="CF8" s="2724"/>
      <c r="CG8" s="2724"/>
      <c r="CH8" s="2724"/>
      <c r="CI8" s="2724"/>
      <c r="CJ8" s="2724"/>
      <c r="CK8" s="2724"/>
      <c r="CL8" s="2724"/>
      <c r="CM8" s="2724"/>
      <c r="CN8" s="2724"/>
      <c r="CO8" s="2724"/>
      <c r="CP8" s="2724"/>
      <c r="CQ8" s="2724"/>
      <c r="CR8" s="2724"/>
      <c r="CS8" s="2724"/>
      <c r="CT8" s="2724"/>
      <c r="CU8" s="2724"/>
      <c r="CV8" s="2724"/>
      <c r="CW8" s="2724"/>
      <c r="CX8" s="2725"/>
      <c r="CY8" s="2726"/>
      <c r="CZ8" s="2727"/>
      <c r="DA8" s="2727"/>
      <c r="DB8" s="2727"/>
      <c r="DC8" s="2727"/>
      <c r="DD8" s="2727"/>
      <c r="DE8" s="2727"/>
      <c r="DF8" s="2727"/>
      <c r="DG8" s="2727"/>
      <c r="DH8" s="2727"/>
      <c r="DI8" s="2727"/>
      <c r="DJ8" s="2727"/>
      <c r="DK8" s="2727"/>
      <c r="DL8" s="2727"/>
      <c r="DM8" s="2727"/>
      <c r="DN8" s="2727"/>
      <c r="DO8" s="2727"/>
      <c r="DP8" s="2727"/>
      <c r="DQ8" s="2727"/>
      <c r="DR8" s="2727"/>
      <c r="DS8" s="2727"/>
      <c r="DT8" s="2727"/>
      <c r="DU8" s="2727"/>
      <c r="DV8" s="2727"/>
      <c r="DW8" s="2727"/>
      <c r="DX8" s="2728"/>
      <c r="DY8" s="2729" t="s">
        <v>1144</v>
      </c>
      <c r="DZ8" s="2730"/>
      <c r="EA8" s="2730"/>
      <c r="EB8" s="2730"/>
      <c r="EC8" s="2730"/>
      <c r="ED8" s="2730"/>
      <c r="EE8" s="2730"/>
      <c r="EF8" s="2730"/>
      <c r="EG8" s="2730"/>
      <c r="EH8" s="2730"/>
      <c r="EI8" s="2730"/>
      <c r="EJ8" s="2730"/>
      <c r="EK8" s="2730"/>
      <c r="EL8" s="2730"/>
      <c r="EM8" s="2730"/>
      <c r="EN8" s="2730"/>
      <c r="EO8" s="2730"/>
      <c r="EP8" s="2730"/>
      <c r="EQ8" s="2730"/>
      <c r="ER8" s="2730"/>
      <c r="ES8" s="2730"/>
      <c r="ET8" s="2730"/>
      <c r="EU8" s="2730"/>
      <c r="EV8" s="2730"/>
      <c r="EW8" s="2730"/>
      <c r="EX8" s="2730"/>
      <c r="EY8" s="2730"/>
      <c r="EZ8" s="2730"/>
      <c r="FA8" s="2730"/>
      <c r="FB8" s="2730"/>
      <c r="FC8" s="2730"/>
      <c r="FD8" s="2730"/>
      <c r="FE8" s="2730"/>
      <c r="FF8" s="2730"/>
      <c r="FG8" s="2730"/>
      <c r="FH8" s="2730"/>
      <c r="FI8" s="2730"/>
      <c r="FJ8" s="2730"/>
      <c r="FK8" s="2730"/>
      <c r="FL8" s="2730"/>
      <c r="FM8" s="2730"/>
      <c r="FN8" s="2730"/>
      <c r="FO8" s="2730"/>
      <c r="FP8" s="2730"/>
      <c r="FQ8" s="2730"/>
      <c r="FR8" s="2730"/>
      <c r="FS8" s="2730"/>
      <c r="FT8" s="2730"/>
      <c r="FU8" s="2730"/>
      <c r="FV8" s="2730"/>
      <c r="FW8" s="2731"/>
      <c r="FX8" s="1340"/>
      <c r="GC8" s="1217">
        <v>0</v>
      </c>
    </row>
    <row s="37913" customFormat="1" customHeight="1" ht="11.25" hidden="1">
      <c r="B9" s="1218"/>
      <c r="F9" s="1340"/>
      <c r="G9" s="1047"/>
      <c r="H9" s="644"/>
      <c r="I9" s="644"/>
      <c r="J9" s="644"/>
      <c r="K9" s="644"/>
      <c r="L9" s="644"/>
      <c r="M9" s="1340"/>
      <c r="N9" s="1340"/>
      <c r="O9" s="1340"/>
      <c r="P9" s="1340"/>
      <c r="Q9" s="1340"/>
      <c r="R9" s="1340"/>
      <c r="S9" s="1340"/>
      <c r="T9" s="1340"/>
      <c r="U9" s="1340"/>
      <c r="V9" s="1340"/>
      <c r="W9" s="1340"/>
      <c r="X9" s="1340"/>
      <c r="Y9" s="1340"/>
      <c r="Z9" s="1340"/>
      <c r="AA9" s="1340"/>
      <c r="AB9" s="1340"/>
      <c r="AC9" s="1340"/>
      <c r="AD9" s="1340"/>
      <c r="AE9" s="1340"/>
      <c r="AF9" s="1340"/>
      <c r="AG9" s="1340"/>
      <c r="AH9" s="1340"/>
      <c r="AI9" s="1340"/>
      <c r="AJ9" s="1340"/>
      <c r="AK9" s="1340"/>
      <c r="AL9" s="1340"/>
      <c r="AM9" s="1340"/>
      <c r="AN9" s="1340"/>
      <c r="AO9" s="1340"/>
      <c r="AP9" s="1340"/>
      <c r="AQ9" s="1340"/>
      <c r="AR9" s="1340"/>
      <c r="AS9" s="1340"/>
      <c r="AT9" s="1340"/>
      <c r="AU9" s="1340"/>
      <c r="AV9" s="1340"/>
      <c r="AW9" s="1340"/>
      <c r="AX9" s="1340"/>
      <c r="AY9" s="1340"/>
      <c r="AZ9" s="1340"/>
      <c r="BA9" s="1340"/>
      <c r="BB9" s="1340"/>
      <c r="BC9" s="1340"/>
      <c r="BD9" s="1340"/>
      <c r="BE9" s="1340"/>
      <c r="BF9" s="1340"/>
      <c r="BG9" s="1340"/>
      <c r="BH9" s="1340"/>
      <c r="BI9" s="1340"/>
      <c r="BJ9" s="1340"/>
      <c r="BK9" s="1340"/>
      <c r="BL9" s="1340"/>
      <c r="BM9" s="1340"/>
      <c r="BN9" s="1340"/>
      <c r="BO9" s="1340"/>
      <c r="BP9" s="1340"/>
      <c r="BQ9" s="1340"/>
      <c r="BR9" s="1340"/>
      <c r="BS9" s="1340"/>
      <c r="BT9" s="1340"/>
      <c r="BU9" s="1340"/>
      <c r="BV9" s="1340"/>
      <c r="BW9" s="1340"/>
      <c r="BX9" s="1340"/>
      <c r="BY9" s="1340"/>
      <c r="BZ9" s="1340"/>
      <c r="CA9" s="1340"/>
      <c r="CB9" s="1340"/>
      <c r="CC9" s="1340"/>
      <c r="CD9" s="1340"/>
      <c r="CE9" s="1340"/>
      <c r="CF9" s="1340"/>
      <c r="CG9" s="1340"/>
      <c r="CH9" s="1340"/>
      <c r="CI9" s="1340"/>
      <c r="CJ9" s="1340"/>
      <c r="CK9" s="1340"/>
      <c r="CL9" s="1340"/>
      <c r="CM9" s="1340"/>
      <c r="CN9" s="1340"/>
      <c r="CO9" s="1340"/>
      <c r="CP9" s="1340"/>
      <c r="CQ9" s="1340"/>
      <c r="CR9" s="1340"/>
      <c r="CS9" s="1340"/>
      <c r="CT9" s="1340"/>
      <c r="CU9" s="1340"/>
      <c r="CV9" s="1340"/>
      <c r="CW9" s="1340"/>
      <c r="CX9" s="1340"/>
      <c r="CY9" s="1340"/>
      <c r="CZ9" s="1340"/>
      <c r="DA9" s="1340"/>
      <c r="DB9" s="1340"/>
      <c r="DC9" s="1340"/>
      <c r="DD9" s="1340"/>
      <c r="DE9" s="1340"/>
      <c r="DF9" s="1340"/>
      <c r="DG9" s="1340"/>
      <c r="DH9" s="1340"/>
      <c r="DI9" s="1340"/>
      <c r="DJ9" s="1340"/>
      <c r="DK9" s="1340"/>
      <c r="DL9" s="1340"/>
      <c r="DM9" s="1340"/>
      <c r="DN9" s="1340"/>
      <c r="DO9" s="1340"/>
      <c r="DP9" s="1340"/>
      <c r="DQ9" s="1340"/>
      <c r="DR9" s="1340"/>
      <c r="DS9" s="1340"/>
      <c r="DT9" s="1340"/>
      <c r="DU9" s="1340"/>
      <c r="DV9" s="1340"/>
      <c r="DW9" s="1340"/>
      <c r="DX9" s="1340"/>
      <c r="DY9" s="1340"/>
      <c r="DZ9" s="1340"/>
      <c r="EA9" s="1340"/>
      <c r="EB9" s="1340"/>
      <c r="EC9" s="1340"/>
      <c r="ED9" s="1340"/>
      <c r="EE9" s="1340"/>
      <c r="EF9" s="1340"/>
      <c r="EG9" s="1340"/>
      <c r="EH9" s="1340"/>
      <c r="EI9" s="1340"/>
      <c r="EJ9" s="1340"/>
      <c r="EK9" s="1340"/>
      <c r="EL9" s="1340"/>
      <c r="EM9" s="1340"/>
      <c r="EN9" s="1340"/>
      <c r="EO9" s="1340"/>
      <c r="EP9" s="1340"/>
      <c r="EQ9" s="1340"/>
      <c r="ER9" s="1340"/>
      <c r="ES9" s="1340"/>
      <c r="ET9" s="1340"/>
      <c r="EU9" s="1340"/>
      <c r="EV9" s="1340"/>
      <c r="EW9" s="1340"/>
      <c r="EX9" s="1340"/>
      <c r="EY9" s="1340"/>
      <c r="EZ9" s="1340"/>
      <c r="FA9" s="1340"/>
      <c r="FB9" s="1340"/>
      <c r="FC9" s="1340"/>
      <c r="FD9" s="1340"/>
      <c r="FE9" s="1340"/>
      <c r="FF9" s="1340"/>
      <c r="FG9" s="1340"/>
      <c r="FH9" s="1340"/>
      <c r="FI9" s="1340"/>
      <c r="FJ9" s="1340"/>
      <c r="FK9" s="1340"/>
      <c r="FL9" s="1340"/>
      <c r="FM9" s="1340"/>
      <c r="FN9" s="1340"/>
      <c r="FO9" s="1340"/>
      <c r="FP9" s="1340"/>
      <c r="FQ9" s="1340"/>
      <c r="FR9" s="1340"/>
      <c r="FS9" s="1340"/>
      <c r="FT9" s="1340"/>
      <c r="FU9" s="1340"/>
      <c r="FV9" s="1340"/>
      <c r="FW9" s="2732"/>
      <c r="FX9" s="1340"/>
      <c r="GC9" s="1217">
        <v>0</v>
      </c>
    </row>
    <row s="37913" customFormat="1" customHeight="1" ht="11.549999999999999">
      <c r="B10" s="1218"/>
      <c r="F10" s="2713" t="s">
        <v>360</v>
      </c>
      <c r="G10" s="2714"/>
      <c r="H10" s="2714"/>
      <c r="I10" s="2714"/>
      <c r="J10" s="2714"/>
      <c r="K10" s="2714"/>
      <c r="L10" s="2714"/>
      <c r="M10" s="2714"/>
      <c r="N10" s="2714"/>
      <c r="O10" s="2714"/>
      <c r="P10" s="2714"/>
      <c r="Q10" s="2714"/>
      <c r="R10" s="2714"/>
      <c r="S10" s="2714"/>
      <c r="T10" s="2714"/>
      <c r="U10" s="2714"/>
      <c r="V10" s="2714"/>
      <c r="W10" s="2714"/>
      <c r="X10" s="2714"/>
      <c r="Y10" s="2714"/>
      <c r="Z10" s="2714"/>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5"/>
      <c r="FW10" s="2732"/>
      <c r="FX10" s="1340"/>
      <c r="GC10" s="1217">
        <v>11</v>
      </c>
    </row>
    <row customHeight="1" ht="12.75">
      <c r="E11" s="1221"/>
      <c r="F11" s="2489" t="s">
        <v>91</v>
      </c>
      <c r="G11" s="2489" t="s">
        <v>1145</v>
      </c>
      <c r="H11" s="2721" t="s">
        <v>1146</v>
      </c>
      <c r="I11" s="2721" t="s">
        <v>1147</v>
      </c>
      <c r="J11" s="2722"/>
      <c r="K11" s="2722"/>
      <c r="L11" s="2722"/>
      <c r="M11" s="2722"/>
      <c r="N11" s="2722"/>
      <c r="O11" s="2493" t="s">
        <v>1148</v>
      </c>
      <c r="P11" s="2493"/>
      <c r="Q11" s="2493"/>
      <c r="R11" s="2493"/>
      <c r="S11" s="2493"/>
      <c r="T11" s="2493"/>
      <c r="U11" s="2493"/>
      <c r="V11" s="2493"/>
      <c r="W11" s="2493"/>
      <c r="X11" s="2493"/>
      <c r="Y11" s="2493"/>
      <c r="Z11" s="2493"/>
      <c r="AA11" s="2493"/>
      <c r="AB11" s="2493"/>
      <c r="AC11" s="2718"/>
      <c r="AD11" s="2718"/>
      <c r="AE11" s="2718"/>
      <c r="AF11" s="2718"/>
      <c r="AG11" s="2718"/>
      <c r="AH11" s="2718"/>
      <c r="AI11" s="2718"/>
      <c r="AJ11" s="2718"/>
      <c r="AK11" s="2718"/>
      <c r="AL11" s="2718"/>
      <c r="AM11" s="2718"/>
      <c r="AN11" s="2718"/>
      <c r="AO11" s="2718"/>
      <c r="AP11" s="2718"/>
      <c r="AQ11" s="2718"/>
      <c r="AR11" s="2718"/>
      <c r="AS11" s="2718"/>
      <c r="AT11" s="2718"/>
      <c r="AU11" s="2718"/>
      <c r="AV11" s="2718"/>
      <c r="AW11" s="2718"/>
      <c r="AX11" s="2718"/>
      <c r="AY11" s="2718"/>
      <c r="AZ11" s="2718"/>
      <c r="BA11" s="2718"/>
      <c r="BB11" s="2718"/>
      <c r="BC11" s="2718"/>
      <c r="BD11" s="2718"/>
      <c r="BE11" s="2718"/>
      <c r="BF11" s="2718"/>
      <c r="BG11" s="2718"/>
      <c r="BH11" s="2718"/>
      <c r="BI11" s="2718"/>
      <c r="BJ11" s="2718"/>
      <c r="BK11" s="2718"/>
      <c r="BL11" s="2718"/>
      <c r="BM11" s="2718"/>
      <c r="BN11" s="2718"/>
      <c r="BO11" s="2718"/>
      <c r="BP11" s="2718"/>
      <c r="BQ11" s="2718"/>
      <c r="BR11" s="2718"/>
      <c r="BS11" s="2737"/>
      <c r="BT11" s="2670" t="s">
        <v>1148</v>
      </c>
      <c r="BU11" s="2671"/>
      <c r="BV11" s="2671"/>
      <c r="BW11" s="2671"/>
      <c r="BX11" s="2671"/>
      <c r="BY11" s="2671"/>
      <c r="BZ11" s="2671"/>
      <c r="CA11" s="2671"/>
      <c r="CB11" s="2671"/>
      <c r="CC11" s="2671"/>
      <c r="CD11" s="2671"/>
      <c r="CE11" s="2671"/>
      <c r="CF11" s="2671"/>
      <c r="CG11" s="2671"/>
      <c r="CH11" s="2671"/>
      <c r="CI11" s="2671"/>
      <c r="CJ11" s="2671"/>
      <c r="CK11" s="2717"/>
      <c r="CL11" s="2720"/>
      <c r="CM11" s="2718"/>
      <c r="CN11" s="2718"/>
      <c r="CO11" s="2718"/>
      <c r="CP11" s="2718"/>
      <c r="CQ11" s="2718"/>
      <c r="CR11" s="2718"/>
      <c r="CS11" s="2718"/>
      <c r="CT11" s="2718"/>
      <c r="CU11" s="2718"/>
      <c r="CV11" s="2718"/>
      <c r="CW11" s="2718"/>
      <c r="CX11" s="2737"/>
      <c r="CY11" s="2670" t="s">
        <v>1148</v>
      </c>
      <c r="CZ11" s="2671"/>
      <c r="DA11" s="2671"/>
      <c r="DB11" s="2671"/>
      <c r="DC11" s="2671"/>
      <c r="DD11" s="2671"/>
      <c r="DE11" s="2671"/>
      <c r="DF11" s="2671"/>
      <c r="DG11" s="2671"/>
      <c r="DH11" s="2671"/>
      <c r="DI11" s="2671"/>
      <c r="DJ11" s="2717"/>
      <c r="DK11" s="2720"/>
      <c r="DL11" s="2718"/>
      <c r="DM11" s="2718"/>
      <c r="DN11" s="2718"/>
      <c r="DO11" s="2718"/>
      <c r="DP11" s="2718"/>
      <c r="DQ11" s="2718"/>
      <c r="DR11" s="2718"/>
      <c r="DS11" s="2718"/>
      <c r="DT11" s="2718"/>
      <c r="DU11" s="2718"/>
      <c r="DV11" s="2718"/>
      <c r="DW11" s="2718"/>
      <c r="DX11" s="2718"/>
      <c r="DY11" s="2718"/>
      <c r="DZ11" s="2718"/>
      <c r="EA11" s="2718"/>
      <c r="EB11" s="2718"/>
      <c r="EC11" s="2718"/>
      <c r="ED11" s="2718"/>
      <c r="EE11" s="2718"/>
      <c r="EF11" s="2718"/>
      <c r="EG11" s="2718"/>
      <c r="EH11" s="2718"/>
      <c r="EI11" s="2718"/>
      <c r="EJ11" s="2718"/>
      <c r="EK11" s="2718"/>
      <c r="EL11" s="2718"/>
      <c r="EM11" s="2718"/>
      <c r="EN11" s="2718"/>
      <c r="EO11" s="2718"/>
      <c r="EP11" s="2718"/>
      <c r="EQ11" s="2718"/>
      <c r="ER11" s="2718"/>
      <c r="ES11" s="2718"/>
      <c r="ET11" s="2718"/>
      <c r="EU11" s="2718"/>
      <c r="EV11" s="2718"/>
      <c r="EW11" s="2718"/>
      <c r="EX11" s="2718"/>
      <c r="EY11" s="2718"/>
      <c r="EZ11" s="2718"/>
      <c r="FA11" s="2718"/>
      <c r="FB11" s="2718"/>
      <c r="FC11" s="2718"/>
      <c r="FD11" s="2718"/>
      <c r="FE11" s="2718"/>
      <c r="FF11" s="2718"/>
      <c r="FG11" s="2718"/>
      <c r="FH11" s="2718"/>
      <c r="FI11" s="2718"/>
      <c r="FJ11" s="2718"/>
      <c r="FK11" s="2718"/>
      <c r="FL11" s="2718"/>
      <c r="FM11" s="2718"/>
      <c r="FN11" s="2718"/>
      <c r="FO11" s="2718"/>
      <c r="FP11" s="2718"/>
      <c r="FQ11" s="2718"/>
      <c r="FR11" s="2718"/>
      <c r="FS11" s="2718"/>
      <c r="FT11" s="2718"/>
      <c r="FU11" s="2718"/>
      <c r="FV11" s="2718"/>
      <c r="FW11" s="2732"/>
      <c r="FX11" s="1046"/>
      <c r="GC11" s="1210">
        <v>12</v>
      </c>
    </row>
    <row customHeight="1" ht="12.75">
      <c r="D12" s="1222"/>
      <c r="E12" s="1221"/>
      <c r="F12" s="2489"/>
      <c r="G12" s="2489"/>
      <c r="H12" s="2721"/>
      <c r="I12" s="2721"/>
      <c r="J12" s="2722"/>
      <c r="K12" s="2722"/>
      <c r="L12" s="2722"/>
      <c r="M12" s="2722"/>
      <c r="N12" s="2722"/>
      <c r="O12" s="2493" t="s">
        <v>1149</v>
      </c>
      <c r="P12" s="2493"/>
      <c r="Q12" s="2493"/>
      <c r="R12" s="2493"/>
      <c r="S12" s="2493" t="s">
        <v>1150</v>
      </c>
      <c r="T12" s="2493"/>
      <c r="U12" s="2493"/>
      <c r="V12" s="2493"/>
      <c r="W12" s="2493"/>
      <c r="X12" s="2493"/>
      <c r="Y12" s="2493"/>
      <c r="Z12" s="2493"/>
      <c r="AA12" s="2493"/>
      <c r="AB12" s="2493"/>
      <c r="AC12" s="2718"/>
      <c r="AD12" s="2718"/>
      <c r="AE12" s="2718"/>
      <c r="AF12" s="2718"/>
      <c r="AG12" s="2718"/>
      <c r="AH12" s="2718"/>
      <c r="AI12" s="2718"/>
      <c r="AJ12" s="2718"/>
      <c r="AK12" s="2718"/>
      <c r="AL12" s="2718"/>
      <c r="AM12" s="2718"/>
      <c r="AN12" s="2718"/>
      <c r="AO12" s="2718"/>
      <c r="AP12" s="2718"/>
      <c r="AQ12" s="2718"/>
      <c r="AR12" s="2718"/>
      <c r="AS12" s="2718"/>
      <c r="AT12" s="2718"/>
      <c r="AU12" s="2718"/>
      <c r="AV12" s="2718"/>
      <c r="AW12" s="2718"/>
      <c r="AX12" s="2718"/>
      <c r="AY12" s="2718"/>
      <c r="AZ12" s="2718"/>
      <c r="BA12" s="2718"/>
      <c r="BB12" s="2718"/>
      <c r="BC12" s="2718"/>
      <c r="BD12" s="2718"/>
      <c r="BE12" s="2718"/>
      <c r="BF12" s="2718"/>
      <c r="BG12" s="2718"/>
      <c r="BH12" s="2718"/>
      <c r="BI12" s="2718"/>
      <c r="BJ12" s="2718"/>
      <c r="BK12" s="2718"/>
      <c r="BL12" s="2718"/>
      <c r="BM12" s="2718"/>
      <c r="BN12" s="2718"/>
      <c r="BO12" s="2718"/>
      <c r="BP12" s="2718"/>
      <c r="BQ12" s="2718"/>
      <c r="BR12" s="2718"/>
      <c r="BS12" s="2737"/>
      <c r="BT12" s="2670" t="s">
        <v>1151</v>
      </c>
      <c r="BU12" s="2671"/>
      <c r="BV12" s="2671"/>
      <c r="BW12" s="2717"/>
      <c r="BX12" s="2670" t="s">
        <v>1152</v>
      </c>
      <c r="BY12" s="2671"/>
      <c r="BZ12" s="2671"/>
      <c r="CA12" s="2717"/>
      <c r="CB12" s="2670" t="s">
        <v>1153</v>
      </c>
      <c r="CC12" s="2717"/>
      <c r="CD12" s="2670" t="s">
        <v>1154</v>
      </c>
      <c r="CE12" s="2671"/>
      <c r="CF12" s="2671"/>
      <c r="CG12" s="2671"/>
      <c r="CH12" s="2671"/>
      <c r="CI12" s="2671"/>
      <c r="CJ12" s="2671"/>
      <c r="CK12" s="2717"/>
      <c r="CL12" s="2720"/>
      <c r="CM12" s="2718"/>
      <c r="CN12" s="2718"/>
      <c r="CO12" s="2718"/>
      <c r="CP12" s="2718"/>
      <c r="CQ12" s="2718"/>
      <c r="CR12" s="2718"/>
      <c r="CS12" s="2718"/>
      <c r="CT12" s="2718"/>
      <c r="CU12" s="2718"/>
      <c r="CV12" s="2718"/>
      <c r="CW12" s="2718"/>
      <c r="CX12" s="2737"/>
      <c r="CY12" s="2670" t="s">
        <v>1155</v>
      </c>
      <c r="CZ12" s="2671"/>
      <c r="DA12" s="2671"/>
      <c r="DB12" s="2671"/>
      <c r="DC12" s="2671"/>
      <c r="DD12" s="2717"/>
      <c r="DE12" s="2670" t="s">
        <v>1156</v>
      </c>
      <c r="DF12" s="2717"/>
      <c r="DG12" s="2670" t="s">
        <v>1154</v>
      </c>
      <c r="DH12" s="2671"/>
      <c r="DI12" s="2671"/>
      <c r="DJ12" s="2717"/>
      <c r="DK12" s="2720"/>
      <c r="DL12" s="2718"/>
      <c r="DM12" s="2718"/>
      <c r="DN12" s="2718"/>
      <c r="DO12" s="2718"/>
      <c r="DP12" s="2718"/>
      <c r="DQ12" s="2718"/>
      <c r="DR12" s="2718"/>
      <c r="DS12" s="2718"/>
      <c r="DT12" s="2718"/>
      <c r="DU12" s="2718"/>
      <c r="DV12" s="2718"/>
      <c r="DW12" s="2718"/>
      <c r="DX12" s="2718"/>
      <c r="DY12" s="2718"/>
      <c r="DZ12" s="2718"/>
      <c r="EA12" s="2718"/>
      <c r="EB12" s="2718"/>
      <c r="EC12" s="2718"/>
      <c r="ED12" s="2718"/>
      <c r="EE12" s="2718"/>
      <c r="EF12" s="2718"/>
      <c r="EG12" s="2718"/>
      <c r="EH12" s="2718"/>
      <c r="EI12" s="2718"/>
      <c r="EJ12" s="2718"/>
      <c r="EK12" s="2718"/>
      <c r="EL12" s="2718"/>
      <c r="EM12" s="2718"/>
      <c r="EN12" s="2718"/>
      <c r="EO12" s="2718"/>
      <c r="EP12" s="2718"/>
      <c r="EQ12" s="2718"/>
      <c r="ER12" s="2718"/>
      <c r="ES12" s="2718"/>
      <c r="ET12" s="2718"/>
      <c r="EU12" s="2718"/>
      <c r="EV12" s="2718"/>
      <c r="EW12" s="2718"/>
      <c r="EX12" s="2718"/>
      <c r="EY12" s="2718"/>
      <c r="EZ12" s="2718"/>
      <c r="FA12" s="2718"/>
      <c r="FB12" s="2718"/>
      <c r="FC12" s="2718"/>
      <c r="FD12" s="2718"/>
      <c r="FE12" s="2718"/>
      <c r="FF12" s="2718"/>
      <c r="FG12" s="2718"/>
      <c r="FH12" s="2718"/>
      <c r="FI12" s="2718"/>
      <c r="FJ12" s="2718"/>
      <c r="FK12" s="2718"/>
      <c r="FL12" s="2718"/>
      <c r="FM12" s="2718"/>
      <c r="FN12" s="2718"/>
      <c r="FO12" s="2718"/>
      <c r="FP12" s="2718"/>
      <c r="FQ12" s="2718"/>
      <c r="FR12" s="2718"/>
      <c r="FS12" s="2718"/>
      <c r="FT12" s="2718"/>
      <c r="FU12" s="2718"/>
      <c r="FV12" s="2718"/>
      <c r="FW12" s="2732"/>
      <c r="FX12" s="1046"/>
      <c r="GC12" s="1210">
        <v>12</v>
      </c>
    </row>
    <row customHeight="1" ht="37.8">
      <c r="D13" s="1222"/>
      <c r="E13" s="1221"/>
      <c r="F13" s="2489"/>
      <c r="G13" s="2489"/>
      <c r="H13" s="2721"/>
      <c r="I13" s="2721"/>
      <c r="J13" s="2722"/>
      <c r="K13" s="2722"/>
      <c r="L13" s="2722"/>
      <c r="M13" s="2722"/>
      <c r="N13" s="2722"/>
      <c r="O13" s="2493" t="s">
        <v>1157</v>
      </c>
      <c r="P13" s="2493"/>
      <c r="Q13" s="2493"/>
      <c r="R13" s="2493"/>
      <c r="S13" s="2620" t="s">
        <v>1158</v>
      </c>
      <c r="T13" s="2672"/>
      <c r="U13" s="2411" t="s">
        <v>1159</v>
      </c>
      <c r="V13" s="2411"/>
      <c r="W13" s="2411"/>
      <c r="X13" s="2411"/>
      <c r="Y13" s="2411" t="s">
        <v>1160</v>
      </c>
      <c r="Z13" s="2411"/>
      <c r="AA13" s="2411"/>
      <c r="AB13" s="2411"/>
      <c r="AC13" s="2718"/>
      <c r="AD13" s="2718"/>
      <c r="AE13" s="2718"/>
      <c r="AF13" s="2718"/>
      <c r="AG13" s="2718"/>
      <c r="AH13" s="2718"/>
      <c r="AI13" s="2718"/>
      <c r="AJ13" s="2718"/>
      <c r="AK13" s="2718"/>
      <c r="AL13" s="2718"/>
      <c r="AM13" s="2718"/>
      <c r="AN13" s="2718"/>
      <c r="AO13" s="2718"/>
      <c r="AP13" s="2718"/>
      <c r="AQ13" s="2718"/>
      <c r="AR13" s="2718"/>
      <c r="AS13" s="2718"/>
      <c r="AT13" s="2718"/>
      <c r="AU13" s="2718"/>
      <c r="AV13" s="2718"/>
      <c r="AW13" s="2718"/>
      <c r="AX13" s="2718"/>
      <c r="AY13" s="2718"/>
      <c r="AZ13" s="2718"/>
      <c r="BA13" s="2718"/>
      <c r="BB13" s="2718"/>
      <c r="BC13" s="2718"/>
      <c r="BD13" s="2718"/>
      <c r="BE13" s="2718"/>
      <c r="BF13" s="2718"/>
      <c r="BG13" s="2718"/>
      <c r="BH13" s="2718"/>
      <c r="BI13" s="2718"/>
      <c r="BJ13" s="2718"/>
      <c r="BK13" s="2718"/>
      <c r="BL13" s="2718"/>
      <c r="BM13" s="2718"/>
      <c r="BN13" s="2718"/>
      <c r="BO13" s="2718"/>
      <c r="BP13" s="2718"/>
      <c r="BQ13" s="2718"/>
      <c r="BR13" s="2718"/>
      <c r="BS13" s="2737"/>
      <c r="BT13" s="2620" t="s">
        <v>1161</v>
      </c>
      <c r="BU13" s="2672"/>
      <c r="BV13" s="2620" t="s">
        <v>1162</v>
      </c>
      <c r="BW13" s="2672"/>
      <c r="BX13" s="2620" t="s">
        <v>1163</v>
      </c>
      <c r="BY13" s="2672"/>
      <c r="BZ13" s="2620" t="s">
        <v>1164</v>
      </c>
      <c r="CA13" s="2672"/>
      <c r="CB13" s="2620" t="s">
        <v>1165</v>
      </c>
      <c r="CC13" s="2672"/>
      <c r="CD13" s="2620" t="s">
        <v>1166</v>
      </c>
      <c r="CE13" s="2672"/>
      <c r="CF13" s="2620" t="s">
        <v>1167</v>
      </c>
      <c r="CG13" s="2672"/>
      <c r="CH13" s="2670" t="s">
        <v>1168</v>
      </c>
      <c r="CI13" s="2671"/>
      <c r="CJ13" s="2671"/>
      <c r="CK13" s="2717"/>
      <c r="CL13" s="2720"/>
      <c r="CM13" s="2718"/>
      <c r="CN13" s="2718"/>
      <c r="CO13" s="2718"/>
      <c r="CP13" s="2718"/>
      <c r="CQ13" s="2718"/>
      <c r="CR13" s="2718"/>
      <c r="CS13" s="2718"/>
      <c r="CT13" s="2718"/>
      <c r="CU13" s="2718"/>
      <c r="CV13" s="2718"/>
      <c r="CW13" s="2718"/>
      <c r="CX13" s="2737"/>
      <c r="CY13" s="2620" t="s">
        <v>1169</v>
      </c>
      <c r="CZ13" s="2672"/>
      <c r="DA13" s="2620" t="s">
        <v>1170</v>
      </c>
      <c r="DB13" s="2672"/>
      <c r="DC13" s="2620" t="s">
        <v>1171</v>
      </c>
      <c r="DD13" s="2672"/>
      <c r="DE13" s="2620" t="s">
        <v>1172</v>
      </c>
      <c r="DF13" s="2672"/>
      <c r="DG13" s="2670" t="s">
        <v>1173</v>
      </c>
      <c r="DH13" s="2671"/>
      <c r="DI13" s="2671"/>
      <c r="DJ13" s="2717"/>
      <c r="DK13" s="2720"/>
      <c r="DL13" s="2718"/>
      <c r="DM13" s="2718"/>
      <c r="DN13" s="2718"/>
      <c r="DO13" s="2718"/>
      <c r="DP13" s="2718"/>
      <c r="DQ13" s="2718"/>
      <c r="DR13" s="2718"/>
      <c r="DS13" s="2718"/>
      <c r="DT13" s="2718"/>
      <c r="DU13" s="2718"/>
      <c r="DV13" s="2718"/>
      <c r="DW13" s="2718"/>
      <c r="DX13" s="2718"/>
      <c r="DY13" s="2718"/>
      <c r="DZ13" s="2718"/>
      <c r="EA13" s="2718"/>
      <c r="EB13" s="2718"/>
      <c r="EC13" s="2718"/>
      <c r="ED13" s="2718"/>
      <c r="EE13" s="2718"/>
      <c r="EF13" s="2718"/>
      <c r="EG13" s="2718"/>
      <c r="EH13" s="2718"/>
      <c r="EI13" s="2718"/>
      <c r="EJ13" s="2718"/>
      <c r="EK13" s="2718"/>
      <c r="EL13" s="2718"/>
      <c r="EM13" s="2718"/>
      <c r="EN13" s="2718"/>
      <c r="EO13" s="2718"/>
      <c r="EP13" s="2718"/>
      <c r="EQ13" s="2718"/>
      <c r="ER13" s="2718"/>
      <c r="ES13" s="2718"/>
      <c r="ET13" s="2718"/>
      <c r="EU13" s="2718"/>
      <c r="EV13" s="2718"/>
      <c r="EW13" s="2718"/>
      <c r="EX13" s="2718"/>
      <c r="EY13" s="2718"/>
      <c r="EZ13" s="2718"/>
      <c r="FA13" s="2718"/>
      <c r="FB13" s="2718"/>
      <c r="FC13" s="2718"/>
      <c r="FD13" s="2718"/>
      <c r="FE13" s="2718"/>
      <c r="FF13" s="2718"/>
      <c r="FG13" s="2718"/>
      <c r="FH13" s="2718"/>
      <c r="FI13" s="2718"/>
      <c r="FJ13" s="2718"/>
      <c r="FK13" s="2718"/>
      <c r="FL13" s="2718"/>
      <c r="FM13" s="2718"/>
      <c r="FN13" s="2718"/>
      <c r="FO13" s="2718"/>
      <c r="FP13" s="2718"/>
      <c r="FQ13" s="2718"/>
      <c r="FR13" s="2718"/>
      <c r="FS13" s="2718"/>
      <c r="FT13" s="2718"/>
      <c r="FU13" s="2718"/>
      <c r="FV13" s="2718"/>
      <c r="FW13" s="2732"/>
      <c r="FX13" s="1046"/>
      <c r="GC13" s="1210">
        <v>36</v>
      </c>
    </row>
    <row customHeight="1" ht="37.8">
      <c r="D14" s="1222"/>
      <c r="E14" s="1221"/>
      <c r="F14" s="2489"/>
      <c r="G14" s="2489"/>
      <c r="H14" s="2721"/>
      <c r="I14" s="2721"/>
      <c r="J14" s="2722"/>
      <c r="K14" s="2722"/>
      <c r="L14" s="2722"/>
      <c r="M14" s="2722"/>
      <c r="N14" s="2722"/>
      <c r="O14" s="2620" t="s">
        <v>1174</v>
      </c>
      <c r="P14" s="2672"/>
      <c r="Q14" s="2620" t="s">
        <v>1175</v>
      </c>
      <c r="R14" s="2672"/>
      <c r="S14" s="2621"/>
      <c r="T14" s="2497"/>
      <c r="U14" s="2620" t="s">
        <v>907</v>
      </c>
      <c r="V14" s="2672"/>
      <c r="W14" s="2620" t="s">
        <v>910</v>
      </c>
      <c r="X14" s="2672"/>
      <c r="Y14" s="2620" t="s">
        <v>907</v>
      </c>
      <c r="Z14" s="2672"/>
      <c r="AA14" s="2620" t="s">
        <v>917</v>
      </c>
      <c r="AB14" s="2672"/>
      <c r="AC14" s="2718"/>
      <c r="AD14" s="2718"/>
      <c r="AE14" s="2718"/>
      <c r="AF14" s="2718"/>
      <c r="AG14" s="2718"/>
      <c r="AH14" s="2718"/>
      <c r="AI14" s="2718"/>
      <c r="AJ14" s="2718"/>
      <c r="AK14" s="2718"/>
      <c r="AL14" s="2718"/>
      <c r="AM14" s="2718"/>
      <c r="AN14" s="2718"/>
      <c r="AO14" s="2718"/>
      <c r="AP14" s="2718"/>
      <c r="AQ14" s="2718"/>
      <c r="AR14" s="2718"/>
      <c r="AS14" s="2718"/>
      <c r="AT14" s="2718"/>
      <c r="AU14" s="2718"/>
      <c r="AV14" s="2718"/>
      <c r="AW14" s="2718"/>
      <c r="AX14" s="2718"/>
      <c r="AY14" s="2718"/>
      <c r="AZ14" s="2718"/>
      <c r="BA14" s="2718"/>
      <c r="BB14" s="2718"/>
      <c r="BC14" s="2718"/>
      <c r="BD14" s="2718"/>
      <c r="BE14" s="2718"/>
      <c r="BF14" s="2718"/>
      <c r="BG14" s="2718"/>
      <c r="BH14" s="2718"/>
      <c r="BI14" s="2718"/>
      <c r="BJ14" s="2718"/>
      <c r="BK14" s="2718"/>
      <c r="BL14" s="2718"/>
      <c r="BM14" s="2718"/>
      <c r="BN14" s="2718"/>
      <c r="BO14" s="2718"/>
      <c r="BP14" s="2718"/>
      <c r="BQ14" s="2718"/>
      <c r="BR14" s="2718"/>
      <c r="BS14" s="2737"/>
      <c r="BT14" s="2621"/>
      <c r="BU14" s="2497"/>
      <c r="BV14" s="2621"/>
      <c r="BW14" s="2497"/>
      <c r="BX14" s="2621"/>
      <c r="BY14" s="2497"/>
      <c r="BZ14" s="2621"/>
      <c r="CA14" s="2497"/>
      <c r="CB14" s="2621"/>
      <c r="CC14" s="2497"/>
      <c r="CD14" s="2621"/>
      <c r="CE14" s="2497"/>
      <c r="CF14" s="2621"/>
      <c r="CG14" s="2497"/>
      <c r="CH14" s="2620" t="s">
        <v>1176</v>
      </c>
      <c r="CI14" s="2672"/>
      <c r="CJ14" s="2620" t="s">
        <v>1177</v>
      </c>
      <c r="CK14" s="2672"/>
      <c r="CL14" s="2720"/>
      <c r="CM14" s="2718"/>
      <c r="CN14" s="2718"/>
      <c r="CO14" s="2718"/>
      <c r="CP14" s="2718"/>
      <c r="CQ14" s="2718"/>
      <c r="CR14" s="2718"/>
      <c r="CS14" s="2718"/>
      <c r="CT14" s="2718"/>
      <c r="CU14" s="2718"/>
      <c r="CV14" s="2718"/>
      <c r="CW14" s="2718"/>
      <c r="CX14" s="2737"/>
      <c r="CY14" s="2621"/>
      <c r="CZ14" s="2497"/>
      <c r="DA14" s="2621"/>
      <c r="DB14" s="2497"/>
      <c r="DC14" s="2621"/>
      <c r="DD14" s="2497"/>
      <c r="DE14" s="2621"/>
      <c r="DF14" s="2497"/>
      <c r="DG14" s="2620" t="s">
        <v>1178</v>
      </c>
      <c r="DH14" s="2672"/>
      <c r="DI14" s="2620" t="s">
        <v>1179</v>
      </c>
      <c r="DJ14" s="2672"/>
      <c r="DK14" s="2720"/>
      <c r="DL14" s="2718"/>
      <c r="DM14" s="2718"/>
      <c r="DN14" s="2718"/>
      <c r="DO14" s="2718"/>
      <c r="DP14" s="2718"/>
      <c r="DQ14" s="2718"/>
      <c r="DR14" s="2718"/>
      <c r="DS14" s="2718"/>
      <c r="DT14" s="2718"/>
      <c r="DU14" s="2718"/>
      <c r="DV14" s="2718"/>
      <c r="DW14" s="2718"/>
      <c r="DX14" s="2718"/>
      <c r="DY14" s="2718"/>
      <c r="DZ14" s="2718"/>
      <c r="EA14" s="2718"/>
      <c r="EB14" s="2718"/>
      <c r="EC14" s="2718"/>
      <c r="ED14" s="2718"/>
      <c r="EE14" s="2718"/>
      <c r="EF14" s="2718"/>
      <c r="EG14" s="2718"/>
      <c r="EH14" s="2718"/>
      <c r="EI14" s="2718"/>
      <c r="EJ14" s="2718"/>
      <c r="EK14" s="2718"/>
      <c r="EL14" s="2718"/>
      <c r="EM14" s="2718"/>
      <c r="EN14" s="2718"/>
      <c r="EO14" s="2718"/>
      <c r="EP14" s="2718"/>
      <c r="EQ14" s="2718"/>
      <c r="ER14" s="2718"/>
      <c r="ES14" s="2718"/>
      <c r="ET14" s="2718"/>
      <c r="EU14" s="2718"/>
      <c r="EV14" s="2718"/>
      <c r="EW14" s="2718"/>
      <c r="EX14" s="2718"/>
      <c r="EY14" s="2718"/>
      <c r="EZ14" s="2718"/>
      <c r="FA14" s="2718"/>
      <c r="FB14" s="2718"/>
      <c r="FC14" s="2718"/>
      <c r="FD14" s="2718"/>
      <c r="FE14" s="2718"/>
      <c r="FF14" s="2718"/>
      <c r="FG14" s="2718"/>
      <c r="FH14" s="2718"/>
      <c r="FI14" s="2718"/>
      <c r="FJ14" s="2718"/>
      <c r="FK14" s="2718"/>
      <c r="FL14" s="2718"/>
      <c r="FM14" s="2718"/>
      <c r="FN14" s="2718"/>
      <c r="FO14" s="2718"/>
      <c r="FP14" s="2718"/>
      <c r="FQ14" s="2718"/>
      <c r="FR14" s="2718"/>
      <c r="FS14" s="2718"/>
      <c r="FT14" s="2718"/>
      <c r="FU14" s="2718"/>
      <c r="FV14" s="2718"/>
      <c r="FW14" s="2732"/>
      <c r="FX14" s="1046"/>
      <c r="GC14" s="1210">
        <v>36</v>
      </c>
    </row>
    <row customHeight="1" ht="37.8">
      <c r="D15" s="1222"/>
      <c r="E15" s="1221"/>
      <c r="F15" s="2489"/>
      <c r="G15" s="2489"/>
      <c r="H15" s="2721"/>
      <c r="I15" s="2721"/>
      <c r="J15" s="2722"/>
      <c r="K15" s="2722"/>
      <c r="L15" s="2722"/>
      <c r="M15" s="2722"/>
      <c r="N15" s="2722"/>
      <c r="O15" s="2622"/>
      <c r="P15" s="2719"/>
      <c r="Q15" s="2622"/>
      <c r="R15" s="2719"/>
      <c r="S15" s="2622"/>
      <c r="T15" s="2719"/>
      <c r="U15" s="2622"/>
      <c r="V15" s="2719"/>
      <c r="W15" s="2622"/>
      <c r="X15" s="2719"/>
      <c r="Y15" s="2622"/>
      <c r="Z15" s="2719"/>
      <c r="AA15" s="2622"/>
      <c r="AB15" s="2719"/>
      <c r="AC15" s="2718"/>
      <c r="AD15" s="2718"/>
      <c r="AE15" s="2718"/>
      <c r="AF15" s="2718"/>
      <c r="AG15" s="2718"/>
      <c r="AH15" s="2718"/>
      <c r="AI15" s="2718"/>
      <c r="AJ15" s="2718"/>
      <c r="AK15" s="2718"/>
      <c r="AL15" s="2718"/>
      <c r="AM15" s="2718"/>
      <c r="AN15" s="2718"/>
      <c r="AO15" s="2718"/>
      <c r="AP15" s="2718"/>
      <c r="AQ15" s="2718"/>
      <c r="AR15" s="2718"/>
      <c r="AS15" s="2718"/>
      <c r="AT15" s="2718"/>
      <c r="AU15" s="2718"/>
      <c r="AV15" s="2718"/>
      <c r="AW15" s="2718"/>
      <c r="AX15" s="2718"/>
      <c r="AY15" s="2718"/>
      <c r="AZ15" s="2718"/>
      <c r="BA15" s="2718"/>
      <c r="BB15" s="2718"/>
      <c r="BC15" s="2718"/>
      <c r="BD15" s="2718"/>
      <c r="BE15" s="2718"/>
      <c r="BF15" s="2718"/>
      <c r="BG15" s="2718"/>
      <c r="BH15" s="2718"/>
      <c r="BI15" s="2718"/>
      <c r="BJ15" s="2718"/>
      <c r="BK15" s="2718"/>
      <c r="BL15" s="2718"/>
      <c r="BM15" s="2718"/>
      <c r="BN15" s="2718"/>
      <c r="BO15" s="2718"/>
      <c r="BP15" s="2718"/>
      <c r="BQ15" s="2718"/>
      <c r="BR15" s="2718"/>
      <c r="BS15" s="2737"/>
      <c r="BT15" s="2622"/>
      <c r="BU15" s="2719"/>
      <c r="BV15" s="2622"/>
      <c r="BW15" s="2719"/>
      <c r="BX15" s="2622"/>
      <c r="BY15" s="2719"/>
      <c r="BZ15" s="2622"/>
      <c r="CA15" s="2719"/>
      <c r="CB15" s="2622"/>
      <c r="CC15" s="2719"/>
      <c r="CD15" s="2622"/>
      <c r="CE15" s="2719"/>
      <c r="CF15" s="2622"/>
      <c r="CG15" s="2719"/>
      <c r="CH15" s="2622"/>
      <c r="CI15" s="2719"/>
      <c r="CJ15" s="2622"/>
      <c r="CK15" s="2719"/>
      <c r="CL15" s="2720"/>
      <c r="CM15" s="2718"/>
      <c r="CN15" s="2718"/>
      <c r="CO15" s="2718"/>
      <c r="CP15" s="2718"/>
      <c r="CQ15" s="2718"/>
      <c r="CR15" s="2718"/>
      <c r="CS15" s="2718"/>
      <c r="CT15" s="2718"/>
      <c r="CU15" s="2718"/>
      <c r="CV15" s="2718"/>
      <c r="CW15" s="2718"/>
      <c r="CX15" s="2737"/>
      <c r="CY15" s="2622"/>
      <c r="CZ15" s="2719"/>
      <c r="DA15" s="2622"/>
      <c r="DB15" s="2719"/>
      <c r="DC15" s="2622"/>
      <c r="DD15" s="2719"/>
      <c r="DE15" s="2622"/>
      <c r="DF15" s="2719"/>
      <c r="DG15" s="2622"/>
      <c r="DH15" s="2719"/>
      <c r="DI15" s="2622"/>
      <c r="DJ15" s="2719"/>
      <c r="DK15" s="2720"/>
      <c r="DL15" s="2718"/>
      <c r="DM15" s="2718"/>
      <c r="DN15" s="2718"/>
      <c r="DO15" s="2718"/>
      <c r="DP15" s="2718"/>
      <c r="DQ15" s="2718"/>
      <c r="DR15" s="2718"/>
      <c r="DS15" s="2718"/>
      <c r="DT15" s="2718"/>
      <c r="DU15" s="2718"/>
      <c r="DV15" s="2718"/>
      <c r="DW15" s="2718"/>
      <c r="DX15" s="2718"/>
      <c r="DY15" s="2718"/>
      <c r="DZ15" s="2718"/>
      <c r="EA15" s="2718"/>
      <c r="EB15" s="2718"/>
      <c r="EC15" s="2718"/>
      <c r="ED15" s="2718"/>
      <c r="EE15" s="2718"/>
      <c r="EF15" s="2718"/>
      <c r="EG15" s="2718"/>
      <c r="EH15" s="2718"/>
      <c r="EI15" s="2718"/>
      <c r="EJ15" s="2718"/>
      <c r="EK15" s="2718"/>
      <c r="EL15" s="2718"/>
      <c r="EM15" s="2718"/>
      <c r="EN15" s="2718"/>
      <c r="EO15" s="2718"/>
      <c r="EP15" s="2718"/>
      <c r="EQ15" s="2718"/>
      <c r="ER15" s="2718"/>
      <c r="ES15" s="2718"/>
      <c r="ET15" s="2718"/>
      <c r="EU15" s="2718"/>
      <c r="EV15" s="2718"/>
      <c r="EW15" s="2718"/>
      <c r="EX15" s="2718"/>
      <c r="EY15" s="2718"/>
      <c r="EZ15" s="2718"/>
      <c r="FA15" s="2718"/>
      <c r="FB15" s="2718"/>
      <c r="FC15" s="2718"/>
      <c r="FD15" s="2718"/>
      <c r="FE15" s="2718"/>
      <c r="FF15" s="2718"/>
      <c r="FG15" s="2718"/>
      <c r="FH15" s="2718"/>
      <c r="FI15" s="2718"/>
      <c r="FJ15" s="2718"/>
      <c r="FK15" s="2718"/>
      <c r="FL15" s="2718"/>
      <c r="FM15" s="2718"/>
      <c r="FN15" s="2718"/>
      <c r="FO15" s="2718"/>
      <c r="FP15" s="2718"/>
      <c r="FQ15" s="2718"/>
      <c r="FR15" s="2718"/>
      <c r="FS15" s="2718"/>
      <c r="FT15" s="2718"/>
      <c r="FU15" s="2718"/>
      <c r="FV15" s="2718"/>
      <c r="FW15" s="2732"/>
      <c r="FX15" s="1046"/>
      <c r="GC15" s="1210">
        <v>36</v>
      </c>
    </row>
    <row customHeight="1" ht="12.75">
      <c r="D16" s="1222"/>
      <c r="E16" s="1221"/>
      <c r="F16" s="2489"/>
      <c r="G16" s="2489"/>
      <c r="H16" s="2721"/>
      <c r="I16" s="2721"/>
      <c r="J16" s="2722"/>
      <c r="K16" s="2722"/>
      <c r="L16" s="2722"/>
      <c r="M16" s="2722"/>
      <c r="N16" s="2722"/>
      <c r="O16" s="2670" t="s">
        <v>897</v>
      </c>
      <c r="P16" s="2717"/>
      <c r="Q16" s="2670" t="s">
        <v>899</v>
      </c>
      <c r="R16" s="2717"/>
      <c r="S16" s="2670" t="s">
        <v>903</v>
      </c>
      <c r="T16" s="2717"/>
      <c r="U16" s="2670" t="s">
        <v>908</v>
      </c>
      <c r="V16" s="2717"/>
      <c r="W16" s="2670" t="s">
        <v>911</v>
      </c>
      <c r="X16" s="2717"/>
      <c r="Y16" s="2670" t="s">
        <v>915</v>
      </c>
      <c r="Z16" s="2717"/>
      <c r="AA16" s="2670" t="s">
        <v>918</v>
      </c>
      <c r="AB16" s="2717"/>
      <c r="AC16" s="2718"/>
      <c r="AD16" s="2718"/>
      <c r="AE16" s="2718"/>
      <c r="AF16" s="2718"/>
      <c r="AG16" s="2718"/>
      <c r="AH16" s="2718"/>
      <c r="AI16" s="2718"/>
      <c r="AJ16" s="2718"/>
      <c r="AK16" s="2718"/>
      <c r="AL16" s="2718"/>
      <c r="AM16" s="2718"/>
      <c r="AN16" s="2718"/>
      <c r="AO16" s="2718"/>
      <c r="AP16" s="2718"/>
      <c r="AQ16" s="2718"/>
      <c r="AR16" s="2718"/>
      <c r="AS16" s="2718"/>
      <c r="AT16" s="2718"/>
      <c r="AU16" s="2718"/>
      <c r="AV16" s="2718"/>
      <c r="AW16" s="2718"/>
      <c r="AX16" s="2718"/>
      <c r="AY16" s="2718"/>
      <c r="AZ16" s="2718"/>
      <c r="BA16" s="2718"/>
      <c r="BB16" s="2718"/>
      <c r="BC16" s="2718"/>
      <c r="BD16" s="2718"/>
      <c r="BE16" s="2718"/>
      <c r="BF16" s="2718"/>
      <c r="BG16" s="2718"/>
      <c r="BH16" s="2718"/>
      <c r="BI16" s="2718"/>
      <c r="BJ16" s="2718"/>
      <c r="BK16" s="2718"/>
      <c r="BL16" s="2718"/>
      <c r="BM16" s="2718"/>
      <c r="BN16" s="2718"/>
      <c r="BO16" s="2718"/>
      <c r="BP16" s="2718"/>
      <c r="BQ16" s="2718"/>
      <c r="BR16" s="2718"/>
      <c r="BS16" s="2737"/>
      <c r="BT16" s="2670" t="s">
        <v>630</v>
      </c>
      <c r="BU16" s="2717"/>
      <c r="BV16" s="2670" t="s">
        <v>630</v>
      </c>
      <c r="BW16" s="2717"/>
      <c r="BX16" s="2670" t="s">
        <v>630</v>
      </c>
      <c r="BY16" s="2717"/>
      <c r="BZ16" s="2670" t="s">
        <v>630</v>
      </c>
      <c r="CA16" s="2717"/>
      <c r="CB16" s="2670" t="s">
        <v>1180</v>
      </c>
      <c r="CC16" s="2717"/>
      <c r="CD16" s="2670" t="s">
        <v>630</v>
      </c>
      <c r="CE16" s="2717"/>
      <c r="CF16" s="2670" t="s">
        <v>1181</v>
      </c>
      <c r="CG16" s="2717"/>
      <c r="CH16" s="2670" t="s">
        <v>1182</v>
      </c>
      <c r="CI16" s="2717"/>
      <c r="CJ16" s="2670" t="s">
        <v>1182</v>
      </c>
      <c r="CK16" s="2717"/>
      <c r="CL16" s="2720"/>
      <c r="CM16" s="2718"/>
      <c r="CN16" s="2718"/>
      <c r="CO16" s="2718"/>
      <c r="CP16" s="2718"/>
      <c r="CQ16" s="2718"/>
      <c r="CR16" s="2718"/>
      <c r="CS16" s="2718"/>
      <c r="CT16" s="2718"/>
      <c r="CU16" s="2718"/>
      <c r="CV16" s="2718"/>
      <c r="CW16" s="2718"/>
      <c r="CX16" s="2737"/>
      <c r="CY16" s="2620" t="s">
        <v>630</v>
      </c>
      <c r="CZ16" s="2672"/>
      <c r="DA16" s="2620" t="s">
        <v>630</v>
      </c>
      <c r="DB16" s="2672"/>
      <c r="DC16" s="2620" t="s">
        <v>630</v>
      </c>
      <c r="DD16" s="2672"/>
      <c r="DE16" s="2670" t="s">
        <v>1180</v>
      </c>
      <c r="DF16" s="2717"/>
      <c r="DG16" s="2670" t="s">
        <v>1183</v>
      </c>
      <c r="DH16" s="2717"/>
      <c r="DI16" s="2670" t="s">
        <v>1183</v>
      </c>
      <c r="DJ16" s="2717"/>
      <c r="DK16" s="2720"/>
      <c r="DL16" s="2718"/>
      <c r="DM16" s="2718"/>
      <c r="DN16" s="2718"/>
      <c r="DO16" s="2718"/>
      <c r="DP16" s="2718"/>
      <c r="DQ16" s="2718"/>
      <c r="DR16" s="2718"/>
      <c r="DS16" s="2718"/>
      <c r="DT16" s="2718"/>
      <c r="DU16" s="2718"/>
      <c r="DV16" s="2718"/>
      <c r="DW16" s="2718"/>
      <c r="DX16" s="2718"/>
      <c r="DY16" s="2718"/>
      <c r="DZ16" s="2718"/>
      <c r="EA16" s="2718"/>
      <c r="EB16" s="2718"/>
      <c r="EC16" s="2718"/>
      <c r="ED16" s="2718"/>
      <c r="EE16" s="2718"/>
      <c r="EF16" s="2718"/>
      <c r="EG16" s="2718"/>
      <c r="EH16" s="2718"/>
      <c r="EI16" s="2718"/>
      <c r="EJ16" s="2718"/>
      <c r="EK16" s="2718"/>
      <c r="EL16" s="2718"/>
      <c r="EM16" s="2718"/>
      <c r="EN16" s="2718"/>
      <c r="EO16" s="2718"/>
      <c r="EP16" s="2718"/>
      <c r="EQ16" s="2718"/>
      <c r="ER16" s="2718"/>
      <c r="ES16" s="2718"/>
      <c r="ET16" s="2718"/>
      <c r="EU16" s="2718"/>
      <c r="EV16" s="2718"/>
      <c r="EW16" s="2718"/>
      <c r="EX16" s="2718"/>
      <c r="EY16" s="2718"/>
      <c r="EZ16" s="2718"/>
      <c r="FA16" s="2718"/>
      <c r="FB16" s="2718"/>
      <c r="FC16" s="2718"/>
      <c r="FD16" s="2718"/>
      <c r="FE16" s="2718"/>
      <c r="FF16" s="2718"/>
      <c r="FG16" s="2718"/>
      <c r="FH16" s="2718"/>
      <c r="FI16" s="2718"/>
      <c r="FJ16" s="2718"/>
      <c r="FK16" s="2718"/>
      <c r="FL16" s="2718"/>
      <c r="FM16" s="2718"/>
      <c r="FN16" s="2718"/>
      <c r="FO16" s="2718"/>
      <c r="FP16" s="2718"/>
      <c r="FQ16" s="2718"/>
      <c r="FR16" s="2718"/>
      <c r="FS16" s="2718"/>
      <c r="FT16" s="2718"/>
      <c r="FU16" s="2718"/>
      <c r="FV16" s="2718"/>
      <c r="FW16" s="2732"/>
      <c r="FX16" s="1046"/>
      <c r="GC16" s="1210">
        <v>12</v>
      </c>
    </row>
    <row customHeight="1" ht="15.75">
      <c r="E17" s="1221"/>
      <c r="F17" s="2489"/>
      <c r="G17" s="2489"/>
      <c r="H17" s="2721"/>
      <c r="I17" s="2721"/>
      <c r="J17" s="2722"/>
      <c r="K17" s="2722"/>
      <c r="L17" s="2722"/>
      <c r="M17" s="2722"/>
      <c r="N17" s="2722"/>
      <c r="O17" s="1475" t="s">
        <v>1184</v>
      </c>
      <c r="P17" s="1475" t="s">
        <v>1185</v>
      </c>
      <c r="Q17" s="1475" t="s">
        <v>1184</v>
      </c>
      <c r="R17" s="1475" t="s">
        <v>1185</v>
      </c>
      <c r="S17" s="1475" t="s">
        <v>1184</v>
      </c>
      <c r="T17" s="1475" t="s">
        <v>1185</v>
      </c>
      <c r="U17" s="1475" t="s">
        <v>1184</v>
      </c>
      <c r="V17" s="1475" t="s">
        <v>1185</v>
      </c>
      <c r="W17" s="1475" t="s">
        <v>1184</v>
      </c>
      <c r="X17" s="1475" t="s">
        <v>1185</v>
      </c>
      <c r="Y17" s="1475" t="s">
        <v>1184</v>
      </c>
      <c r="Z17" s="1475" t="s">
        <v>1185</v>
      </c>
      <c r="AA17" s="1475" t="s">
        <v>1184</v>
      </c>
      <c r="AB17" s="1475" t="s">
        <v>1185</v>
      </c>
      <c r="AC17" s="2718"/>
      <c r="AD17" s="2718"/>
      <c r="AE17" s="2718"/>
      <c r="AF17" s="2718"/>
      <c r="AG17" s="2718"/>
      <c r="AH17" s="2718"/>
      <c r="AI17" s="2718"/>
      <c r="AJ17" s="2718"/>
      <c r="AK17" s="2718"/>
      <c r="AL17" s="2718"/>
      <c r="AM17" s="2718"/>
      <c r="AN17" s="2718"/>
      <c r="AO17" s="2718"/>
      <c r="AP17" s="2718"/>
      <c r="AQ17" s="2718"/>
      <c r="AR17" s="2718"/>
      <c r="AS17" s="2718"/>
      <c r="AT17" s="2718"/>
      <c r="AU17" s="2718"/>
      <c r="AV17" s="2718"/>
      <c r="AW17" s="2718"/>
      <c r="AX17" s="2718"/>
      <c r="AY17" s="2718"/>
      <c r="AZ17" s="2718"/>
      <c r="BA17" s="2718"/>
      <c r="BB17" s="2718"/>
      <c r="BC17" s="2718"/>
      <c r="BD17" s="2718"/>
      <c r="BE17" s="2718"/>
      <c r="BF17" s="2718"/>
      <c r="BG17" s="2718"/>
      <c r="BH17" s="2718"/>
      <c r="BI17" s="2718"/>
      <c r="BJ17" s="2718"/>
      <c r="BK17" s="2718"/>
      <c r="BL17" s="2718"/>
      <c r="BM17" s="2718"/>
      <c r="BN17" s="2718"/>
      <c r="BO17" s="2718"/>
      <c r="BP17" s="2718"/>
      <c r="BQ17" s="2718"/>
      <c r="BR17" s="2718"/>
      <c r="BS17" s="2737"/>
      <c r="BT17" s="1475" t="s">
        <v>1184</v>
      </c>
      <c r="BU17" s="1475" t="s">
        <v>1185</v>
      </c>
      <c r="BV17" s="1475" t="s">
        <v>1184</v>
      </c>
      <c r="BW17" s="1475" t="s">
        <v>1185</v>
      </c>
      <c r="BX17" s="1475" t="s">
        <v>1184</v>
      </c>
      <c r="BY17" s="1475" t="s">
        <v>1185</v>
      </c>
      <c r="BZ17" s="1475" t="s">
        <v>1184</v>
      </c>
      <c r="CA17" s="1475" t="s">
        <v>1185</v>
      </c>
      <c r="CB17" s="1475" t="s">
        <v>1184</v>
      </c>
      <c r="CC17" s="1475" t="s">
        <v>1185</v>
      </c>
      <c r="CD17" s="1475" t="s">
        <v>1184</v>
      </c>
      <c r="CE17" s="1475" t="s">
        <v>1185</v>
      </c>
      <c r="CF17" s="1475" t="s">
        <v>1184</v>
      </c>
      <c r="CG17" s="1475" t="s">
        <v>1185</v>
      </c>
      <c r="CH17" s="1475" t="s">
        <v>1184</v>
      </c>
      <c r="CI17" s="1475" t="s">
        <v>1185</v>
      </c>
      <c r="CJ17" s="1475" t="s">
        <v>1184</v>
      </c>
      <c r="CK17" s="1475" t="s">
        <v>1185</v>
      </c>
      <c r="CL17" s="2720"/>
      <c r="CM17" s="2718"/>
      <c r="CN17" s="2718"/>
      <c r="CO17" s="2718"/>
      <c r="CP17" s="2718"/>
      <c r="CQ17" s="2718"/>
      <c r="CR17" s="2718"/>
      <c r="CS17" s="2718"/>
      <c r="CT17" s="2718"/>
      <c r="CU17" s="2718"/>
      <c r="CV17" s="2718"/>
      <c r="CW17" s="2718"/>
      <c r="CX17" s="2737"/>
      <c r="CY17" s="1475" t="s">
        <v>1184</v>
      </c>
      <c r="CZ17" s="1475" t="s">
        <v>1185</v>
      </c>
      <c r="DA17" s="1475" t="s">
        <v>1184</v>
      </c>
      <c r="DB17" s="1475" t="s">
        <v>1185</v>
      </c>
      <c r="DC17" s="1475" t="s">
        <v>1184</v>
      </c>
      <c r="DD17" s="1475" t="s">
        <v>1185</v>
      </c>
      <c r="DE17" s="1475" t="s">
        <v>1184</v>
      </c>
      <c r="DF17" s="1475" t="s">
        <v>1185</v>
      </c>
      <c r="DG17" s="1475" t="s">
        <v>1184</v>
      </c>
      <c r="DH17" s="1475" t="s">
        <v>1185</v>
      </c>
      <c r="DI17" s="1475" t="s">
        <v>1184</v>
      </c>
      <c r="DJ17" s="1475" t="s">
        <v>1185</v>
      </c>
      <c r="DK17" s="2720"/>
      <c r="DL17" s="2718"/>
      <c r="DM17" s="2718"/>
      <c r="DN17" s="2718"/>
      <c r="DO17" s="2718"/>
      <c r="DP17" s="2718"/>
      <c r="DQ17" s="2718"/>
      <c r="DR17" s="2718"/>
      <c r="DS17" s="2718"/>
      <c r="DT17" s="2718"/>
      <c r="DU17" s="2718"/>
      <c r="DV17" s="2718"/>
      <c r="DW17" s="2718"/>
      <c r="DX17" s="2718"/>
      <c r="DY17" s="2718"/>
      <c r="DZ17" s="2718"/>
      <c r="EA17" s="2718"/>
      <c r="EB17" s="2718"/>
      <c r="EC17" s="2718"/>
      <c r="ED17" s="2718"/>
      <c r="EE17" s="2718"/>
      <c r="EF17" s="2718"/>
      <c r="EG17" s="2718"/>
      <c r="EH17" s="2718"/>
      <c r="EI17" s="2718"/>
      <c r="EJ17" s="2718"/>
      <c r="EK17" s="2718"/>
      <c r="EL17" s="2718"/>
      <c r="EM17" s="2718"/>
      <c r="EN17" s="2718"/>
      <c r="EO17" s="2718"/>
      <c r="EP17" s="2718"/>
      <c r="EQ17" s="2718"/>
      <c r="ER17" s="2718"/>
      <c r="ES17" s="2718"/>
      <c r="ET17" s="2718"/>
      <c r="EU17" s="2718"/>
      <c r="EV17" s="2718"/>
      <c r="EW17" s="2718"/>
      <c r="EX17" s="2718"/>
      <c r="EY17" s="2718"/>
      <c r="EZ17" s="2718"/>
      <c r="FA17" s="2718"/>
      <c r="FB17" s="2718"/>
      <c r="FC17" s="2718"/>
      <c r="FD17" s="2718"/>
      <c r="FE17" s="2718"/>
      <c r="FF17" s="2718"/>
      <c r="FG17" s="2718"/>
      <c r="FH17" s="2718"/>
      <c r="FI17" s="2718"/>
      <c r="FJ17" s="2718"/>
      <c r="FK17" s="2718"/>
      <c r="FL17" s="2718"/>
      <c r="FM17" s="2718"/>
      <c r="FN17" s="2718"/>
      <c r="FO17" s="2718"/>
      <c r="FP17" s="2718"/>
      <c r="FQ17" s="2718"/>
      <c r="FR17" s="2718"/>
      <c r="FS17" s="2718"/>
      <c r="FT17" s="2718"/>
      <c r="FU17" s="2718"/>
      <c r="FV17" s="2718"/>
      <c r="FW17" s="2733"/>
      <c r="FX17" s="1046"/>
      <c r="GC17" s="1210">
        <v>15</v>
      </c>
    </row>
    <row s="37894" customFormat="1" customHeight="1" ht="12" hidden="1">
      <c r="B18" s="1207"/>
      <c r="E18" s="1223"/>
      <c r="F18" s="1476"/>
      <c r="G18" s="1476"/>
      <c r="H18" s="1476"/>
      <c r="I18" s="1476"/>
      <c r="J18" s="1477"/>
      <c r="K18" s="1477"/>
      <c r="L18" s="1477"/>
      <c r="M18" s="1477"/>
      <c r="N18" s="1477"/>
      <c r="O18" s="1476"/>
      <c r="P18" s="1476"/>
      <c r="Q18" s="1476"/>
      <c r="R18" s="1476"/>
      <c r="S18" s="1476"/>
      <c r="T18" s="1476"/>
      <c r="U18" s="1478"/>
      <c r="V18" s="1478"/>
      <c r="W18" s="1478"/>
      <c r="X18" s="1478"/>
      <c r="Y18" s="1478"/>
      <c r="Z18" s="1478"/>
      <c r="AA18" s="1478"/>
      <c r="AB18" s="1476"/>
      <c r="AC18" s="1477"/>
      <c r="AD18" s="1477"/>
      <c r="AE18" s="1477"/>
      <c r="AF18" s="1477"/>
      <c r="AG18" s="1477"/>
      <c r="AH18" s="1477"/>
      <c r="AI18" s="1477"/>
      <c r="AJ18" s="1477"/>
      <c r="AK18" s="1477"/>
      <c r="AL18" s="1477"/>
      <c r="AM18" s="1477"/>
      <c r="AN18" s="1477"/>
      <c r="AO18" s="1477"/>
      <c r="AP18" s="1477"/>
      <c r="AQ18" s="1477"/>
      <c r="AR18" s="1477"/>
      <c r="AS18" s="1477"/>
      <c r="AT18" s="1477"/>
      <c r="AU18" s="1477"/>
      <c r="AV18" s="1477"/>
      <c r="AW18" s="1477"/>
      <c r="AX18" s="1477"/>
      <c r="AY18" s="1477"/>
      <c r="AZ18" s="1477"/>
      <c r="BA18" s="1477"/>
      <c r="BB18" s="1477"/>
      <c r="BC18" s="1477"/>
      <c r="BD18" s="1477"/>
      <c r="BE18" s="1477"/>
      <c r="BF18" s="1477"/>
      <c r="BG18" s="1477"/>
      <c r="BH18" s="1477"/>
      <c r="BI18" s="1477"/>
      <c r="BJ18" s="1477"/>
      <c r="BK18" s="1477"/>
      <c r="BL18" s="1477"/>
      <c r="BM18" s="1477"/>
      <c r="BN18" s="1477"/>
      <c r="BO18" s="1477"/>
      <c r="BP18" s="1477"/>
      <c r="BQ18" s="1477"/>
      <c r="BR18" s="1477"/>
      <c r="BS18" s="1477"/>
      <c r="BT18" s="1479"/>
      <c r="BU18" s="1479"/>
      <c r="BV18" s="1479"/>
      <c r="BW18" s="1479"/>
      <c r="BX18" s="1479"/>
      <c r="BY18" s="1479"/>
      <c r="BZ18" s="1479"/>
      <c r="CA18" s="1479"/>
      <c r="CB18" s="1479"/>
      <c r="CC18" s="1479"/>
      <c r="CD18" s="1479"/>
      <c r="CE18" s="1479"/>
      <c r="CF18" s="1479"/>
      <c r="CG18" s="1479"/>
      <c r="CH18" s="1479"/>
      <c r="CI18" s="1479"/>
      <c r="CJ18" s="1479"/>
      <c r="CK18" s="1479"/>
      <c r="CL18" s="1477"/>
      <c r="CM18" s="1477"/>
      <c r="CN18" s="1477"/>
      <c r="CO18" s="1477"/>
      <c r="CP18" s="1477"/>
      <c r="CQ18" s="1477"/>
      <c r="CR18" s="1477"/>
      <c r="CS18" s="1477"/>
      <c r="CT18" s="1477"/>
      <c r="CU18" s="1477"/>
      <c r="CV18" s="1477"/>
      <c r="CW18" s="1477"/>
      <c r="CX18" s="1477"/>
      <c r="CY18" s="1479"/>
      <c r="CZ18" s="1479"/>
      <c r="DA18" s="1479"/>
      <c r="DB18" s="1479"/>
      <c r="DC18" s="1479"/>
      <c r="DD18" s="1479"/>
      <c r="DE18" s="1479"/>
      <c r="DF18" s="1479"/>
      <c r="DG18" s="1479"/>
      <c r="DH18" s="1479"/>
      <c r="DI18" s="1479"/>
      <c r="DJ18" s="1479"/>
      <c r="DK18" s="1477"/>
      <c r="DL18" s="1477"/>
      <c r="DM18" s="1477"/>
      <c r="DN18" s="1477"/>
      <c r="DO18" s="1477"/>
      <c r="DP18" s="1477"/>
      <c r="DQ18" s="1477"/>
      <c r="DR18" s="1477"/>
      <c r="DS18" s="1477"/>
      <c r="DT18" s="1477"/>
      <c r="DU18" s="1477"/>
      <c r="DV18" s="1477"/>
      <c r="DW18" s="1477"/>
      <c r="DX18" s="1477"/>
      <c r="DY18" s="1477"/>
      <c r="DZ18" s="1477"/>
      <c r="EA18" s="1477"/>
      <c r="EB18" s="1477"/>
      <c r="EC18" s="1477"/>
      <c r="ED18" s="1477"/>
      <c r="EE18" s="1477"/>
      <c r="EF18" s="1477"/>
      <c r="EG18" s="1477"/>
      <c r="EH18" s="1477"/>
      <c r="EI18" s="1477"/>
      <c r="EJ18" s="1477"/>
      <c r="EK18" s="1477"/>
      <c r="EL18" s="1477"/>
      <c r="EM18" s="1477"/>
      <c r="EN18" s="1477"/>
      <c r="EO18" s="1477"/>
      <c r="EP18" s="1477"/>
      <c r="EQ18" s="1477"/>
      <c r="ER18" s="1477"/>
      <c r="ES18" s="1477"/>
      <c r="ET18" s="1477"/>
      <c r="EU18" s="1477"/>
      <c r="EV18" s="1477"/>
      <c r="EW18" s="1477"/>
      <c r="EX18" s="1477"/>
      <c r="EY18" s="1477"/>
      <c r="EZ18" s="1477"/>
      <c r="FA18" s="1477"/>
      <c r="FB18" s="1477"/>
      <c r="FC18" s="1477"/>
      <c r="FD18" s="1477"/>
      <c r="FE18" s="1477"/>
      <c r="FF18" s="1477"/>
      <c r="FG18" s="1477"/>
      <c r="FH18" s="1477"/>
      <c r="FI18" s="1477"/>
      <c r="FJ18" s="1477"/>
      <c r="FK18" s="1477"/>
      <c r="FL18" s="1477"/>
      <c r="FM18" s="1477"/>
      <c r="FN18" s="1477"/>
      <c r="FO18" s="1477"/>
      <c r="FP18" s="1477"/>
      <c r="FQ18" s="1477"/>
      <c r="FR18" s="1477"/>
      <c r="FS18" s="1477"/>
      <c r="FT18" s="1477"/>
      <c r="FU18" s="1477"/>
      <c r="FV18" s="1477"/>
      <c r="FW18" s="1476"/>
      <c r="FX18" s="1480"/>
      <c r="GC18" s="1208">
        <v>0</v>
      </c>
    </row>
    <row s="37894" customFormat="1" customHeight="1" ht="11.25" hidden="1">
      <c r="B19" s="1207"/>
      <c r="E19" s="1223"/>
      <c r="F19" s="1476"/>
      <c r="G19" s="1476"/>
      <c r="H19" s="1476"/>
      <c r="I19" s="1476"/>
      <c r="J19" s="1476"/>
      <c r="K19" s="1476"/>
      <c r="L19" s="1476"/>
      <c r="M19" s="1476"/>
      <c r="N19" s="1476"/>
      <c r="O19" s="1476"/>
      <c r="P19" s="1476"/>
      <c r="Q19" s="1476"/>
      <c r="R19" s="1476"/>
      <c r="S19" s="1476"/>
      <c r="T19" s="1476"/>
      <c r="U19" s="1478"/>
      <c r="V19" s="1478"/>
      <c r="W19" s="1478"/>
      <c r="X19" s="1478"/>
      <c r="Y19" s="1478"/>
      <c r="Z19" s="1478"/>
      <c r="AA19" s="1478"/>
      <c r="AB19" s="1476"/>
      <c r="AC19" s="1476"/>
      <c r="AD19" s="1476"/>
      <c r="AE19" s="1476"/>
      <c r="AF19" s="1476"/>
      <c r="AG19" s="1476"/>
      <c r="AH19" s="1476"/>
      <c r="AI19" s="1476"/>
      <c r="AJ19" s="1476"/>
      <c r="AK19" s="1476"/>
      <c r="AL19" s="1476"/>
      <c r="AM19" s="1476"/>
      <c r="AN19" s="1476"/>
      <c r="AO19" s="1476"/>
      <c r="AP19" s="1476"/>
      <c r="AQ19" s="1476"/>
      <c r="AR19" s="1476"/>
      <c r="AS19" s="1476"/>
      <c r="AT19" s="1476"/>
      <c r="AU19" s="1476"/>
      <c r="AV19" s="1476"/>
      <c r="AW19" s="1476"/>
      <c r="AX19" s="1476"/>
      <c r="AY19" s="1476"/>
      <c r="AZ19" s="1476"/>
      <c r="BA19" s="1476"/>
      <c r="BB19" s="1476"/>
      <c r="BC19" s="1476"/>
      <c r="BD19" s="1476"/>
      <c r="BE19" s="1476"/>
      <c r="BF19" s="1476"/>
      <c r="BG19" s="1476"/>
      <c r="BH19" s="1476"/>
      <c r="BI19" s="1476"/>
      <c r="BJ19" s="1476"/>
      <c r="BK19" s="1476"/>
      <c r="BL19" s="1476"/>
      <c r="BM19" s="1476"/>
      <c r="BN19" s="1476"/>
      <c r="BO19" s="1476"/>
      <c r="BP19" s="1476"/>
      <c r="BQ19" s="1476"/>
      <c r="BR19" s="1476"/>
      <c r="BS19" s="1476"/>
      <c r="BT19" s="1476"/>
      <c r="BU19" s="1476"/>
      <c r="BV19" s="1476"/>
      <c r="BW19" s="1476"/>
      <c r="BX19" s="1476"/>
      <c r="BY19" s="1476"/>
      <c r="BZ19" s="1476"/>
      <c r="CA19" s="1476"/>
      <c r="CB19" s="1476"/>
      <c r="CC19" s="1476"/>
      <c r="CD19" s="1476"/>
      <c r="CE19" s="1476"/>
      <c r="CF19" s="1476"/>
      <c r="CG19" s="1476"/>
      <c r="CH19" s="1476"/>
      <c r="CI19" s="1476"/>
      <c r="CJ19" s="1476"/>
      <c r="CK19" s="1476"/>
      <c r="CL19" s="1476"/>
      <c r="CM19" s="1476"/>
      <c r="CN19" s="1476"/>
      <c r="CO19" s="1476"/>
      <c r="CP19" s="1476"/>
      <c r="CQ19" s="1476"/>
      <c r="CR19" s="1476"/>
      <c r="CS19" s="1476"/>
      <c r="CT19" s="1476"/>
      <c r="CU19" s="1476"/>
      <c r="CV19" s="1476"/>
      <c r="CW19" s="1476"/>
      <c r="CX19" s="1476"/>
      <c r="CY19" s="1476"/>
      <c r="CZ19" s="1476"/>
      <c r="DA19" s="1476"/>
      <c r="DB19" s="1476"/>
      <c r="DC19" s="1476"/>
      <c r="DD19" s="1476"/>
      <c r="DE19" s="1476"/>
      <c r="DF19" s="1476"/>
      <c r="DG19" s="1476"/>
      <c r="DH19" s="1476"/>
      <c r="DI19" s="1476"/>
      <c r="DJ19" s="1476"/>
      <c r="DK19" s="1476"/>
      <c r="DL19" s="1476"/>
      <c r="DM19" s="1476"/>
      <c r="DN19" s="1476"/>
      <c r="DO19" s="1476"/>
      <c r="DP19" s="1476"/>
      <c r="DQ19" s="1476"/>
      <c r="DR19" s="1476"/>
      <c r="DS19" s="1476"/>
      <c r="DT19" s="1476"/>
      <c r="DU19" s="1476"/>
      <c r="DV19" s="1476"/>
      <c r="DW19" s="1476"/>
      <c r="DX19" s="1476"/>
      <c r="DY19" s="1476"/>
      <c r="DZ19" s="1476"/>
      <c r="EA19" s="1476"/>
      <c r="EB19" s="1476"/>
      <c r="EC19" s="1476"/>
      <c r="ED19" s="1476"/>
      <c r="EE19" s="1476"/>
      <c r="EF19" s="1476"/>
      <c r="EG19" s="1476"/>
      <c r="EH19" s="1476"/>
      <c r="EI19" s="1476"/>
      <c r="EJ19" s="1476"/>
      <c r="EK19" s="1476"/>
      <c r="EL19" s="1476"/>
      <c r="EM19" s="1476"/>
      <c r="EN19" s="1476"/>
      <c r="EO19" s="1476"/>
      <c r="EP19" s="1476"/>
      <c r="EQ19" s="1476"/>
      <c r="ER19" s="1476"/>
      <c r="ES19" s="1476"/>
      <c r="ET19" s="1476"/>
      <c r="EU19" s="1476"/>
      <c r="EV19" s="1476"/>
      <c r="EW19" s="1476"/>
      <c r="EX19" s="1476"/>
      <c r="EY19" s="1476"/>
      <c r="EZ19" s="1476"/>
      <c r="FA19" s="1476"/>
      <c r="FB19" s="1476"/>
      <c r="FC19" s="1476"/>
      <c r="FD19" s="1476"/>
      <c r="FE19" s="1476"/>
      <c r="FF19" s="1476"/>
      <c r="FG19" s="1476"/>
      <c r="FH19" s="1476"/>
      <c r="FI19" s="1476"/>
      <c r="FJ19" s="1476"/>
      <c r="FK19" s="1476"/>
      <c r="FL19" s="1476"/>
      <c r="FM19" s="1476"/>
      <c r="FN19" s="1476"/>
      <c r="FO19" s="1476"/>
      <c r="FP19" s="1476"/>
      <c r="FQ19" s="1476"/>
      <c r="FR19" s="1476"/>
      <c r="FS19" s="1476"/>
      <c r="FT19" s="1476"/>
      <c r="FU19" s="1476"/>
      <c r="FV19" s="1476"/>
      <c r="FW19" s="1476"/>
      <c r="FX19" s="1480"/>
      <c r="GC19" s="1208">
        <v>0</v>
      </c>
    </row>
    <row s="37894" customFormat="1" customHeight="1" ht="11.25" hidden="1">
      <c r="B20" s="1224"/>
      <c r="D20" s="1208"/>
      <c r="E20" s="1223"/>
      <c r="F20" s="1481" t="s">
        <v>436</v>
      </c>
      <c r="G20" s="1482"/>
      <c r="H20" s="1483"/>
      <c r="I20" s="1483"/>
      <c r="J20" s="1483"/>
      <c r="K20" s="1483"/>
      <c r="L20" s="1483"/>
      <c r="M20" s="1483"/>
      <c r="N20" s="1483"/>
      <c r="O20" s="1482"/>
      <c r="P20" s="1482"/>
      <c r="Q20" s="1482"/>
      <c r="R20" s="1482"/>
      <c r="S20" s="1482"/>
      <c r="T20" s="1482"/>
      <c r="U20" s="1484"/>
      <c r="V20" s="1484"/>
      <c r="W20" s="1484"/>
      <c r="X20" s="1484"/>
      <c r="Y20" s="1484"/>
      <c r="Z20" s="1484"/>
      <c r="AA20" s="1484"/>
      <c r="AB20" s="1482"/>
      <c r="AC20" s="1483"/>
      <c r="AD20" s="1483"/>
      <c r="AE20" s="1483"/>
      <c r="AF20" s="1483"/>
      <c r="AG20" s="1483"/>
      <c r="AH20" s="1483"/>
      <c r="AI20" s="1483"/>
      <c r="AJ20" s="1483"/>
      <c r="AK20" s="1483"/>
      <c r="AL20" s="1483"/>
      <c r="AM20" s="1483"/>
      <c r="AN20" s="1483"/>
      <c r="AO20" s="1483"/>
      <c r="AP20" s="1483"/>
      <c r="AQ20" s="1483"/>
      <c r="AR20" s="1483"/>
      <c r="AS20" s="1483"/>
      <c r="AT20" s="1483"/>
      <c r="AU20" s="1483"/>
      <c r="AV20" s="1483"/>
      <c r="AW20" s="1483"/>
      <c r="AX20" s="1483"/>
      <c r="AY20" s="1483"/>
      <c r="AZ20" s="1483"/>
      <c r="BA20" s="1483"/>
      <c r="BB20" s="1483"/>
      <c r="BC20" s="1483"/>
      <c r="BD20" s="1483"/>
      <c r="BE20" s="1483"/>
      <c r="BF20" s="1483"/>
      <c r="BG20" s="1483"/>
      <c r="BH20" s="1483"/>
      <c r="BI20" s="1483"/>
      <c r="BJ20" s="1483"/>
      <c r="BK20" s="1483"/>
      <c r="BL20" s="1483"/>
      <c r="BM20" s="1483"/>
      <c r="BN20" s="1483"/>
      <c r="BO20" s="1483"/>
      <c r="BP20" s="1483"/>
      <c r="BQ20" s="1483"/>
      <c r="BR20" s="1483"/>
      <c r="BS20" s="1483"/>
      <c r="BT20" s="1483"/>
      <c r="BU20" s="1483"/>
      <c r="BV20" s="1483"/>
      <c r="BW20" s="1483"/>
      <c r="BX20" s="1483"/>
      <c r="BY20" s="1483"/>
      <c r="BZ20" s="1483"/>
      <c r="CA20" s="1483"/>
      <c r="CB20" s="1483"/>
      <c r="CC20" s="1483"/>
      <c r="CD20" s="1483"/>
      <c r="CE20" s="1483"/>
      <c r="CF20" s="1483"/>
      <c r="CG20" s="1483"/>
      <c r="CH20" s="1483"/>
      <c r="CI20" s="1483"/>
      <c r="CJ20" s="1483"/>
      <c r="CK20" s="1483"/>
      <c r="CL20" s="1485"/>
      <c r="CM20" s="1485"/>
      <c r="CN20" s="1485"/>
      <c r="CO20" s="1485"/>
      <c r="CP20" s="1485"/>
      <c r="CQ20" s="1485"/>
      <c r="CR20" s="1485"/>
      <c r="CS20" s="1485"/>
      <c r="CT20" s="1485"/>
      <c r="CU20" s="1485"/>
      <c r="CV20" s="1485"/>
      <c r="CW20" s="1485"/>
      <c r="CX20" s="1485"/>
      <c r="CY20" s="1485"/>
      <c r="CZ20" s="1485"/>
      <c r="DA20" s="1485"/>
      <c r="DB20" s="1485"/>
      <c r="DC20" s="1485"/>
      <c r="DD20" s="1485"/>
      <c r="DE20" s="1485"/>
      <c r="DF20" s="1485"/>
      <c r="DG20" s="1485"/>
      <c r="DH20" s="1485"/>
      <c r="DI20" s="1485"/>
      <c r="DJ20" s="1485"/>
      <c r="DK20" s="1485"/>
      <c r="DL20" s="1485"/>
      <c r="DM20" s="1485"/>
      <c r="DN20" s="1485"/>
      <c r="DO20" s="1485"/>
      <c r="DP20" s="1485"/>
      <c r="DQ20" s="1485"/>
      <c r="DR20" s="1485"/>
      <c r="DS20" s="1485"/>
      <c r="DT20" s="1485"/>
      <c r="DU20" s="1485"/>
      <c r="DV20" s="1485"/>
      <c r="DW20" s="1485"/>
      <c r="DX20" s="1485"/>
      <c r="DY20" s="1485"/>
      <c r="DZ20" s="1485"/>
      <c r="EA20" s="1485"/>
      <c r="EB20" s="1485"/>
      <c r="EC20" s="1485"/>
      <c r="ED20" s="1485"/>
      <c r="EE20" s="1485"/>
      <c r="EF20" s="1485"/>
      <c r="EG20" s="1485"/>
      <c r="EH20" s="1485"/>
      <c r="EI20" s="1485"/>
      <c r="EJ20" s="1485"/>
      <c r="EK20" s="1485"/>
      <c r="EL20" s="1485"/>
      <c r="EM20" s="1485"/>
      <c r="EN20" s="1485"/>
      <c r="EO20" s="1485"/>
      <c r="EP20" s="1485"/>
      <c r="EQ20" s="1485"/>
      <c r="ER20" s="1485"/>
      <c r="ES20" s="1485"/>
      <c r="ET20" s="1485"/>
      <c r="EU20" s="1485"/>
      <c r="EV20" s="1485"/>
      <c r="EW20" s="1485"/>
      <c r="EX20" s="1485"/>
      <c r="EY20" s="1485"/>
      <c r="EZ20" s="1485"/>
      <c r="FA20" s="1485"/>
      <c r="FB20" s="1485"/>
      <c r="FC20" s="1485"/>
      <c r="FD20" s="1485"/>
      <c r="FE20" s="1485"/>
      <c r="FF20" s="1485"/>
      <c r="FG20" s="1485"/>
      <c r="FH20" s="1485"/>
      <c r="FI20" s="1485"/>
      <c r="FJ20" s="1485"/>
      <c r="FK20" s="1485"/>
      <c r="FL20" s="1485"/>
      <c r="FM20" s="1485"/>
      <c r="FN20" s="1485"/>
      <c r="FO20" s="1485"/>
      <c r="FP20" s="1485"/>
      <c r="FQ20" s="1485"/>
      <c r="FR20" s="1485"/>
      <c r="FS20" s="1485"/>
      <c r="FT20" s="1485"/>
      <c r="FU20" s="1485"/>
      <c r="FV20" s="1485"/>
      <c r="FW20" s="1485"/>
      <c r="FX20" s="1486"/>
      <c r="GC20" s="1206">
        <v>0</v>
      </c>
    </row>
    <row s="37894" customFormat="1" customHeight="1" ht="12.75">
      <c r="A21" s="1225"/>
      <c r="B21" s="1225"/>
      <c r="C21" s="1225"/>
      <c r="D21" s="1225"/>
      <c r="E21" s="1225"/>
      <c r="F21" s="1223"/>
      <c r="G21" s="1223"/>
      <c r="H21" s="1223"/>
      <c r="I21" s="1223"/>
      <c r="J21" s="1223"/>
      <c r="K21" s="1223"/>
      <c r="L21" s="1223"/>
      <c r="M21" s="1223"/>
      <c r="N21" s="1223"/>
      <c r="O21" s="1223"/>
      <c r="P21" s="1223"/>
      <c r="Q21" s="1223"/>
      <c r="R21" s="1223"/>
      <c r="S21" s="1226"/>
      <c r="T21" s="1226"/>
      <c r="U21" s="1223"/>
      <c r="V21" s="1223"/>
      <c r="W21" s="1223"/>
      <c r="X21" s="1223"/>
      <c r="Y21" s="1223"/>
      <c r="Z21" s="1223"/>
      <c r="AA21" s="1223"/>
      <c r="AB21" s="1223"/>
      <c r="AC21" s="1223"/>
      <c r="AD21" s="1223"/>
      <c r="AE21" s="1223"/>
      <c r="AF21" s="1223"/>
      <c r="AG21" s="1223"/>
      <c r="AH21" s="1223"/>
      <c r="AI21" s="1223"/>
      <c r="AJ21" s="1223"/>
      <c r="AK21" s="1223"/>
      <c r="AL21" s="1223"/>
      <c r="AM21" s="1223"/>
      <c r="AN21" s="1223"/>
      <c r="AO21" s="1223"/>
      <c r="AP21" s="1223"/>
      <c r="AQ21" s="1223"/>
      <c r="AR21" s="1223"/>
      <c r="AS21" s="1223"/>
      <c r="AT21" s="1223"/>
      <c r="AU21" s="1223"/>
      <c r="AV21" s="1223"/>
      <c r="AW21" s="1223"/>
      <c r="AX21" s="1223"/>
      <c r="AY21" s="1223"/>
      <c r="AZ21" s="1223"/>
      <c r="BA21" s="1223"/>
      <c r="BB21" s="1223"/>
      <c r="BC21" s="1223"/>
      <c r="BD21" s="1223"/>
      <c r="BE21" s="1223"/>
      <c r="BF21" s="1223"/>
      <c r="BG21" s="1223"/>
      <c r="BH21" s="1223"/>
      <c r="BI21" s="1223"/>
      <c r="BJ21" s="1223"/>
      <c r="BK21" s="1223"/>
      <c r="BL21" s="1223"/>
      <c r="BM21" s="1223"/>
      <c r="BN21" s="1223"/>
      <c r="BO21" s="1223"/>
      <c r="BP21" s="1223"/>
      <c r="BQ21" s="1223"/>
      <c r="BR21" s="1223"/>
      <c r="BS21" s="1223"/>
      <c r="BT21" s="1223"/>
      <c r="BU21" s="1223"/>
      <c r="BV21" s="1223"/>
      <c r="BW21" s="1223"/>
      <c r="BX21" s="1223"/>
      <c r="BY21" s="1223"/>
      <c r="BZ21" s="1223"/>
      <c r="CA21" s="1223"/>
      <c r="CB21" s="1223"/>
      <c r="CC21" s="1223"/>
      <c r="CD21" s="1223"/>
      <c r="CE21" s="1223"/>
      <c r="CF21" s="1223"/>
      <c r="CG21" s="1223"/>
      <c r="CH21" s="1223"/>
      <c r="CI21" s="1223"/>
      <c r="CJ21" s="1223"/>
      <c r="CK21" s="1223"/>
      <c r="CL21" s="1223"/>
      <c r="CM21" s="1223"/>
      <c r="CN21" s="1223"/>
      <c r="CO21" s="1223"/>
      <c r="CP21" s="1223"/>
      <c r="CQ21" s="1223"/>
      <c r="CR21" s="1223"/>
      <c r="CS21" s="1223"/>
      <c r="CT21" s="1223"/>
      <c r="CU21" s="1223"/>
      <c r="CV21" s="1223"/>
      <c r="CW21" s="1223"/>
      <c r="CX21" s="1223"/>
      <c r="CY21" s="1223"/>
      <c r="CZ21" s="1223"/>
      <c r="DA21" s="1223"/>
      <c r="DB21" s="1223"/>
      <c r="DC21" s="1223"/>
      <c r="DD21" s="1223"/>
      <c r="DE21" s="1223"/>
      <c r="DF21" s="1223"/>
      <c r="DG21" s="1223"/>
      <c r="DH21" s="1223"/>
      <c r="DI21" s="1223"/>
      <c r="DJ21" s="1223"/>
      <c r="DK21" s="1223"/>
      <c r="DL21" s="1223"/>
      <c r="DM21" s="1223"/>
      <c r="DN21" s="1223"/>
      <c r="DO21" s="1223"/>
      <c r="DP21" s="1223"/>
      <c r="DQ21" s="1223"/>
      <c r="DR21" s="1223"/>
      <c r="DS21" s="1223"/>
      <c r="DT21" s="1223"/>
      <c r="DU21" s="1223"/>
      <c r="DV21" s="1223"/>
      <c r="DW21" s="1223"/>
      <c r="DX21" s="1223"/>
      <c r="DY21" s="1223"/>
      <c r="DZ21" s="1223"/>
      <c r="EA21" s="1223"/>
      <c r="EB21" s="1223"/>
      <c r="EC21" s="1223"/>
      <c r="ED21" s="1223"/>
      <c r="EE21" s="1223"/>
      <c r="EF21" s="1223"/>
      <c r="EG21" s="1223"/>
      <c r="EH21" s="1223"/>
      <c r="EI21" s="1223"/>
      <c r="EJ21" s="1223"/>
      <c r="EK21" s="1223"/>
      <c r="EL21" s="1223"/>
      <c r="EM21" s="1223"/>
      <c r="EN21" s="1223"/>
      <c r="EO21" s="1223"/>
      <c r="EP21" s="1223"/>
      <c r="EQ21" s="1223"/>
      <c r="ER21" s="1223"/>
      <c r="ES21" s="1223"/>
      <c r="ET21" s="1223"/>
      <c r="EU21" s="1223"/>
      <c r="EV21" s="1223"/>
      <c r="EW21" s="1223"/>
      <c r="EX21" s="1223"/>
      <c r="EY21" s="1223"/>
      <c r="EZ21" s="1223"/>
      <c r="FA21" s="1223"/>
      <c r="FB21" s="1223"/>
      <c r="FC21" s="1223"/>
      <c r="FD21" s="1223"/>
      <c r="FE21" s="1223"/>
      <c r="FF21" s="1223"/>
      <c r="FG21" s="1223"/>
      <c r="FH21" s="1223"/>
      <c r="FI21" s="1223"/>
      <c r="FJ21" s="1223"/>
      <c r="FK21" s="1223"/>
      <c r="FL21" s="1223"/>
      <c r="FM21" s="1223"/>
      <c r="FN21" s="1223"/>
      <c r="FO21" s="1223"/>
      <c r="FP21" s="1223"/>
      <c r="FQ21" s="1223"/>
      <c r="FR21" s="1223"/>
      <c r="FS21" s="1223"/>
      <c r="FT21" s="1223"/>
      <c r="FU21" s="1223"/>
      <c r="FV21" s="1223"/>
      <c r="FW21" s="1223"/>
      <c r="FX21" s="1225"/>
      <c r="FY21" s="1225"/>
      <c r="FZ21" s="1225"/>
      <c r="GA21" s="1225"/>
      <c r="GB21" s="1225"/>
      <c r="GC21" s="1206">
        <v>12</v>
      </c>
    </row>
    <row s="37894" customFormat="1" customHeight="1" ht="12.75">
      <c r="A22" s="1225"/>
      <c r="B22" s="1225"/>
      <c r="C22" s="1225"/>
      <c r="D22" s="1225"/>
      <c r="E22" s="1225"/>
      <c r="FX22" s="1225"/>
      <c r="FY22" s="1225"/>
      <c r="FZ22" s="1225"/>
      <c r="GA22" s="1225"/>
      <c r="GB22" s="1225"/>
      <c r="GC22" s="1206">
        <v>12</v>
      </c>
    </row>
    <row s="37964" customFormat="1" customHeight="1" ht="12.75">
      <c r="A23" s="1346"/>
      <c r="B23" s="1346"/>
      <c r="C23" s="1346"/>
      <c r="D23" s="1346"/>
      <c r="E23" s="1346"/>
      <c r="O23" s="1348"/>
      <c r="P23" s="1348"/>
      <c r="Q23" s="1348"/>
      <c r="R23" s="1348"/>
      <c r="S23" s="1348"/>
      <c r="T23" s="1348"/>
      <c r="U23" s="1348"/>
      <c r="V23" s="1348"/>
      <c r="W23" s="1348"/>
      <c r="X23" s="1348"/>
      <c r="Y23" s="1348"/>
      <c r="Z23" s="1348"/>
      <c r="AA23" s="1348"/>
      <c r="AB23" s="1348"/>
      <c r="AC23" s="1348"/>
      <c r="AD23" s="1348"/>
      <c r="AE23" s="1348"/>
      <c r="AF23" s="1348"/>
      <c r="AG23" s="1348"/>
      <c r="AH23" s="1348"/>
      <c r="AI23" s="1348"/>
      <c r="AJ23" s="1348"/>
      <c r="AK23" s="1348"/>
      <c r="AL23" s="1348"/>
      <c r="AM23" s="1348"/>
      <c r="AN23" s="1348"/>
      <c r="AO23" s="1348"/>
      <c r="AP23" s="1348"/>
      <c r="AQ23" s="1348"/>
      <c r="AR23" s="1348"/>
      <c r="AS23" s="1348"/>
      <c r="AT23" s="1348"/>
      <c r="AU23" s="1348"/>
      <c r="AV23" s="1348"/>
      <c r="AW23" s="1348"/>
      <c r="AX23" s="1348"/>
      <c r="AY23" s="1348"/>
      <c r="AZ23" s="1348"/>
      <c r="BA23" s="1348"/>
      <c r="BB23" s="1348"/>
      <c r="BC23" s="1348"/>
      <c r="BD23" s="1348"/>
      <c r="BE23" s="1348"/>
      <c r="BF23" s="1348"/>
      <c r="BG23" s="1348"/>
      <c r="BH23" s="1348"/>
      <c r="BI23" s="1348"/>
      <c r="BJ23" s="1348"/>
      <c r="BK23" s="1348"/>
      <c r="BL23" s="1348"/>
      <c r="BM23" s="1348"/>
      <c r="BN23" s="1348"/>
      <c r="BO23" s="1348"/>
      <c r="BP23" s="1348"/>
      <c r="BQ23" s="1348"/>
      <c r="BR23" s="1348"/>
      <c r="BS23" s="1348"/>
      <c r="BT23" s="1349"/>
      <c r="BU23" s="1349"/>
      <c r="BV23" s="1349"/>
      <c r="BW23" s="1349"/>
      <c r="BX23" s="1349"/>
      <c r="BY23" s="1349"/>
      <c r="BZ23" s="1349"/>
      <c r="CA23" s="1349"/>
      <c r="CB23" s="1349"/>
      <c r="CC23" s="1349"/>
      <c r="CD23" s="1349"/>
      <c r="CE23" s="1349"/>
      <c r="CF23" s="1349"/>
      <c r="CG23" s="1349"/>
      <c r="CH23" s="1349"/>
      <c r="CI23" s="1349"/>
      <c r="CJ23" s="1349"/>
      <c r="CK23" s="1349"/>
      <c r="CL23" s="1349"/>
      <c r="CM23" s="1349"/>
      <c r="CN23" s="1349"/>
      <c r="CO23" s="1349"/>
      <c r="CP23" s="1349"/>
      <c r="CQ23" s="1349"/>
      <c r="CR23" s="1349"/>
      <c r="CS23" s="1349"/>
      <c r="CT23" s="1349"/>
      <c r="CU23" s="1349"/>
      <c r="CV23" s="1349"/>
      <c r="CW23" s="1349"/>
      <c r="CX23" s="1349"/>
      <c r="CY23" s="1349"/>
      <c r="CZ23" s="1349"/>
      <c r="DA23" s="1349"/>
      <c r="DB23" s="1349"/>
      <c r="DC23" s="1349"/>
      <c r="DD23" s="1349"/>
      <c r="DE23" s="1349"/>
      <c r="DF23" s="1349"/>
      <c r="DG23" s="1349"/>
      <c r="DH23" s="1349"/>
      <c r="DI23" s="1349"/>
      <c r="DJ23" s="1349"/>
      <c r="DK23" s="1349"/>
      <c r="DL23" s="1349"/>
      <c r="DM23" s="1349"/>
      <c r="DN23" s="1349"/>
      <c r="DO23" s="1349"/>
      <c r="DP23" s="1349"/>
      <c r="DQ23" s="1349"/>
      <c r="DR23" s="1349"/>
      <c r="DS23" s="1349"/>
      <c r="DT23" s="1349"/>
      <c r="DU23" s="1349"/>
      <c r="DV23" s="1349"/>
      <c r="DW23" s="1349"/>
      <c r="DX23" s="1349"/>
      <c r="FX23" s="1346"/>
      <c r="FY23" s="1346"/>
      <c r="FZ23" s="1346"/>
      <c r="GA23" s="1346"/>
      <c r="GB23" s="1346"/>
      <c r="GC23" s="1347">
        <v>12</v>
      </c>
    </row>
    <row customHeight="1" ht="12.75">
      <c r="S24" s="1222"/>
      <c r="T24" s="1222"/>
      <c r="U24" s="1222"/>
      <c r="V24" s="1222"/>
      <c r="W24" s="1222"/>
      <c r="X24" s="1222"/>
      <c r="Y24" s="1222"/>
      <c r="Z24" s="1222"/>
      <c r="AA24" s="1222"/>
      <c r="AB24" s="1222"/>
      <c r="FX24" s="1222"/>
      <c r="FY24" s="1222"/>
      <c r="FZ24" s="1222"/>
      <c r="GA24" s="1222"/>
      <c r="GB24" s="1222"/>
      <c r="GC24" s="1210">
        <v>12</v>
      </c>
    </row>
    <row customHeight="1" ht="12" hidden="1">
      <c r="A25" s="1210" t="s">
        <v>85</v>
      </c>
      <c r="B25" s="1220">
        <v>0</v>
      </c>
      <c r="C25" s="1210">
        <v>0</v>
      </c>
      <c r="D25" s="1210">
        <v>0</v>
      </c>
      <c r="E25" s="1210">
        <v>3</v>
      </c>
      <c r="F25" s="1210">
        <v>6</v>
      </c>
      <c r="G25" s="1210">
        <v>18</v>
      </c>
      <c r="H25" s="1210">
        <v>27</v>
      </c>
      <c r="I25" s="1210">
        <v>18</v>
      </c>
      <c r="J25" s="1210">
        <v>0</v>
      </c>
      <c r="K25" s="1210">
        <v>0</v>
      </c>
      <c r="L25" s="1210">
        <v>0</v>
      </c>
      <c r="M25" s="1210">
        <v>0</v>
      </c>
      <c r="N25" s="1210">
        <v>0</v>
      </c>
      <c r="O25" s="1210">
        <v>0</v>
      </c>
      <c r="P25" s="1210">
        <v>0</v>
      </c>
      <c r="Q25" s="1210">
        <v>0</v>
      </c>
      <c r="R25" s="1210">
        <v>0</v>
      </c>
      <c r="S25" s="1210">
        <v>0</v>
      </c>
      <c r="T25" s="1210">
        <v>0</v>
      </c>
      <c r="U25" s="1210">
        <v>0</v>
      </c>
      <c r="V25" s="1210">
        <v>0</v>
      </c>
      <c r="W25" s="1210">
        <v>0</v>
      </c>
      <c r="X25" s="1210">
        <v>0</v>
      </c>
      <c r="Y25" s="1210">
        <v>0</v>
      </c>
      <c r="Z25" s="1210">
        <v>0</v>
      </c>
      <c r="AA25" s="1210">
        <v>0</v>
      </c>
      <c r="AB25" s="1210">
        <v>0</v>
      </c>
      <c r="AC25" s="1210">
        <v>0</v>
      </c>
      <c r="AD25" s="1210">
        <v>0</v>
      </c>
      <c r="AE25" s="1210">
        <v>0</v>
      </c>
      <c r="AF25" s="1210">
        <v>0</v>
      </c>
      <c r="AG25" s="1210">
        <v>0</v>
      </c>
      <c r="AH25" s="1210">
        <v>0</v>
      </c>
      <c r="AI25" s="1210">
        <v>0</v>
      </c>
      <c r="AJ25" s="1210">
        <v>0</v>
      </c>
      <c r="AK25" s="1210">
        <v>0</v>
      </c>
      <c r="AL25" s="1210">
        <v>0</v>
      </c>
      <c r="AM25" s="1210">
        <v>0</v>
      </c>
      <c r="AN25" s="1210">
        <v>0</v>
      </c>
      <c r="AO25" s="1210">
        <v>0</v>
      </c>
      <c r="AP25" s="1210">
        <v>0</v>
      </c>
      <c r="AQ25" s="1210">
        <v>0</v>
      </c>
      <c r="AR25" s="1210">
        <v>0</v>
      </c>
      <c r="AS25" s="1210">
        <v>0</v>
      </c>
      <c r="AT25" s="1210">
        <v>0</v>
      </c>
      <c r="AU25" s="1210">
        <v>0</v>
      </c>
      <c r="AV25" s="1210">
        <v>0</v>
      </c>
      <c r="AW25" s="1210">
        <v>0</v>
      </c>
      <c r="AX25" s="1210">
        <v>0</v>
      </c>
      <c r="AY25" s="1210">
        <v>0</v>
      </c>
      <c r="AZ25" s="1210">
        <v>0</v>
      </c>
      <c r="BA25" s="1210">
        <v>0</v>
      </c>
      <c r="BB25" s="1210">
        <v>0</v>
      </c>
      <c r="BC25" s="1210">
        <v>0</v>
      </c>
      <c r="BD25" s="1210">
        <v>0</v>
      </c>
      <c r="BE25" s="1210">
        <v>0</v>
      </c>
      <c r="BF25" s="1210">
        <v>0</v>
      </c>
      <c r="BG25" s="1210">
        <v>0</v>
      </c>
      <c r="BH25" s="1210">
        <v>0</v>
      </c>
      <c r="BI25" s="1210">
        <v>0</v>
      </c>
      <c r="BJ25" s="1210">
        <v>0</v>
      </c>
      <c r="BK25" s="1210">
        <v>0</v>
      </c>
      <c r="BL25" s="1210">
        <v>0</v>
      </c>
      <c r="BM25" s="1210">
        <v>0</v>
      </c>
      <c r="BN25" s="1210">
        <v>0</v>
      </c>
      <c r="BO25" s="1210">
        <v>0</v>
      </c>
      <c r="BP25" s="1210">
        <v>0</v>
      </c>
      <c r="BQ25" s="1210">
        <v>0</v>
      </c>
      <c r="BR25" s="1210">
        <v>0</v>
      </c>
      <c r="BS25" s="1210">
        <v>0</v>
      </c>
      <c r="BT25" s="1210">
        <v>0</v>
      </c>
      <c r="BU25" s="1210">
        <v>0</v>
      </c>
      <c r="BV25" s="1210">
        <v>0</v>
      </c>
      <c r="BW25" s="1210">
        <v>0</v>
      </c>
      <c r="BX25" s="1210">
        <v>0</v>
      </c>
      <c r="BY25" s="1210">
        <v>0</v>
      </c>
      <c r="BZ25" s="1210">
        <v>0</v>
      </c>
      <c r="CA25" s="1210">
        <v>0</v>
      </c>
      <c r="CB25" s="1210">
        <v>0</v>
      </c>
      <c r="CC25" s="1210">
        <v>0</v>
      </c>
      <c r="CD25" s="1210">
        <v>0</v>
      </c>
      <c r="CE25" s="1210">
        <v>0</v>
      </c>
      <c r="CF25" s="1210">
        <v>0</v>
      </c>
      <c r="CG25" s="1210">
        <v>0</v>
      </c>
      <c r="CH25" s="1210">
        <v>0</v>
      </c>
      <c r="CI25" s="1210">
        <v>0</v>
      </c>
      <c r="CJ25" s="1210">
        <v>0</v>
      </c>
      <c r="CK25" s="1210">
        <v>0</v>
      </c>
      <c r="CL25" s="1210">
        <v>0</v>
      </c>
      <c r="CM25" s="1210">
        <v>0</v>
      </c>
      <c r="CN25" s="1210">
        <v>0</v>
      </c>
      <c r="CO25" s="1210">
        <v>0</v>
      </c>
      <c r="CP25" s="1210">
        <v>0</v>
      </c>
      <c r="CQ25" s="1210">
        <v>0</v>
      </c>
      <c r="CR25" s="1210">
        <v>0</v>
      </c>
      <c r="CS25" s="1210">
        <v>0</v>
      </c>
      <c r="CT25" s="1210">
        <v>0</v>
      </c>
      <c r="CU25" s="1210">
        <v>0</v>
      </c>
      <c r="CV25" s="1210">
        <v>0</v>
      </c>
      <c r="CW25" s="1210">
        <v>0</v>
      </c>
      <c r="CX25" s="1210">
        <v>0</v>
      </c>
      <c r="CY25" s="1210">
        <v>0</v>
      </c>
      <c r="CZ25" s="1210">
        <v>0</v>
      </c>
      <c r="DA25" s="1210">
        <v>0</v>
      </c>
      <c r="DB25" s="1210">
        <v>0</v>
      </c>
      <c r="DC25" s="1210">
        <v>0</v>
      </c>
      <c r="DD25" s="1210">
        <v>0</v>
      </c>
      <c r="DE25" s="1210">
        <v>0</v>
      </c>
      <c r="DF25" s="1210">
        <v>0</v>
      </c>
      <c r="DG25" s="1210">
        <v>0</v>
      </c>
      <c r="DH25" s="1210">
        <v>0</v>
      </c>
      <c r="DI25" s="1210">
        <v>0</v>
      </c>
      <c r="DJ25" s="1210">
        <v>0</v>
      </c>
      <c r="DK25" s="1210">
        <v>0</v>
      </c>
      <c r="DL25" s="1210">
        <v>0</v>
      </c>
      <c r="DM25" s="1210">
        <v>0</v>
      </c>
      <c r="DN25" s="1210">
        <v>0</v>
      </c>
      <c r="DO25" s="1210">
        <v>0</v>
      </c>
      <c r="DP25" s="1210">
        <v>0</v>
      </c>
      <c r="DQ25" s="1210">
        <v>0</v>
      </c>
      <c r="DR25" s="1210">
        <v>0</v>
      </c>
      <c r="DS25" s="1210">
        <v>0</v>
      </c>
      <c r="DT25" s="1210">
        <v>0</v>
      </c>
      <c r="DU25" s="1210">
        <v>0</v>
      </c>
      <c r="DV25" s="1210">
        <v>0</v>
      </c>
      <c r="DW25" s="1210">
        <v>0</v>
      </c>
      <c r="DX25" s="1210">
        <v>0</v>
      </c>
      <c r="DY25" s="1210">
        <v>0</v>
      </c>
      <c r="DZ25" s="1210">
        <v>0</v>
      </c>
      <c r="EA25" s="1210">
        <v>0</v>
      </c>
      <c r="EB25" s="1210">
        <v>0</v>
      </c>
      <c r="EC25" s="1210">
        <v>0</v>
      </c>
      <c r="ED25" s="1210">
        <v>0</v>
      </c>
      <c r="EE25" s="1210">
        <v>0</v>
      </c>
      <c r="EF25" s="1210">
        <v>0</v>
      </c>
      <c r="EG25" s="1210">
        <v>0</v>
      </c>
      <c r="EH25" s="1210">
        <v>0</v>
      </c>
      <c r="EI25" s="1210">
        <v>0</v>
      </c>
      <c r="EJ25" s="1210">
        <v>0</v>
      </c>
      <c r="EK25" s="1210">
        <v>0</v>
      </c>
      <c r="EL25" s="1210">
        <v>0</v>
      </c>
      <c r="EM25" s="1210">
        <v>0</v>
      </c>
      <c r="EN25" s="1210">
        <v>0</v>
      </c>
      <c r="EO25" s="1210">
        <v>0</v>
      </c>
      <c r="EP25" s="1210">
        <v>0</v>
      </c>
      <c r="EQ25" s="1210">
        <v>0</v>
      </c>
      <c r="ER25" s="1210">
        <v>0</v>
      </c>
      <c r="ES25" s="1210">
        <v>0</v>
      </c>
      <c r="ET25" s="1210">
        <v>0</v>
      </c>
      <c r="EU25" s="1210">
        <v>0</v>
      </c>
      <c r="EV25" s="1210">
        <v>0</v>
      </c>
      <c r="EW25" s="1210">
        <v>0</v>
      </c>
      <c r="EX25" s="1210">
        <v>0</v>
      </c>
      <c r="EY25" s="1210">
        <v>0</v>
      </c>
      <c r="EZ25" s="1210">
        <v>0</v>
      </c>
      <c r="FA25" s="1210">
        <v>0</v>
      </c>
      <c r="FB25" s="1210">
        <v>0</v>
      </c>
      <c r="FC25" s="1210">
        <v>0</v>
      </c>
      <c r="FD25" s="1210">
        <v>0</v>
      </c>
      <c r="FE25" s="1210">
        <v>0</v>
      </c>
      <c r="FF25" s="1210">
        <v>0</v>
      </c>
      <c r="FG25" s="1210">
        <v>0</v>
      </c>
      <c r="FH25" s="1210">
        <v>0</v>
      </c>
      <c r="FI25" s="1210">
        <v>0</v>
      </c>
      <c r="FJ25" s="1210">
        <v>0</v>
      </c>
      <c r="FK25" s="1210">
        <v>0</v>
      </c>
      <c r="FL25" s="1210">
        <v>0</v>
      </c>
      <c r="FM25" s="1210">
        <v>0</v>
      </c>
      <c r="FN25" s="1210">
        <v>0</v>
      </c>
      <c r="FO25" s="1210">
        <v>0</v>
      </c>
      <c r="FP25" s="1210">
        <v>0</v>
      </c>
      <c r="FQ25" s="1210">
        <v>0</v>
      </c>
      <c r="FR25" s="1210">
        <v>0</v>
      </c>
      <c r="FS25" s="1210">
        <v>0</v>
      </c>
      <c r="FT25" s="1210">
        <v>0</v>
      </c>
      <c r="FU25" s="1210">
        <v>0</v>
      </c>
      <c r="FV25" s="1210">
        <v>0</v>
      </c>
      <c r="FW25" s="1210">
        <v>0</v>
      </c>
      <c r="FX25" s="1210">
        <v>8</v>
      </c>
      <c r="FY25" s="1210">
        <v>8</v>
      </c>
      <c r="FZ25" s="1210">
        <v>8</v>
      </c>
      <c r="GA25" s="1210">
        <v>8</v>
      </c>
      <c r="GB25" s="1210">
        <v>8</v>
      </c>
      <c r="GC25" s="1210">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4567E2-3A88-FE93-DDAD-E83CFBABFAFA}" mc:Ignorable="x14ac xr xr2 xr3">
  <sheetPr>
    <tabColor theme="2" tint="-0.1"/>
  </sheetPr>
  <dimension ref="A1:S23"/>
  <sheetViews>
    <sheetView showGridLines="0" zoomScale="90" workbookViewId="0">
      <pane xSplit="7" ySplit="14" topLeftCell="H15" activePane="bottomRight" state="frozen"/>
      <selection pane="bottomLeft" activeCell="A15" sqref="A15"/>
      <selection pane="topRight" activeCell="H1" sqref="H1"/>
      <selection pane="bottomRight" activeCell="A1" sqref="A1"/>
    </sheetView>
  </sheetViews>
  <sheetFormatPr defaultColWidth="10.57421875" customHeight="1" defaultRowHeight="15"/>
  <cols>
    <col min="1" max="1" style="30505" width="9.140625" hidden="1" customWidth="1"/>
    <col min="2" max="2" style="30541" width="9.140625" hidden="1" customWidth="1"/>
    <col min="3" max="3" style="37788" width="4.00390625" customWidth="1"/>
    <col min="4" max="4" style="30541" width="6.00390625" customWidth="1"/>
    <col min="5" max="5" style="30541" width="36.00390625" customWidth="1"/>
    <col min="6" max="6" style="30541" width="9.00390625" customWidth="1"/>
    <col min="7" max="7" style="30541" width="42.421875" hidden="1" customWidth="1"/>
    <col min="8" max="8" style="30541" width="40.7109375" customWidth="1"/>
    <col min="9" max="9" style="30620" width="93.00390625" customWidth="1"/>
    <col min="10" max="17" style="30541" width="10.00390625" customWidth="1"/>
    <col min="18" max="18" style="37789" width="10.00390625" customWidth="1"/>
    <col min="19" max="19" style="30541" width="10.57421875" hidden="1"/>
  </cols>
  <sheetData>
    <row s="30620" customFormat="1" customHeight="1" ht="15" hidden="1">
      <c r="C1" s="956"/>
      <c r="H1" s="701">
        <v>4</v>
      </c>
      <c r="R1" s="704"/>
      <c r="S1" s="701" t="s">
        <v>14</v>
      </c>
    </row>
    <row customHeight="1" ht="22.5" hidden="1">
      <c r="C2" s="2212" t="s">
        <v>106</v>
      </c>
      <c r="D2" s="823"/>
      <c r="E2" s="947"/>
      <c r="F2" s="2045" t="str">
        <f>IF(TEMPLATE_SPHERE="HEAT","Гкал/час","тыс. куб. м/сутки")</f>
        <v>Гкал/час</v>
      </c>
      <c r="G2" s="964"/>
      <c r="H2" s="964"/>
      <c r="I2" s="573"/>
      <c r="S2" s="789">
        <v>0</v>
      </c>
    </row>
    <row s="30620" customFormat="1" customHeight="1" ht="15" hidden="1">
      <c r="C3" s="956"/>
      <c r="R3" s="704"/>
      <c r="S3" s="701">
        <v>0</v>
      </c>
    </row>
    <row customHeight="1" ht="15.75">
      <c r="C4" s="460"/>
      <c r="D4" s="793"/>
      <c r="E4" s="793"/>
      <c r="F4" s="793"/>
      <c r="G4" s="793"/>
      <c r="H4" s="793"/>
      <c r="S4" s="789">
        <v>15</v>
      </c>
    </row>
    <row customHeight="1" ht="39.75">
      <c r="C5" s="460"/>
      <c r="D5" s="252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21"/>
      <c r="F5" s="2521"/>
      <c r="G5" s="2521"/>
      <c r="H5" s="2521"/>
      <c r="I5" s="821"/>
      <c r="S5" s="789">
        <v>38</v>
      </c>
    </row>
    <row customHeight="1" ht="15.75">
      <c r="C6" s="460"/>
      <c r="D6" s="2460" t="str">
        <f>IF(org=0,"Не определено",org)</f>
        <v>АО "ДГК"</v>
      </c>
      <c r="E6" s="2460"/>
      <c r="F6" s="2460"/>
      <c r="G6" s="2460"/>
      <c r="H6" s="2460"/>
      <c r="I6" s="821"/>
      <c r="S6" s="789">
        <v>15</v>
      </c>
    </row>
    <row s="30541" customFormat="1" customHeight="1" ht="15.75">
      <c r="A7" s="1043"/>
      <c r="C7" s="460"/>
      <c r="D7" s="960"/>
      <c r="E7" s="960"/>
      <c r="F7" s="960"/>
      <c r="G7" s="960"/>
      <c r="H7" s="1036"/>
      <c r="I7" s="821"/>
      <c r="R7" s="959"/>
      <c r="S7" s="1042">
        <v>15</v>
      </c>
    </row>
    <row customHeight="1" ht="1.05">
      <c r="C8" s="460"/>
      <c r="D8" s="793"/>
      <c r="E8" s="793"/>
      <c r="F8" s="793"/>
      <c r="G8" s="793"/>
      <c r="H8" s="821" t="s">
        <v>147</v>
      </c>
      <c r="S8" s="789">
        <v>1</v>
      </c>
    </row>
    <row customHeight="1" ht="15.75">
      <c r="C9" s="460"/>
      <c r="D9" s="995"/>
      <c r="E9" s="2651" t="s">
        <v>137</v>
      </c>
      <c r="F9" s="2652"/>
      <c r="G9" s="1100" t="str">
        <f>IF(G8="","",INDEX(DIFFERENTIATION_UNMERGE_VD,MATCH(G8,DIFFERENTIATION_ID_DIFF,0)))</f>
        <v/>
      </c>
      <c r="H9" s="1100">
        <f>IF(H8="","",INDEX(DIFFERENTIATION_UNMERGE_VD,MATCH(H8,DIFFERENTIATION_ID_DIFF,0)))</f>
        <v>0</v>
      </c>
      <c r="I9" s="2411" t="s">
        <v>361</v>
      </c>
      <c r="S9" s="789">
        <v>15</v>
      </c>
    </row>
    <row s="30541" customFormat="1" customHeight="1" ht="15.75">
      <c r="A10" s="1043"/>
      <c r="C10" s="460"/>
      <c r="D10" s="995"/>
      <c r="E10" s="2651" t="s">
        <v>636</v>
      </c>
      <c r="F10" s="2652"/>
      <c r="G10" s="1100" t="str">
        <f>IF(G8="","",INDEX(DIFFERENTIATION_UNMERGE_AREA,MATCH(G8,DIFFERENTIATION_ID_DIFF,0)))</f>
        <v/>
      </c>
      <c r="H10" s="1100" t="str">
        <f>IF(H8="","",INDEX(DIFFERENTIATION_UNMERGE_AREA,MATCH(H8,DIFFERENTIATION_ID_DIFF,0)))</f>
        <v/>
      </c>
      <c r="I10" s="2411"/>
      <c r="R10" s="959"/>
      <c r="S10" s="1042">
        <v>15</v>
      </c>
    </row>
    <row s="30541" customFormat="1" customHeight="1" ht="15.75">
      <c r="A11" s="1043"/>
      <c r="C11" s="460"/>
      <c r="D11" s="995"/>
      <c r="E11" s="2651" t="s">
        <v>637</v>
      </c>
      <c r="F11" s="2652"/>
      <c r="G11" s="1100" t="str">
        <f>IF(G8="","",INDEX(DIFFERENTIATION_UNMERGE_SYSTEM,MATCH(G8,DIFFERENTIATION_ID_DIFF,0)))</f>
        <v/>
      </c>
      <c r="H11" s="1100" t="str">
        <f>IF(H8="","",INDEX(DIFFERENTIATION_UNMERGE_SYSTEM,MATCH(H8,DIFFERENTIATION_ID_DIFF,0)))</f>
        <v>без дифференциации</v>
      </c>
      <c r="I11" s="2411"/>
      <c r="R11" s="959"/>
      <c r="S11" s="1042">
        <v>15</v>
      </c>
    </row>
    <row s="30541" customFormat="1" customHeight="1" ht="15.75">
      <c r="A12" s="1043"/>
      <c r="C12" s="460"/>
      <c r="D12" s="2653" t="s">
        <v>360</v>
      </c>
      <c r="E12" s="2654"/>
      <c r="F12" s="2654"/>
      <c r="G12" s="1171"/>
      <c r="H12" s="1171"/>
      <c r="I12" s="2411"/>
      <c r="R12" s="959"/>
      <c r="S12" s="1042">
        <v>15</v>
      </c>
    </row>
    <row customHeight="1" ht="35.699999999999996">
      <c r="C13" s="460"/>
      <c r="D13" s="1045" t="s">
        <v>91</v>
      </c>
      <c r="E13" s="1044" t="s">
        <v>362</v>
      </c>
      <c r="F13" s="1044" t="s">
        <v>638</v>
      </c>
      <c r="G13" s="1092" t="s">
        <v>363</v>
      </c>
      <c r="H13" s="1038" t="s">
        <v>363</v>
      </c>
      <c r="I13" s="2411"/>
      <c r="S13" s="789">
        <v>34</v>
      </c>
    </row>
    <row customHeight="1" ht="15" hidden="1">
      <c r="C14" s="460"/>
      <c r="D14" s="877" t="s">
        <v>141</v>
      </c>
      <c r="E14" s="877" t="s">
        <v>105</v>
      </c>
      <c r="F14" s="877" t="s">
        <v>93</v>
      </c>
      <c r="G14" s="943" t="str">
        <f>G1&amp;".1"</f>
        <v>.1</v>
      </c>
      <c r="H14" s="943" t="str">
        <f>H1&amp;".1"</f>
        <v>4.1</v>
      </c>
      <c r="I14" s="573"/>
      <c r="S14" s="789">
        <v>0</v>
      </c>
    </row>
    <row customHeight="1" ht="15.75">
      <c r="A15" s="789"/>
      <c r="C15" s="810"/>
      <c r="D15" s="805">
        <v>1</v>
      </c>
      <c r="E15" s="2214" t="str">
        <f>TP_P_A</f>
        <v>Количество поданных заявок</v>
      </c>
      <c r="F15" s="805" t="s">
        <v>1186</v>
      </c>
      <c r="G15" s="969"/>
      <c r="H15" s="969"/>
      <c r="I15" s="492"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789">
        <v>15</v>
      </c>
    </row>
    <row customHeight="1" ht="15.75">
      <c r="A16" s="789"/>
      <c r="C16" s="810"/>
      <c r="D16" s="805">
        <v>2</v>
      </c>
      <c r="E16" s="2214" t="str">
        <f>TP_P_B</f>
        <v>Количество рассмотренных заявок</v>
      </c>
      <c r="F16" s="805" t="s">
        <v>1186</v>
      </c>
      <c r="G16" s="969"/>
      <c r="H16" s="969"/>
      <c r="I16" s="492"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789">
        <v>15</v>
      </c>
    </row>
    <row customHeight="1" ht="77.7">
      <c r="A17" s="789"/>
      <c r="C17" s="810"/>
      <c r="D17" s="805">
        <v>3</v>
      </c>
      <c r="E17" s="2214"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805" t="s">
        <v>1186</v>
      </c>
      <c r="G17" s="969"/>
      <c r="H17" s="969"/>
      <c r="I17" s="492" t="str">
        <f>TP_P_NOTE_V</f>
        <v>Указывается количество заявок с решением об отказе в течение отчетного квартала.</v>
      </c>
      <c r="S17" s="789">
        <v>74</v>
      </c>
    </row>
    <row customHeight="1" ht="54.75">
      <c r="A18" s="789"/>
      <c r="C18" s="810"/>
      <c r="D18" s="805">
        <v>4</v>
      </c>
      <c r="E18" s="2214" t="str">
        <f>TP_P_V_1</f>
        <v>Причины отказа в заключении договора о подключении (технологическом присоединении) к системе теплоснабжения</v>
      </c>
      <c r="F18" s="805" t="s">
        <v>366</v>
      </c>
      <c r="G18" s="970"/>
      <c r="H18" s="970"/>
      <c r="I18" s="1122"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789">
        <v>52</v>
      </c>
    </row>
    <row customHeight="1" ht="60">
      <c r="A19" s="789"/>
      <c r="C19" s="810"/>
      <c r="D19" s="805">
        <v>5</v>
      </c>
      <c r="E19" s="2214" t="str">
        <f>TP_P_G</f>
        <v>Резерв мощности источников тепловой энергии, входящих в систему теплоснабжения, в течение одного квартала, в том числе:</v>
      </c>
      <c r="F19" s="805" t="str">
        <f>IF(TEMPLATE_SPHERE="HEAT","Гкал/час","тыс. куб. м/сутки")</f>
        <v>Гкал/час</v>
      </c>
      <c r="G19" s="971">
        <f>SUM(G20:G22)</f>
        <v>0</v>
      </c>
      <c r="H19" s="971">
        <f>SUM(H20:H22)</f>
        <v>0</v>
      </c>
      <c r="I19" s="492"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789">
        <v>57</v>
      </c>
    </row>
    <row customHeight="1" ht="15" hidden="1">
      <c r="D20" s="793" t="s">
        <v>1187</v>
      </c>
      <c r="E20" s="972"/>
      <c r="F20" s="793"/>
      <c r="G20" s="793"/>
      <c r="H20" s="793"/>
      <c r="I20" s="2047"/>
      <c r="S20" s="789">
        <v>0</v>
      </c>
    </row>
    <row customHeight="1" ht="29.25">
      <c r="C21" s="735"/>
      <c r="D21" s="823" t="s">
        <v>373</v>
      </c>
      <c r="E21" s="954"/>
      <c r="F21" s="2045" t="str">
        <f>IF(TEMPLATE_SPHERE="HEAT","Гкал/час","тыс. куб. м/сутки")</f>
        <v>Гкал/час</v>
      </c>
      <c r="G21" s="964"/>
      <c r="H21" s="964"/>
      <c r="I21" s="2453"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789">
        <v>28</v>
      </c>
    </row>
    <row customHeight="1" ht="15.75">
      <c r="A22" s="789"/>
      <c r="C22" s="789"/>
      <c r="D22" s="631"/>
      <c r="E22" s="864" t="s">
        <v>1188</v>
      </c>
      <c r="F22" s="856"/>
      <c r="G22" s="856"/>
      <c r="H22" s="856"/>
      <c r="I22" s="2455"/>
      <c r="R22" s="789"/>
      <c r="S22" s="789">
        <v>15</v>
      </c>
    </row>
    <row customHeight="1" ht="22.5" hidden="1">
      <c r="A23" s="733" t="s">
        <v>85</v>
      </c>
      <c r="B23" s="789">
        <v>0</v>
      </c>
      <c r="C23" s="967">
        <v>4</v>
      </c>
      <c r="D23" s="789">
        <v>6</v>
      </c>
      <c r="E23" s="789">
        <v>36</v>
      </c>
      <c r="F23" s="789">
        <v>9</v>
      </c>
      <c r="G23" s="1042">
        <v>0</v>
      </c>
      <c r="H23" s="789">
        <v>40</v>
      </c>
      <c r="I23" s="701">
        <v>93</v>
      </c>
      <c r="J23" s="789">
        <v>10</v>
      </c>
      <c r="K23" s="789">
        <v>10</v>
      </c>
      <c r="L23" s="789">
        <v>10</v>
      </c>
      <c r="M23" s="789">
        <v>10</v>
      </c>
      <c r="N23" s="789">
        <v>10</v>
      </c>
      <c r="O23" s="789">
        <v>10</v>
      </c>
      <c r="P23" s="789">
        <v>10</v>
      </c>
      <c r="Q23" s="789">
        <v>10</v>
      </c>
      <c r="R23" s="959">
        <v>10</v>
      </c>
      <c r="S23" s="789">
        <v>23</v>
      </c>
    </row>
  </sheetData>
  <sheetProtection sheet="1" formatColumns="0" formatRows="0" autoFilter="0" sort="1" insertRows="1" insertColumns="1" deleteRows="1" deleteColumns="1"/>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2834F6-061E-7C72-A5A8-1610B375E66E}"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31504" width="9.140625" hidden="1" customWidth="1"/>
    <col min="2" max="2" style="30620" width="9.140625" hidden="1" customWidth="1"/>
    <col min="3" max="3" style="31505" width="3.00390625" customWidth="1"/>
    <col min="4" max="4" style="30541" width="6.00390625" customWidth="1"/>
    <col min="5" max="6" style="30541" width="64.00390625" customWidth="1"/>
    <col min="7" max="7" style="30541" width="140.00390625" customWidth="1"/>
    <col min="8" max="8" style="30541" width="10.00390625" customWidth="1"/>
    <col min="9" max="10" style="30727" width="10.00390625" customWidth="1"/>
    <col min="11" max="16" style="30541" width="10.00390625" customWidth="1"/>
    <col min="17" max="17" style="30541" width="10.57421875" hidden="1"/>
  </cols>
  <sheetData>
    <row customHeight="1" ht="22.5" hidden="1">
      <c r="M1" s="539"/>
      <c r="N1" s="539"/>
      <c r="P1" s="539"/>
      <c r="Q1" s="367" t="s">
        <v>14</v>
      </c>
    </row>
    <row customHeight="1" ht="14.25" hidden="1">
      <c r="Q2" s="367">
        <v>0</v>
      </c>
    </row>
    <row customHeight="1" ht="14.25" hidden="1">
      <c r="Q3" s="367">
        <v>0</v>
      </c>
    </row>
    <row customHeight="1" ht="3">
      <c r="C4" s="380"/>
      <c r="D4" s="368"/>
      <c r="E4" s="368"/>
      <c r="F4" s="369"/>
      <c r="G4" s="369"/>
      <c r="Q4" s="367">
        <v>3</v>
      </c>
    </row>
    <row customHeight="1" ht="29.25">
      <c r="C5" s="380"/>
      <c r="D5" s="273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739"/>
      <c r="F5" s="2739"/>
      <c r="G5" s="2740"/>
      <c r="Q5" s="367">
        <v>28</v>
      </c>
    </row>
    <row s="30541" customFormat="1" customHeight="1" ht="18.75">
      <c r="A6" s="1166"/>
      <c r="B6" s="701"/>
      <c r="C6" s="660"/>
      <c r="D6" s="2741" t="str">
        <f>IF(org=0,"Не определено",org)</f>
        <v>АО "ДГК"</v>
      </c>
      <c r="E6" s="2742"/>
      <c r="F6" s="2742"/>
      <c r="G6" s="2743"/>
      <c r="I6" s="784"/>
      <c r="J6" s="784"/>
      <c r="Q6" s="1042">
        <v>18</v>
      </c>
    </row>
    <row customHeight="1" ht="14.699999999999998">
      <c r="C7" s="380"/>
      <c r="D7" s="368"/>
      <c r="E7" s="379"/>
      <c r="F7" s="1036"/>
      <c r="G7" s="477"/>
      <c r="Q7" s="367">
        <v>14</v>
      </c>
    </row>
    <row s="30541" customFormat="1" customHeight="1" ht="1.05">
      <c r="A8" s="1953"/>
      <c r="B8" s="1444"/>
      <c r="C8" s="660"/>
      <c r="D8" s="647"/>
      <c r="E8" s="673"/>
      <c r="F8" s="1036"/>
      <c r="G8" s="477"/>
      <c r="I8" s="1908"/>
      <c r="J8" s="1908"/>
      <c r="Q8" s="1915">
        <v>1</v>
      </c>
    </row>
    <row customHeight="1" ht="14.699999999999998">
      <c r="C9" s="380"/>
      <c r="D9" s="2493" t="s">
        <v>360</v>
      </c>
      <c r="E9" s="2493"/>
      <c r="F9" s="2493"/>
      <c r="G9" s="2673" t="s">
        <v>361</v>
      </c>
      <c r="Q9" s="367">
        <v>14</v>
      </c>
    </row>
    <row customHeight="1" ht="24">
      <c r="C10" s="380"/>
      <c r="D10" s="389" t="s">
        <v>91</v>
      </c>
      <c r="E10" s="392" t="s">
        <v>362</v>
      </c>
      <c r="F10" s="392" t="s">
        <v>450</v>
      </c>
      <c r="G10" s="2673"/>
      <c r="Q10" s="367">
        <v>23</v>
      </c>
    </row>
    <row customHeight="1" ht="12" hidden="1">
      <c r="C11" s="380"/>
      <c r="D11" s="371"/>
      <c r="E11" s="371"/>
      <c r="F11" s="371"/>
      <c r="G11" s="371"/>
      <c r="Q11" s="367">
        <v>0</v>
      </c>
    </row>
    <row customHeight="1" ht="65.25">
      <c r="A12" s="476"/>
      <c r="C12" s="380"/>
      <c r="D12" s="431">
        <v>1</v>
      </c>
      <c r="E12" s="481"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482" t="s">
        <v>366</v>
      </c>
      <c r="G12" s="435"/>
      <c r="Q12" s="367">
        <v>62</v>
      </c>
    </row>
    <row customHeight="1" ht="24">
      <c r="A13" s="476"/>
      <c r="C13" s="380"/>
      <c r="D13" s="431" t="s">
        <v>1093</v>
      </c>
      <c r="E13" s="478"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482" t="s">
        <v>366</v>
      </c>
      <c r="G13" s="435"/>
      <c r="Q13" s="367">
        <v>23</v>
      </c>
    </row>
    <row customHeight="1" ht="14.699999999999998">
      <c r="A14" s="476"/>
      <c r="C14" s="380"/>
      <c r="D14" s="431" t="s">
        <v>1129</v>
      </c>
      <c r="E14" s="479"/>
      <c r="F14" s="497"/>
      <c r="G14" s="245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367">
        <v>14</v>
      </c>
    </row>
    <row customHeight="1" ht="15.75">
      <c r="A15" s="476"/>
      <c r="C15" s="380"/>
      <c r="D15" s="393"/>
      <c r="E15" s="633" t="s">
        <v>1189</v>
      </c>
      <c r="F15" s="485"/>
      <c r="G15" s="2455"/>
      <c r="Q15" s="367">
        <v>15</v>
      </c>
    </row>
    <row customHeight="1" ht="14.699999999999998">
      <c r="A16" s="476"/>
      <c r="C16" s="380"/>
      <c r="D16" s="431" t="s">
        <v>1095</v>
      </c>
      <c r="E16" s="478"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482" t="s">
        <v>366</v>
      </c>
      <c r="G16" s="621"/>
      <c r="Q16" s="367">
        <v>14</v>
      </c>
    </row>
    <row customHeight="1" ht="14.699999999999998">
      <c r="A17" s="476"/>
      <c r="C17" s="380"/>
      <c r="D17" s="431" t="s">
        <v>1137</v>
      </c>
      <c r="E17" s="479"/>
      <c r="F17" s="669"/>
      <c r="G17" s="245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367">
        <v>14</v>
      </c>
    </row>
    <row s="30541" customFormat="1" customHeight="1" ht="22.049999999999997">
      <c r="A18" s="627"/>
      <c r="B18" s="430"/>
      <c r="C18" s="591"/>
      <c r="D18" s="631"/>
      <c r="E18" s="633" t="s">
        <v>1190</v>
      </c>
      <c r="F18" s="622"/>
      <c r="G18" s="2455"/>
      <c r="I18" s="634"/>
      <c r="J18" s="634"/>
      <c r="Q18" s="626">
        <v>21</v>
      </c>
    </row>
    <row s="30541" customFormat="1" customHeight="1" ht="256.5" hidden="1">
      <c r="A19" s="627"/>
      <c r="B19" s="701"/>
      <c r="C19" s="660"/>
      <c r="D19" s="1168" t="s">
        <v>1097</v>
      </c>
      <c r="E19" s="1167" t="s">
        <v>1191</v>
      </c>
      <c r="F19" s="669"/>
      <c r="G19" s="621" t="s">
        <v>1192</v>
      </c>
      <c r="I19" s="784"/>
      <c r="J19" s="784"/>
      <c r="Q19" s="1042">
        <v>0</v>
      </c>
    </row>
    <row s="30541" customFormat="1" customHeight="1" ht="14.699999999999998">
      <c r="A20" s="627"/>
      <c r="B20" s="430"/>
      <c r="C20" s="591"/>
      <c r="D20" s="1169">
        <v>2</v>
      </c>
      <c r="E20" s="614" t="s">
        <v>1193</v>
      </c>
      <c r="F20" s="482" t="s">
        <v>366</v>
      </c>
      <c r="G20" s="621"/>
      <c r="I20" s="634"/>
      <c r="J20" s="634"/>
      <c r="Q20" s="626">
        <v>14</v>
      </c>
    </row>
    <row s="30541" customFormat="1" customHeight="1" ht="18.75" hidden="1">
      <c r="A21" s="627"/>
      <c r="B21" s="430"/>
      <c r="C21" s="591"/>
      <c r="D21" s="617" t="s">
        <v>708</v>
      </c>
      <c r="E21" s="616"/>
      <c r="F21" s="615"/>
      <c r="G21" s="625"/>
      <c r="H21" s="618"/>
      <c r="I21" s="634"/>
      <c r="J21" s="634"/>
      <c r="Q21" s="626">
        <v>0</v>
      </c>
    </row>
    <row customHeight="1" ht="15.75">
      <c r="A22" s="476"/>
      <c r="C22" s="380"/>
      <c r="D22" s="393"/>
      <c r="E22" s="487" t="s">
        <v>382</v>
      </c>
      <c r="F22" s="622"/>
      <c r="G22" s="623"/>
      <c r="Q22" s="367">
        <v>15</v>
      </c>
    </row>
    <row s="30541" customFormat="1" customHeight="1" ht="22.5" hidden="1">
      <c r="A23" s="627"/>
      <c r="B23" s="1444"/>
      <c r="C23" s="660"/>
      <c r="D23" s="1957" t="s">
        <v>105</v>
      </c>
      <c r="E23" s="481" t="s">
        <v>1194</v>
      </c>
      <c r="F23" s="1954" t="s">
        <v>366</v>
      </c>
      <c r="G23" s="629"/>
      <c r="I23" s="1908"/>
      <c r="J23" s="1908"/>
      <c r="Q23" s="1915">
        <v>0</v>
      </c>
    </row>
    <row s="30541" customFormat="1" customHeight="1" ht="14.25" hidden="1">
      <c r="A24" s="627"/>
      <c r="B24" s="1444"/>
      <c r="C24" s="660"/>
      <c r="D24" s="1957" t="s">
        <v>780</v>
      </c>
      <c r="E24" s="1956" t="s">
        <v>1195</v>
      </c>
      <c r="F24" s="1954" t="s">
        <v>366</v>
      </c>
      <c r="G24" s="621"/>
      <c r="I24" s="1908"/>
      <c r="J24" s="1908"/>
      <c r="Q24" s="1915">
        <v>0</v>
      </c>
    </row>
    <row s="30541" customFormat="1" customHeight="1" ht="14.25" hidden="1">
      <c r="A25" s="627"/>
      <c r="B25" s="1444"/>
      <c r="C25" s="660"/>
      <c r="D25" s="1957" t="s">
        <v>783</v>
      </c>
      <c r="E25" s="479"/>
      <c r="F25" s="669"/>
      <c r="G25" s="2453" t="s">
        <v>1196</v>
      </c>
      <c r="I25" s="1908"/>
      <c r="J25" s="1908"/>
      <c r="Q25" s="1915">
        <v>0</v>
      </c>
    </row>
    <row s="30541" customFormat="1" customHeight="1" ht="22.5" hidden="1">
      <c r="A26" s="627"/>
      <c r="B26" s="1444"/>
      <c r="C26" s="660"/>
      <c r="D26" s="631"/>
      <c r="E26" s="633" t="s">
        <v>1197</v>
      </c>
      <c r="F26" s="622"/>
      <c r="G26" s="2455"/>
      <c r="I26" s="1908"/>
      <c r="J26" s="1908"/>
      <c r="Q26" s="1915">
        <v>0</v>
      </c>
    </row>
    <row customHeight="1" ht="3">
      <c r="Q27" s="367">
        <v>3</v>
      </c>
    </row>
    <row customHeight="1" ht="14.699999999999998">
      <c r="D28" s="620"/>
      <c r="E28" s="619"/>
      <c r="F28" s="599"/>
      <c r="G28" s="599"/>
      <c r="H28" s="599"/>
      <c r="I28" s="599"/>
      <c r="J28" s="599"/>
      <c r="K28" s="599"/>
      <c r="L28" s="599"/>
      <c r="M28" s="599"/>
      <c r="N28" s="599"/>
      <c r="O28" s="599"/>
      <c r="P28" s="599"/>
      <c r="Q28" s="367">
        <v>14</v>
      </c>
    </row>
    <row customHeight="1" ht="14.699999999999998">
      <c r="D29" s="620"/>
      <c r="E29" s="866"/>
      <c r="Q29" s="367">
        <v>14</v>
      </c>
    </row>
    <row customHeight="1" ht="14.699999999999998">
      <c r="Q30" s="367">
        <v>14</v>
      </c>
    </row>
    <row customHeight="1" ht="14.699999999999998">
      <c r="E31" s="1042"/>
      <c r="Q31" s="367">
        <v>14</v>
      </c>
    </row>
    <row customHeight="1" ht="22.5" hidden="1">
      <c r="A32" s="385" t="s">
        <v>85</v>
      </c>
      <c r="B32" s="430">
        <v>0</v>
      </c>
      <c r="C32" s="381">
        <v>3</v>
      </c>
      <c r="D32" s="367">
        <v>6</v>
      </c>
      <c r="E32" s="367">
        <v>64</v>
      </c>
      <c r="F32" s="367">
        <v>64</v>
      </c>
      <c r="G32" s="367">
        <v>140</v>
      </c>
      <c r="H32" s="367">
        <v>10</v>
      </c>
      <c r="I32" s="439">
        <v>10</v>
      </c>
      <c r="J32" s="439">
        <v>10</v>
      </c>
      <c r="K32" s="367">
        <v>10</v>
      </c>
      <c r="L32" s="367">
        <v>10</v>
      </c>
      <c r="M32" s="367">
        <v>10</v>
      </c>
      <c r="N32" s="367">
        <v>10</v>
      </c>
      <c r="O32" s="367">
        <v>10</v>
      </c>
      <c r="P32" s="367">
        <v>10</v>
      </c>
      <c r="Q32" s="367">
        <v>23</v>
      </c>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3CCEB7-0D22-A35F-0B3F-C7B9E5BA77D1}" mc:Ignorable="x14ac xr xr2 xr3">
  <sheetPr>
    <tabColor theme="6" tint="0.4"/>
  </sheetPr>
  <dimension ref="A1:M48"/>
  <sheetViews>
    <sheetView showGridLines="0" zoomScale="90" workbookViewId="0">
      <pane xSplit="6" ySplit="21" topLeftCell="G22" activePane="bottomRight" state="frozen"/>
      <selection pane="bottomLeft" activeCell="A22" sqref="A22"/>
      <selection pane="topRight" activeCell="G1" sqref="G1"/>
      <selection pane="bottomRight" activeCell="G44" sqref="G44"/>
    </sheetView>
  </sheetViews>
  <sheetFormatPr defaultColWidth="10.57421875" customHeight="1" defaultRowHeight="14.25"/>
  <cols>
    <col min="1" max="1" style="31503" width="9.140625" hidden="1" customWidth="1"/>
    <col min="2" max="2" style="30620" width="9.140625" hidden="1" customWidth="1"/>
    <col min="3" max="3" style="31505" width="3.00390625" customWidth="1"/>
    <col min="4" max="4" style="30541" width="6.00390625" customWidth="1"/>
    <col min="5" max="5" style="30541" width="63.00390625" customWidth="1"/>
    <col min="6" max="6" style="30541" width="1.7109375" hidden="1" customWidth="1"/>
    <col min="7" max="8" style="30541" width="35.00390625" customWidth="1"/>
    <col min="9" max="9" style="30541" width="91.00390625" customWidth="1"/>
    <col min="10" max="10" style="30541" width="68.00390625" customWidth="1"/>
    <col min="11" max="12" style="30727" width="10.00390625" customWidth="1"/>
    <col min="13" max="13" style="30541" width="10.57421875" hidden="1"/>
  </cols>
  <sheetData>
    <row customHeight="1" ht="22.5" hidden="1">
      <c r="M1" s="367" t="s">
        <v>14</v>
      </c>
    </row>
    <row s="30541" customFormat="1" customHeight="1" ht="18.75" hidden="1">
      <c r="A2" s="1967"/>
      <c r="B2" s="1444"/>
      <c r="C2" s="2014" t="s">
        <v>106</v>
      </c>
      <c r="D2" s="1957"/>
      <c r="E2" s="483"/>
      <c r="F2" s="1954"/>
      <c r="G2" s="1954" t="s">
        <v>366</v>
      </c>
      <c r="H2" s="1445"/>
      <c r="K2" s="1908"/>
      <c r="L2" s="1908"/>
      <c r="M2" s="1915">
        <v>0</v>
      </c>
    </row>
    <row s="30541" customFormat="1" customHeight="1" ht="14.25" hidden="1">
      <c r="A3" s="1646"/>
      <c r="B3" s="1444"/>
      <c r="C3" s="628"/>
      <c r="K3" s="1908"/>
      <c r="L3" s="1908"/>
      <c r="M3" s="1915">
        <v>0</v>
      </c>
    </row>
    <row s="30541" customFormat="1" customHeight="1" ht="18.75" hidden="1">
      <c r="A4" s="1967"/>
      <c r="B4" s="1444"/>
      <c r="C4" s="2014" t="s">
        <v>106</v>
      </c>
      <c r="D4" s="1957"/>
      <c r="E4" s="489" t="s">
        <v>1198</v>
      </c>
      <c r="F4" s="1954"/>
      <c r="G4" s="541"/>
      <c r="H4" s="1954" t="s">
        <v>366</v>
      </c>
      <c r="K4" s="1908"/>
      <c r="L4" s="1908"/>
      <c r="M4" s="1915">
        <v>0</v>
      </c>
    </row>
    <row s="30541" customFormat="1" customHeight="1" ht="14.25" hidden="1">
      <c r="A5" s="1646"/>
      <c r="B5" s="1444"/>
      <c r="C5" s="628"/>
      <c r="K5" s="1908"/>
      <c r="L5" s="1908"/>
      <c r="M5" s="1915">
        <v>0</v>
      </c>
    </row>
    <row s="30541" customFormat="1" customHeight="1" ht="18.75" hidden="1">
      <c r="A6" s="1967"/>
      <c r="B6" s="1444"/>
      <c r="C6" s="2014" t="s">
        <v>106</v>
      </c>
      <c r="D6" s="1957"/>
      <c r="E6" s="490" t="s">
        <v>1199</v>
      </c>
      <c r="F6" s="1954"/>
      <c r="G6" s="541"/>
      <c r="H6" s="1954" t="s">
        <v>366</v>
      </c>
      <c r="K6" s="1908"/>
      <c r="L6" s="1908"/>
      <c r="M6" s="1915">
        <v>0</v>
      </c>
    </row>
    <row s="30541" customFormat="1" customHeight="1" ht="14.25" hidden="1">
      <c r="A7" s="1646"/>
      <c r="B7" s="1444"/>
      <c r="C7" s="628"/>
      <c r="K7" s="1908"/>
      <c r="L7" s="1908"/>
      <c r="M7" s="1915">
        <v>0</v>
      </c>
    </row>
    <row s="30541" customFormat="1" customHeight="1" ht="18.75" hidden="1">
      <c r="A8" s="1967"/>
      <c r="B8" s="1444"/>
      <c r="C8" s="2014" t="s">
        <v>106</v>
      </c>
      <c r="D8" s="1957"/>
      <c r="E8" s="490" t="s">
        <v>1200</v>
      </c>
      <c r="F8" s="1954"/>
      <c r="G8" s="541"/>
      <c r="H8" s="1954" t="s">
        <v>366</v>
      </c>
      <c r="K8" s="1908"/>
      <c r="L8" s="1908"/>
      <c r="M8" s="1915">
        <v>0</v>
      </c>
    </row>
    <row s="30541" customFormat="1" customHeight="1" ht="14.25" hidden="1">
      <c r="A9" s="1646"/>
      <c r="B9" s="1444"/>
      <c r="C9" s="628"/>
      <c r="K9" s="1908"/>
      <c r="L9" s="1908"/>
      <c r="M9" s="1915">
        <v>0</v>
      </c>
    </row>
    <row s="30541" customFormat="1" customHeight="1" ht="18.75" hidden="1">
      <c r="A10" s="1967"/>
      <c r="B10" s="1444"/>
      <c r="C10" s="2014" t="s">
        <v>106</v>
      </c>
      <c r="D10" s="1957"/>
      <c r="E10" s="490" t="s">
        <v>1201</v>
      </c>
      <c r="F10" s="1954"/>
      <c r="G10" s="1958"/>
      <c r="H10" s="1954" t="s">
        <v>366</v>
      </c>
      <c r="K10" s="1908"/>
      <c r="L10" s="1908" t="s">
        <v>1202</v>
      </c>
      <c r="M10" s="1915">
        <v>0</v>
      </c>
    </row>
    <row customHeight="1" ht="14.25" hidden="1">
      <c r="M11" s="367">
        <v>0</v>
      </c>
    </row>
    <row customHeight="1" ht="14.25" hidden="1">
      <c r="M12" s="367">
        <v>0</v>
      </c>
    </row>
    <row customHeight="1" ht="14.699999999999998">
      <c r="C13" s="380"/>
      <c r="D13" s="368"/>
      <c r="E13" s="368"/>
      <c r="F13" s="368"/>
      <c r="G13" s="368"/>
      <c r="H13" s="369"/>
      <c r="I13" s="369"/>
      <c r="M13" s="367">
        <v>14</v>
      </c>
    </row>
    <row customHeight="1" ht="29.25">
      <c r="C14" s="380"/>
      <c r="D14" s="273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739"/>
      <c r="F14" s="2739"/>
      <c r="G14" s="2739"/>
      <c r="H14" s="2740"/>
      <c r="J14" s="1915"/>
      <c r="M14" s="367">
        <v>28</v>
      </c>
    </row>
    <row s="30541" customFormat="1" customHeight="1" ht="14.699999999999998">
      <c r="A15" s="1646"/>
      <c r="B15" s="1444"/>
      <c r="C15" s="660"/>
      <c r="D15" s="2741" t="str">
        <f>IF(org=0,"Не определено",org)</f>
        <v>АО "ДГК"</v>
      </c>
      <c r="E15" s="2742"/>
      <c r="F15" s="2742"/>
      <c r="G15" s="2742"/>
      <c r="H15" s="2743"/>
      <c r="J15" s="1136"/>
      <c r="K15" s="1908"/>
      <c r="L15" s="1908"/>
      <c r="M15" s="1915">
        <v>14</v>
      </c>
    </row>
    <row customHeight="1" ht="14.699999999999998">
      <c r="C16" s="380"/>
      <c r="D16" s="368"/>
      <c r="E16" s="379"/>
      <c r="F16" s="379"/>
      <c r="G16" s="379"/>
      <c r="H16" s="1036"/>
      <c r="I16" s="477"/>
      <c r="M16" s="367">
        <v>14</v>
      </c>
    </row>
    <row s="30541" customFormat="1" customHeight="1" ht="14.25" hidden="1">
      <c r="A17" s="1646"/>
      <c r="B17" s="1444"/>
      <c r="C17" s="660"/>
      <c r="D17" s="647"/>
      <c r="E17" s="673"/>
      <c r="F17" s="673"/>
      <c r="G17" s="673"/>
      <c r="H17" s="1036"/>
      <c r="I17" s="477"/>
      <c r="K17" s="1908"/>
      <c r="L17" s="1908"/>
      <c r="M17" s="1915">
        <v>0</v>
      </c>
    </row>
    <row customHeight="1" ht="22.049999999999997">
      <c r="C18" s="380"/>
      <c r="D18" s="2493" t="s">
        <v>360</v>
      </c>
      <c r="E18" s="2493"/>
      <c r="F18" s="2493"/>
      <c r="G18" s="2493"/>
      <c r="H18" s="2493"/>
      <c r="I18" s="2673" t="s">
        <v>361</v>
      </c>
      <c r="M18" s="367">
        <v>21</v>
      </c>
    </row>
    <row customHeight="1" ht="22.049999999999997">
      <c r="C19" s="380"/>
      <c r="D19" s="389" t="s">
        <v>91</v>
      </c>
      <c r="E19" s="392" t="s">
        <v>362</v>
      </c>
      <c r="F19" s="392"/>
      <c r="G19" s="392" t="s">
        <v>363</v>
      </c>
      <c r="H19" s="392" t="s">
        <v>450</v>
      </c>
      <c r="I19" s="2673"/>
      <c r="M19" s="367">
        <v>21</v>
      </c>
    </row>
    <row customHeight="1" ht="12" hidden="1">
      <c r="C20" s="380"/>
      <c r="D20" s="371"/>
      <c r="E20" s="371"/>
      <c r="F20" s="371"/>
      <c r="G20" s="371"/>
      <c r="H20" s="371"/>
      <c r="I20" s="371"/>
      <c r="M20" s="367">
        <v>0</v>
      </c>
    </row>
    <row customHeight="1" ht="14.699999999999998">
      <c r="A21" s="1967"/>
      <c r="C21" s="380"/>
      <c r="D21" s="431">
        <v>1</v>
      </c>
      <c r="E21" s="2745" t="s">
        <v>1203</v>
      </c>
      <c r="F21" s="2745"/>
      <c r="G21" s="2745"/>
      <c r="H21" s="2745"/>
      <c r="I21" s="492"/>
      <c r="M21" s="367">
        <v>14</v>
      </c>
    </row>
    <row customHeight="1" ht="21">
      <c r="A22" s="1967"/>
      <c r="C22" s="380"/>
      <c r="D22" s="431" t="s">
        <v>1093</v>
      </c>
      <c r="E22" s="478" t="s">
        <v>1204</v>
      </c>
      <c r="F22" s="482"/>
      <c r="G22" s="29632">
        <v>44716</v>
      </c>
      <c r="H22" s="482" t="s">
        <v>366</v>
      </c>
      <c r="I22" s="435" t="s">
        <v>1205</v>
      </c>
      <c r="M22" s="367">
        <v>20</v>
      </c>
    </row>
    <row customHeight="1" ht="60">
      <c r="A23" s="1967"/>
      <c r="C23" s="380"/>
      <c r="D23" s="431" t="s">
        <v>1095</v>
      </c>
      <c r="E23" s="478" t="s">
        <v>1206</v>
      </c>
      <c r="F23" s="482"/>
      <c r="G23" s="541" t="s">
        <v>1207</v>
      </c>
      <c r="H23" s="497" t="s">
        <v>1208</v>
      </c>
      <c r="I23" s="542" t="s">
        <v>1209</v>
      </c>
      <c r="M23" s="367">
        <v>57</v>
      </c>
    </row>
    <row customHeight="1" ht="15">
      <c r="A24" s="1967"/>
      <c r="B24" s="430">
        <v>3</v>
      </c>
      <c r="C24" s="380"/>
      <c r="D24" s="431">
        <v>2</v>
      </c>
      <c r="E24" s="506"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482"/>
      <c r="G24" s="482" t="s">
        <v>366</v>
      </c>
      <c r="H24" s="497" t="s">
        <v>1210</v>
      </c>
      <c r="I24" s="543" t="s">
        <v>703</v>
      </c>
      <c r="M24" s="367">
        <v>14</v>
      </c>
    </row>
    <row customHeight="1" ht="48.29999999999999">
      <c r="A25" s="1967"/>
      <c r="C25" s="380"/>
      <c r="D25" s="431">
        <v>3</v>
      </c>
      <c r="E25" s="274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744"/>
      <c r="G25" s="2744"/>
      <c r="H25" s="2744"/>
      <c r="I25" s="540"/>
      <c r="M25" s="367">
        <v>46</v>
      </c>
    </row>
    <row customHeight="1" ht="15">
      <c r="A26" s="1967"/>
      <c r="C26" s="380"/>
      <c r="D26" s="431" t="s">
        <v>384</v>
      </c>
      <c r="E26" s="483" t="s">
        <v>1211</v>
      </c>
      <c r="F26" s="482"/>
      <c r="G26" s="482" t="s">
        <v>366</v>
      </c>
      <c r="H26" s="497" t="s">
        <v>1210</v>
      </c>
      <c r="I26" s="2453" t="s">
        <v>1212</v>
      </c>
      <c r="M26" s="367">
        <v>14</v>
      </c>
    </row>
    <row customHeight="1" ht="15.75">
      <c r="A27" s="1967" t="s">
        <v>141</v>
      </c>
      <c r="C27" s="380"/>
      <c r="D27" s="393"/>
      <c r="E27" s="487" t="s">
        <v>382</v>
      </c>
      <c r="F27" s="488"/>
      <c r="G27" s="488"/>
      <c r="H27" s="485"/>
      <c r="I27" s="2455"/>
      <c r="M27" s="367">
        <v>15</v>
      </c>
    </row>
    <row customHeight="1" ht="39.75">
      <c r="A28" s="1967"/>
      <c r="B28" s="430">
        <v>3</v>
      </c>
      <c r="C28" s="380"/>
      <c r="D28" s="431">
        <v>4</v>
      </c>
      <c r="E28" s="274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744"/>
      <c r="G28" s="2744"/>
      <c r="H28" s="2744"/>
      <c r="I28" s="540"/>
      <c r="M28" s="367">
        <v>38</v>
      </c>
    </row>
    <row customHeight="1" ht="21">
      <c r="A29" s="1967"/>
      <c r="C29" s="380"/>
      <c r="D29" s="431" t="s">
        <v>825</v>
      </c>
      <c r="E29" s="489" t="s">
        <v>1198</v>
      </c>
      <c r="F29" s="482"/>
      <c r="G29" s="541" t="s">
        <v>1213</v>
      </c>
      <c r="H29" s="482" t="s">
        <v>366</v>
      </c>
      <c r="I29" s="2453" t="s">
        <v>1214</v>
      </c>
      <c r="M29" s="367">
        <v>20</v>
      </c>
    </row>
    <row s="38045" customFormat="1" customHeight="1" ht="18.75">
      <c r="A30" s="29640"/>
      <c r="B30" s="29641"/>
      <c r="C30" s="29642" t="s">
        <v>106</v>
      </c>
      <c r="D30" s="29643" t="s">
        <v>867</v>
      </c>
      <c r="E30" s="29644" t="s">
        <v>1198</v>
      </c>
      <c r="F30" s="29645"/>
      <c r="G30" s="29646" t="s">
        <v>1215</v>
      </c>
      <c r="H30" s="29645" t="s">
        <v>366</v>
      </c>
      <c r="I30" s="29647"/>
      <c r="J30" s="29647"/>
      <c r="K30" s="29648"/>
      <c r="L30" s="29648"/>
      <c r="M30" s="29647">
        <v>0</v>
      </c>
    </row>
    <row s="38053" customFormat="1" customHeight="1" ht="18.75">
      <c r="A31" s="29640"/>
      <c r="B31" s="29641"/>
      <c r="C31" s="29642" t="s">
        <v>106</v>
      </c>
      <c r="D31" s="29643" t="s">
        <v>870</v>
      </c>
      <c r="E31" s="29644" t="s">
        <v>1198</v>
      </c>
      <c r="F31" s="29645"/>
      <c r="G31" s="29646" t="s">
        <v>1216</v>
      </c>
      <c r="H31" s="29645" t="s">
        <v>366</v>
      </c>
      <c r="I31" s="29647"/>
      <c r="J31" s="29647"/>
      <c r="K31" s="29648"/>
      <c r="L31" s="29648"/>
      <c r="M31" s="29647">
        <v>0</v>
      </c>
    </row>
    <row s="38053" customFormat="1" customHeight="1" ht="18.75">
      <c r="A32" s="29640"/>
      <c r="B32" s="29641"/>
      <c r="C32" s="29642" t="s">
        <v>106</v>
      </c>
      <c r="D32" s="29643" t="s">
        <v>948</v>
      </c>
      <c r="E32" s="29644" t="s">
        <v>1198</v>
      </c>
      <c r="F32" s="29645"/>
      <c r="G32" s="29646" t="s">
        <v>1217</v>
      </c>
      <c r="H32" s="29645" t="s">
        <v>366</v>
      </c>
      <c r="I32" s="29647"/>
      <c r="J32" s="29647"/>
      <c r="K32" s="29648"/>
      <c r="L32" s="29648"/>
      <c r="M32" s="29647">
        <v>0</v>
      </c>
    </row>
    <row s="38053" customFormat="1" customHeight="1" ht="18.75">
      <c r="A33" s="29640"/>
      <c r="B33" s="29641"/>
      <c r="C33" s="29642" t="s">
        <v>106</v>
      </c>
      <c r="D33" s="29643" t="s">
        <v>950</v>
      </c>
      <c r="E33" s="29644" t="s">
        <v>1198</v>
      </c>
      <c r="F33" s="29645"/>
      <c r="G33" s="29646" t="s">
        <v>1218</v>
      </c>
      <c r="H33" s="29645" t="s">
        <v>366</v>
      </c>
      <c r="I33" s="29647"/>
      <c r="J33" s="29647"/>
      <c r="K33" s="29648"/>
      <c r="L33" s="29648"/>
      <c r="M33" s="29647">
        <v>0</v>
      </c>
    </row>
    <row s="38053" customFormat="1" customHeight="1" ht="18.75">
      <c r="A34" s="29640"/>
      <c r="B34" s="29641"/>
      <c r="C34" s="29642" t="s">
        <v>106</v>
      </c>
      <c r="D34" s="29643" t="s">
        <v>997</v>
      </c>
      <c r="E34" s="29644" t="s">
        <v>1198</v>
      </c>
      <c r="F34" s="29645"/>
      <c r="G34" s="29646" t="s">
        <v>1219</v>
      </c>
      <c r="H34" s="29645" t="s">
        <v>366</v>
      </c>
      <c r="I34" s="29647"/>
      <c r="J34" s="29647"/>
      <c r="K34" s="29648"/>
      <c r="L34" s="29648"/>
      <c r="M34" s="29647">
        <v>0</v>
      </c>
    </row>
    <row customHeight="1" ht="15.75">
      <c r="A35" s="1967" t="s">
        <v>105</v>
      </c>
      <c r="C35" s="380"/>
      <c r="D35" s="393"/>
      <c r="E35" s="487" t="s">
        <v>382</v>
      </c>
      <c r="F35" s="488"/>
      <c r="G35" s="488"/>
      <c r="H35" s="485"/>
      <c r="I35" s="2455"/>
      <c r="M35" s="367">
        <v>15</v>
      </c>
    </row>
    <row customHeight="1" ht="31.5">
      <c r="A36" s="1967"/>
      <c r="B36" s="430">
        <v>3</v>
      </c>
      <c r="C36" s="380"/>
      <c r="D36" s="431">
        <v>5</v>
      </c>
      <c r="E36" s="274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6" s="2744"/>
      <c r="G36" s="2744"/>
      <c r="H36" s="2744"/>
      <c r="I36" s="540"/>
      <c r="M36" s="367">
        <v>30</v>
      </c>
    </row>
    <row customHeight="1" ht="27.299999999999997">
      <c r="A37" s="1967"/>
      <c r="C37" s="380"/>
      <c r="D37" s="431" t="s">
        <v>373</v>
      </c>
      <c r="E37" s="268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7" s="2687"/>
      <c r="G37" s="2687"/>
      <c r="H37" s="2687"/>
      <c r="I37" s="540"/>
      <c r="M37" s="367">
        <v>26</v>
      </c>
    </row>
    <row customHeight="1" ht="15">
      <c r="A38" s="1967"/>
      <c r="C38" s="380"/>
      <c r="D38" s="431" t="s">
        <v>1220</v>
      </c>
      <c r="E38" s="490" t="s">
        <v>1199</v>
      </c>
      <c r="F38" s="482"/>
      <c r="G38" s="541" t="s">
        <v>1221</v>
      </c>
      <c r="H38" s="482" t="s">
        <v>366</v>
      </c>
      <c r="I38" s="2453" t="s">
        <v>1222</v>
      </c>
      <c r="M38" s="367">
        <v>14</v>
      </c>
    </row>
    <row customHeight="1" ht="15.75">
      <c r="A39" s="1967" t="s">
        <v>93</v>
      </c>
      <c r="C39" s="380"/>
      <c r="D39" s="393"/>
      <c r="E39" s="488" t="s">
        <v>382</v>
      </c>
      <c r="F39" s="484"/>
      <c r="G39" s="484"/>
      <c r="H39" s="485"/>
      <c r="I39" s="2455"/>
      <c r="M39" s="367">
        <v>15</v>
      </c>
    </row>
    <row customHeight="1" ht="25.2">
      <c r="A40" s="1967"/>
      <c r="C40" s="380"/>
      <c r="D40" s="431" t="s">
        <v>953</v>
      </c>
      <c r="E40" s="268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40" s="2687"/>
      <c r="G40" s="2687"/>
      <c r="H40" s="2687"/>
      <c r="I40" s="540"/>
      <c r="M40" s="367">
        <v>24</v>
      </c>
    </row>
    <row customHeight="1" ht="15">
      <c r="A41" s="1967"/>
      <c r="C41" s="380"/>
      <c r="D41" s="431" t="s">
        <v>1223</v>
      </c>
      <c r="E41" s="490" t="s">
        <v>1200</v>
      </c>
      <c r="F41" s="482"/>
      <c r="G41" s="541" t="s">
        <v>1224</v>
      </c>
      <c r="H41" s="482" t="s">
        <v>366</v>
      </c>
      <c r="I41" s="2427" t="s">
        <v>1225</v>
      </c>
      <c r="M41" s="367">
        <v>14</v>
      </c>
    </row>
    <row customHeight="1" ht="15.75">
      <c r="A42" s="1967" t="s">
        <v>94</v>
      </c>
      <c r="C42" s="380"/>
      <c r="D42" s="393"/>
      <c r="E42" s="488" t="s">
        <v>382</v>
      </c>
      <c r="F42" s="484"/>
      <c r="G42" s="484"/>
      <c r="H42" s="485"/>
      <c r="I42" s="2427"/>
      <c r="M42" s="367">
        <v>15</v>
      </c>
    </row>
    <row customHeight="1" ht="27.299999999999997">
      <c r="A43" s="1967"/>
      <c r="C43" s="380"/>
      <c r="D43" s="431" t="s">
        <v>954</v>
      </c>
      <c r="E43" s="268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3" s="2687"/>
      <c r="G43" s="2687"/>
      <c r="H43" s="2687"/>
      <c r="I43" s="540"/>
      <c r="M43" s="367">
        <v>26</v>
      </c>
    </row>
    <row customHeight="1" ht="15">
      <c r="A44" s="1967"/>
      <c r="C44" s="380"/>
      <c r="D44" s="431" t="s">
        <v>955</v>
      </c>
      <c r="E44" s="490" t="s">
        <v>1201</v>
      </c>
      <c r="F44" s="482"/>
      <c r="G44" s="491" t="s">
        <v>1226</v>
      </c>
      <c r="H44" s="482" t="s">
        <v>366</v>
      </c>
      <c r="I44" s="2453" t="s">
        <v>1227</v>
      </c>
      <c r="L44" s="439" t="s">
        <v>1202</v>
      </c>
      <c r="M44" s="367">
        <v>14</v>
      </c>
    </row>
    <row customHeight="1" ht="15.75">
      <c r="A45" s="1967" t="s">
        <v>124</v>
      </c>
      <c r="C45" s="380"/>
      <c r="D45" s="393"/>
      <c r="E45" s="488" t="s">
        <v>382</v>
      </c>
      <c r="F45" s="484"/>
      <c r="G45" s="484"/>
      <c r="H45" s="485"/>
      <c r="I45" s="2455"/>
      <c r="M45" s="367">
        <v>15</v>
      </c>
    </row>
    <row s="38057" customFormat="1" customHeight="1" ht="3">
      <c r="A46" s="1967"/>
      <c r="K46" s="480"/>
      <c r="L46" s="480"/>
      <c r="M46" s="424">
        <v>3</v>
      </c>
    </row>
    <row customHeight="1" ht="26.25">
      <c r="D47" s="1965" t="s">
        <v>875</v>
      </c>
      <c r="E47" s="256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7" s="2569"/>
      <c r="G47" s="2569"/>
      <c r="H47" s="2569"/>
      <c r="I47" s="2569"/>
      <c r="M47" s="367">
        <v>25</v>
      </c>
    </row>
    <row customHeight="1" ht="22.5" hidden="1">
      <c r="A48" s="1646" t="s">
        <v>85</v>
      </c>
      <c r="B48" s="430">
        <v>0</v>
      </c>
      <c r="C48" s="381">
        <v>3</v>
      </c>
      <c r="D48" s="367">
        <v>6</v>
      </c>
      <c r="E48" s="367">
        <v>63</v>
      </c>
      <c r="F48" s="367">
        <v>0</v>
      </c>
      <c r="G48" s="367">
        <v>35</v>
      </c>
      <c r="H48" s="367">
        <v>35</v>
      </c>
      <c r="I48" s="367">
        <v>91</v>
      </c>
      <c r="J48" s="367">
        <v>68</v>
      </c>
      <c r="K48" s="439">
        <v>10</v>
      </c>
      <c r="L48" s="439">
        <v>10</v>
      </c>
      <c r="M48" s="367">
        <v>23</v>
      </c>
    </row>
  </sheetData>
  <sheetProtection sheet="1" formatColumns="0" formatRows="0" autoFilter="0" sort="1" insertRows="1" insertColumns="1" deleteRows="1" deleteColumns="1"/>
  <mergeCells count="17">
    <mergeCell ref="I29:I35"/>
    <mergeCell ref="E36:H36"/>
    <mergeCell ref="D14:H14"/>
    <mergeCell ref="D18:H18"/>
    <mergeCell ref="I18:I19"/>
    <mergeCell ref="E21:H21"/>
    <mergeCell ref="E25:H25"/>
    <mergeCell ref="I26:I27"/>
    <mergeCell ref="E28:H28"/>
    <mergeCell ref="D15:H15"/>
    <mergeCell ref="E47:I47"/>
    <mergeCell ref="E37:H37"/>
    <mergeCell ref="E40:H40"/>
    <mergeCell ref="E43:H43"/>
    <mergeCell ref="I38:I39"/>
    <mergeCell ref="I41:I42"/>
    <mergeCell ref="I44:I45"/>
  </mergeCells>
  <dataValidations count="4">
    <dataValidation type="textLength" operator="lessThanOrEqual" allowBlank="1" showInputMessage="1" showErrorMessage="1" errorTitle="Ошибка" error="Допускается ввод не более 900 символов!" sqref="I23:I24 I38 G41 I44 I26 E29:E34 G38 E41 I29:I34 E38 I41 G23 E26 I10 E23 G29:G34 E10 G8 E2 I2 I4 G4 E4 E6 I6 G6 E8 I8 E4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4">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1A0F72-9851-7F0B-9F69-43A1A1F22B0D}" mc:Ignorable="x14ac xr xr2 xr3">
  <sheetPr>
    <tabColor theme="6" tint="0.4"/>
  </sheetPr>
  <dimension ref="A1:AH352"/>
  <sheetViews>
    <sheetView showGridLines="0" zoomScale="90" workbookViewId="0">
      <pane xSplit="7" ySplit="21" topLeftCell="H22" activePane="bottomRight" state="frozen"/>
      <selection pane="bottomLeft" activeCell="A22" sqref="A22"/>
      <selection pane="topRight" activeCell="H1" sqref="H1"/>
      <selection pane="bottomRight" activeCell="A299" sqref="A299:AH300"/>
    </sheetView>
  </sheetViews>
  <sheetFormatPr defaultColWidth="10.57421875" customHeight="1" defaultRowHeight="14.25"/>
  <cols>
    <col min="1" max="2" style="38169" width="25.140625" hidden="1" customWidth="1"/>
    <col min="3" max="3" style="38170" width="9.140625" hidden="1" customWidth="1"/>
    <col min="4" max="4" style="31505" width="3.00390625" customWidth="1"/>
    <col min="5" max="5" style="30541" width="6.00390625" customWidth="1"/>
    <col min="6" max="6" style="30541" width="46.7109375" customWidth="1"/>
    <col min="7" max="7" style="30541" width="35.00390625" customWidth="1"/>
    <col min="8" max="8" style="30541" width="3.00390625" customWidth="1"/>
    <col min="9" max="10" style="30541" width="11.00390625" customWidth="1"/>
    <col min="11" max="12" style="30541" width="35.00390625" customWidth="1"/>
    <col min="13" max="13" style="30541" width="84.00390625" customWidth="1"/>
    <col min="14" max="14" style="30541" width="10.00390625" customWidth="1"/>
    <col min="15" max="16" style="30727" width="10.00390625" customWidth="1"/>
    <col min="17" max="33" style="30541" width="10.00390625" customWidth="1"/>
    <col min="34" max="34" style="30541" width="10.57421875" hidden="1"/>
  </cols>
  <sheetData>
    <row s="30541" customFormat="1" customHeight="1" ht="22.5" hidden="1">
      <c r="A1" s="2063"/>
      <c r="B1" s="2063"/>
      <c r="C1" s="653"/>
      <c r="D1" s="628"/>
      <c r="N1" s="1920">
        <f>_xlfn.IFERROR(MATCH("метод экономически обоснованных расходов (затрат)",OFFER_METHOD,0),0)</f>
        <v>0</v>
      </c>
      <c r="O1" s="1908"/>
      <c r="P1" s="1908"/>
      <c r="T1" s="1115"/>
      <c r="AG1" s="539"/>
      <c r="AH1" s="1915" t="s">
        <v>14</v>
      </c>
    </row>
    <row s="30541" customFormat="1" customHeight="1" ht="18.75" hidden="1">
      <c r="A2" s="2064" t="s">
        <v>185</v>
      </c>
      <c r="B2" s="2064" t="s">
        <v>186</v>
      </c>
      <c r="C2" s="653"/>
      <c r="D2" s="628"/>
      <c r="E2" s="1315"/>
      <c r="F2" s="1315"/>
      <c r="G2" s="2711" t="str">
        <f>INDEX(PT_DIFFERENTIATION_NTAR,MATCH(B2,PT_DIFFERENTIATION_NTAR_ID,0))</f>
        <v/>
      </c>
      <c r="H2" s="2148"/>
      <c r="I2" s="2023"/>
      <c r="J2" s="2057"/>
      <c r="K2" s="2149"/>
      <c r="L2" s="2148" t="s">
        <v>366</v>
      </c>
      <c r="M2" s="2159"/>
      <c r="N2" s="618"/>
      <c r="O2" s="1908"/>
      <c r="P2" s="1908"/>
      <c r="AH2" s="1915">
        <v>0</v>
      </c>
    </row>
    <row s="30541" customFormat="1" customHeight="1" ht="18.75" hidden="1">
      <c r="A3" s="2064"/>
      <c r="B3" s="2064"/>
      <c r="C3" s="653" t="s">
        <v>1228</v>
      </c>
      <c r="D3" s="628"/>
      <c r="E3" s="1315"/>
      <c r="F3" s="1315"/>
      <c r="G3" s="2711"/>
      <c r="H3" s="1784"/>
      <c r="I3" s="935" t="s">
        <v>1229</v>
      </c>
      <c r="J3" s="855"/>
      <c r="K3" s="1784"/>
      <c r="L3" s="498"/>
      <c r="M3" s="2159"/>
      <c r="N3" s="618"/>
      <c r="O3" s="1908"/>
      <c r="P3" s="1908"/>
      <c r="AH3" s="1915">
        <v>0</v>
      </c>
    </row>
    <row s="30541" customFormat="1" customHeight="1" ht="14.25" hidden="1">
      <c r="A4" s="2063"/>
      <c r="B4" s="2063"/>
      <c r="C4" s="653"/>
      <c r="D4" s="628"/>
      <c r="N4" s="1920">
        <f>_xlfn.IFERROR(MATCH("метод экономически обоснованных расходов (затрат)",OFFER_METHOD,0),0)</f>
        <v>0</v>
      </c>
      <c r="O4" s="1908"/>
      <c r="P4" s="1908"/>
      <c r="T4" s="1115"/>
      <c r="AG4" s="539"/>
      <c r="AH4" s="1915">
        <v>0</v>
      </c>
    </row>
    <row s="30541" customFormat="1" customHeight="1" ht="18.75" hidden="1">
      <c r="A5" s="2064" t="s">
        <v>185</v>
      </c>
      <c r="B5" s="2064" t="s">
        <v>186</v>
      </c>
      <c r="C5" s="653"/>
      <c r="D5" s="628"/>
      <c r="E5" s="1315"/>
      <c r="F5" s="1315"/>
      <c r="G5" s="2711" t="str">
        <f>INDEX(PT_DIFFERENTIATION_NTAR,MATCH(B5,PT_DIFFERENTIATION_NTAR_ID,0))</f>
        <v/>
      </c>
      <c r="H5" s="2148"/>
      <c r="I5" s="2023"/>
      <c r="J5" s="2057"/>
      <c r="K5" s="2062"/>
      <c r="L5" s="2148" t="s">
        <v>366</v>
      </c>
      <c r="M5" s="2159"/>
      <c r="N5" s="618"/>
      <c r="O5" s="1908"/>
      <c r="P5" s="1908"/>
      <c r="AH5" s="1915">
        <v>0</v>
      </c>
    </row>
    <row s="30541" customFormat="1" customHeight="1" ht="18.75" hidden="1">
      <c r="A6" s="2064"/>
      <c r="B6" s="2064"/>
      <c r="C6" s="653" t="s">
        <v>1230</v>
      </c>
      <c r="D6" s="628"/>
      <c r="E6" s="1315"/>
      <c r="F6" s="1315"/>
      <c r="G6" s="2711"/>
      <c r="H6" s="1784"/>
      <c r="I6" s="935" t="s">
        <v>1229</v>
      </c>
      <c r="J6" s="855"/>
      <c r="K6" s="1784"/>
      <c r="L6" s="498"/>
      <c r="M6" s="2159"/>
      <c r="N6" s="618"/>
      <c r="O6" s="1908"/>
      <c r="P6" s="1908"/>
      <c r="AH6" s="1915">
        <v>0</v>
      </c>
    </row>
    <row s="30541" customFormat="1" customHeight="1" ht="14.25" hidden="1">
      <c r="A7" s="2063"/>
      <c r="B7" s="2063"/>
      <c r="C7" s="653"/>
      <c r="D7" s="628"/>
      <c r="N7" s="1920">
        <f>_xlfn.IFERROR(MATCH("метод экономически обоснованных расходов (затрат)",OFFER_METHOD,0),0)</f>
        <v>0</v>
      </c>
      <c r="O7" s="1908"/>
      <c r="P7" s="1908"/>
      <c r="T7" s="1115"/>
      <c r="AG7" s="539"/>
      <c r="AH7" s="1915">
        <v>0</v>
      </c>
    </row>
    <row s="30541" customFormat="1" customHeight="1" ht="56.25" hidden="1">
      <c r="A8" s="2064"/>
      <c r="B8" s="2064"/>
      <c r="C8" s="653"/>
      <c r="D8" s="628"/>
      <c r="E8" s="1315"/>
      <c r="F8" s="1315"/>
      <c r="G8" s="1315"/>
      <c r="H8" s="2055"/>
      <c r="I8" s="2023"/>
      <c r="J8" s="2057"/>
      <c r="K8" s="2149"/>
      <c r="L8" s="2055" t="s">
        <v>366</v>
      </c>
      <c r="M8" s="2159"/>
      <c r="N8" s="618"/>
      <c r="O8" s="1908"/>
      <c r="P8" s="1908"/>
      <c r="AH8" s="1915">
        <v>0</v>
      </c>
    </row>
    <row customHeight="1" ht="14.25" hidden="1">
      <c r="T9" s="681"/>
      <c r="AG9" s="539"/>
      <c r="AH9" s="658">
        <v>0</v>
      </c>
    </row>
    <row s="30541" customFormat="1" customHeight="1" ht="56.25" hidden="1">
      <c r="A10" s="2064"/>
      <c r="B10" s="2064"/>
      <c r="C10" s="653"/>
      <c r="D10" s="628"/>
      <c r="E10" s="1315"/>
      <c r="F10" s="1315"/>
      <c r="G10" s="1315"/>
      <c r="H10" s="2054"/>
      <c r="I10" s="2023"/>
      <c r="J10" s="2057"/>
      <c r="K10" s="2062"/>
      <c r="L10" s="2055" t="s">
        <v>366</v>
      </c>
      <c r="M10" s="2159"/>
      <c r="N10" s="618"/>
      <c r="O10" s="1908"/>
      <c r="P10" s="1908"/>
      <c r="AH10" s="1915">
        <v>0</v>
      </c>
    </row>
    <row customHeight="1" ht="14.25" hidden="1">
      <c r="AH11" s="658">
        <v>0</v>
      </c>
    </row>
    <row customHeight="1" ht="14.25" hidden="1">
      <c r="AH12" s="658">
        <v>0</v>
      </c>
    </row>
    <row customHeight="1" ht="6.3">
      <c r="D13" s="660"/>
      <c r="E13" s="647"/>
      <c r="F13" s="647"/>
      <c r="G13" s="647"/>
      <c r="H13" s="647"/>
      <c r="I13" s="647"/>
      <c r="J13" s="647"/>
      <c r="K13" s="647"/>
      <c r="L13" s="369"/>
      <c r="M13" s="369"/>
      <c r="AH13" s="658">
        <v>6</v>
      </c>
    </row>
    <row customHeight="1" ht="14.699999999999998">
      <c r="D14" s="660"/>
      <c r="E14" s="274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749"/>
      <c r="G14" s="2749"/>
      <c r="H14" s="2749"/>
      <c r="I14" s="2749"/>
      <c r="J14" s="2749"/>
      <c r="K14" s="2749"/>
      <c r="L14" s="2749"/>
      <c r="M14" s="504"/>
      <c r="AH14" s="658">
        <v>14</v>
      </c>
    </row>
    <row customHeight="1" ht="6.3">
      <c r="D15" s="660"/>
      <c r="E15" s="647"/>
      <c r="F15" s="673"/>
      <c r="G15" s="673"/>
      <c r="H15" s="673"/>
      <c r="I15" s="673"/>
      <c r="J15" s="673"/>
      <c r="K15" s="673"/>
      <c r="L15" s="606"/>
      <c r="M15" s="477"/>
      <c r="AH15" s="658">
        <v>6</v>
      </c>
    </row>
    <row customHeight="1" ht="24">
      <c r="D16" s="660"/>
      <c r="E16" s="647"/>
      <c r="F16" s="589" t="str">
        <f>"Дата подачи заявления об "&amp;IF(TITLE_DATE_PR_CHANGE="","утверждении","изменении")&amp;" тарифов"</f>
        <v>Дата подачи заявления об изменении тарифов</v>
      </c>
      <c r="G16" s="2548" t="str">
        <f>IF(TITLE_DATE_PR_CHANGE="",IF(TITLE_DATE_PR="","",TITLE_DATE_PR),TITLE_DATE_PR_CHANGE)</f>
        <v>45645</v>
      </c>
      <c r="H16" s="2548"/>
      <c r="I16" s="2548"/>
      <c r="J16" s="2548"/>
      <c r="K16" s="2548"/>
      <c r="L16" s="2548"/>
      <c r="M16" s="682"/>
      <c r="N16" s="610"/>
      <c r="AH16" s="658">
        <v>23</v>
      </c>
    </row>
    <row customHeight="1" ht="24">
      <c r="D17" s="660"/>
      <c r="E17" s="647"/>
      <c r="F17" s="589" t="str">
        <f>"Номер подачи заявления об "&amp;IF(TITLE_DATE_PR_CHANGE="","утверждении","изменении")&amp;" тарифов"</f>
        <v>Номер подачи заявления об изменении тарифов</v>
      </c>
      <c r="G17" s="2535" t="str">
        <f>IF(TITLE_NUMBER_PR_CHANGE="",IF(TITLE_NUMBER_PR="","",TITLE_NUMBER_PR),TITLE_NUMBER_PR_CHANGE)</f>
        <v>№ 40/8</v>
      </c>
      <c r="H17" s="2535"/>
      <c r="I17" s="2535"/>
      <c r="J17" s="2535"/>
      <c r="K17" s="2535"/>
      <c r="L17" s="2535"/>
      <c r="M17" s="682"/>
      <c r="N17" s="610"/>
      <c r="AH17" s="658">
        <v>23</v>
      </c>
    </row>
    <row customHeight="1" ht="14.699999999999998">
      <c r="D18" s="660"/>
      <c r="E18" s="647"/>
      <c r="F18" s="673"/>
      <c r="G18" s="673"/>
      <c r="H18" s="673"/>
      <c r="I18" s="673"/>
      <c r="J18" s="673"/>
      <c r="K18" s="673"/>
      <c r="L18" s="1036"/>
      <c r="M18" s="477"/>
      <c r="AH18" s="658">
        <v>14</v>
      </c>
    </row>
    <row customHeight="1" ht="22.049999999999997">
      <c r="D19" s="660"/>
      <c r="E19" s="2493" t="s">
        <v>360</v>
      </c>
      <c r="F19" s="2493"/>
      <c r="G19" s="2493"/>
      <c r="H19" s="2493"/>
      <c r="I19" s="2493"/>
      <c r="J19" s="2493"/>
      <c r="K19" s="2493"/>
      <c r="L19" s="2493"/>
      <c r="M19" s="2673" t="s">
        <v>361</v>
      </c>
      <c r="AH19" s="658">
        <v>21</v>
      </c>
    </row>
    <row customHeight="1" ht="22.049999999999997">
      <c r="D20" s="660"/>
      <c r="E20" s="2561" t="s">
        <v>91</v>
      </c>
      <c r="F20" s="2508" t="s">
        <v>152</v>
      </c>
      <c r="G20" s="2508" t="s">
        <v>153</v>
      </c>
      <c r="H20" s="2670" t="s">
        <v>1231</v>
      </c>
      <c r="I20" s="2671"/>
      <c r="J20" s="2717"/>
      <c r="K20" s="2508" t="s">
        <v>363</v>
      </c>
      <c r="L20" s="2508" t="s">
        <v>450</v>
      </c>
      <c r="M20" s="2673"/>
      <c r="AH20" s="658">
        <v>21</v>
      </c>
    </row>
    <row customHeight="1" ht="22.049999999999997">
      <c r="D21" s="660"/>
      <c r="E21" s="2563"/>
      <c r="F21" s="2509"/>
      <c r="G21" s="2509"/>
      <c r="H21" s="2502" t="s">
        <v>1232</v>
      </c>
      <c r="I21" s="2504"/>
      <c r="J21" s="392" t="s">
        <v>1233</v>
      </c>
      <c r="K21" s="2509"/>
      <c r="L21" s="2509"/>
      <c r="M21" s="2673"/>
      <c r="AH21" s="658">
        <v>21</v>
      </c>
    </row>
    <row customHeight="1" ht="12.75">
      <c r="D22" s="660"/>
      <c r="E22" s="565"/>
      <c r="F22" s="565"/>
      <c r="G22" s="565"/>
      <c r="H22" s="2751"/>
      <c r="I22" s="2751"/>
      <c r="J22" s="565"/>
      <c r="K22" s="565"/>
      <c r="L22" s="565"/>
      <c r="M22" s="565"/>
      <c r="AH22" s="658">
        <v>12</v>
      </c>
    </row>
    <row customHeight="1" ht="19.95">
      <c r="A23" s="2064"/>
      <c r="B23" s="2064"/>
      <c r="D23" s="660"/>
      <c r="E23" s="2150" t="s">
        <v>141</v>
      </c>
      <c r="F23" s="2752" t="str">
        <f>"Предлагаемый метод регулирования"&amp;IF(TEMPLATE_SPHERE="HEAT"," в сфере "&amp;TEMPLATE_SPHERE_RUS,"")</f>
        <v>Предлагаемый метод регулирования в сфере теплоснабжения</v>
      </c>
      <c r="G23" s="2753"/>
      <c r="H23" s="2745"/>
      <c r="I23" s="2745"/>
      <c r="J23" s="2745"/>
      <c r="K23" s="2753" t="s">
        <v>366</v>
      </c>
      <c r="L23" s="2745"/>
      <c r="M23" s="2053"/>
      <c r="N23" s="618"/>
      <c r="AH23" s="658">
        <v>19</v>
      </c>
    </row>
    <row customHeight="1" ht="60.75" hidden="1">
      <c r="A24" s="2064" t="s">
        <v>185</v>
      </c>
      <c r="B24" s="2064" t="s">
        <v>186</v>
      </c>
      <c r="D24" s="2750"/>
      <c r="E24" s="2488"/>
      <c r="F24" s="275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11" t="str">
        <f>INDEX(PT_DIFFERENTIATION_NTAR,MATCH(B24,PT_DIFFERENTIATION_NTAR_ID,0))</f>
        <v/>
      </c>
      <c r="H24" s="2146"/>
      <c r="I24" s="2023"/>
      <c r="J24" s="2057"/>
      <c r="K24" s="2149"/>
      <c r="L24" s="2052" t="s">
        <v>366</v>
      </c>
      <c r="M24" s="245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618"/>
      <c r="AH24" s="658">
        <v>0</v>
      </c>
    </row>
    <row s="30541" customFormat="1" customHeight="1" ht="18.75" hidden="1">
      <c r="A25" s="2064"/>
      <c r="B25" s="2064"/>
      <c r="C25" s="653" t="s">
        <v>1228</v>
      </c>
      <c r="D25" s="2750"/>
      <c r="E25" s="2488"/>
      <c r="F25" s="2754"/>
      <c r="G25" s="2711"/>
      <c r="H25" s="1784"/>
      <c r="I25" s="935" t="s">
        <v>1229</v>
      </c>
      <c r="J25" s="855"/>
      <c r="K25" s="1784"/>
      <c r="L25" s="498"/>
      <c r="M25" s="2454"/>
      <c r="N25" s="618"/>
      <c r="O25" s="1908"/>
      <c r="P25" s="1908"/>
      <c r="AH25" s="1915">
        <v>0</v>
      </c>
    </row>
    <row customHeight="1" ht="0.75" hidden="1">
      <c r="A26" s="2064"/>
      <c r="B26" s="2064"/>
      <c r="C26" s="653" t="s">
        <v>1234</v>
      </c>
      <c r="D26" s="2750"/>
      <c r="E26" s="2488"/>
      <c r="F26" s="2667"/>
      <c r="G26" s="684"/>
      <c r="H26" s="1784"/>
      <c r="I26" s="679"/>
      <c r="J26" s="633"/>
      <c r="K26" s="1784"/>
      <c r="L26" s="485"/>
      <c r="M26" s="2454"/>
      <c r="N26" s="618"/>
      <c r="AH26" s="658">
        <v>0</v>
      </c>
    </row>
    <row s="30541" customFormat="1" customHeight="1" ht="45" hidden="1">
      <c r="A27" s="2064" t="s">
        <v>191</v>
      </c>
      <c r="B27" s="2064" t="s">
        <v>192</v>
      </c>
      <c r="C27" s="653"/>
      <c r="D27" s="2746"/>
      <c r="E27" s="2747"/>
      <c r="F27" s="2748"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711" t="str">
        <f>INDEX(PT_DIFFERENTIATION_NTAR,MATCH(B27,PT_DIFFERENTIATION_NTAR_ID,0))</f>
        <v/>
      </c>
      <c r="H27" s="2146"/>
      <c r="I27" s="2023"/>
      <c r="J27" s="2057"/>
      <c r="K27" s="2149"/>
      <c r="L27" s="2146" t="s">
        <v>366</v>
      </c>
      <c r="M27" s="2454"/>
      <c r="N27" s="618"/>
      <c r="O27" s="1908"/>
      <c r="P27" s="1908"/>
      <c r="AH27" s="1915">
        <v>0</v>
      </c>
    </row>
    <row s="30541" customFormat="1" customHeight="1" ht="18.75" hidden="1">
      <c r="A28" s="2064"/>
      <c r="B28" s="2064"/>
      <c r="C28" s="653" t="s">
        <v>1228</v>
      </c>
      <c r="D28" s="2746"/>
      <c r="E28" s="2747"/>
      <c r="F28" s="2748"/>
      <c r="G28" s="2711"/>
      <c r="H28" s="1784"/>
      <c r="I28" s="935" t="s">
        <v>1229</v>
      </c>
      <c r="J28" s="855"/>
      <c r="K28" s="1784"/>
      <c r="L28" s="498"/>
      <c r="M28" s="2454"/>
      <c r="N28" s="618"/>
      <c r="O28" s="1908"/>
      <c r="P28" s="1908"/>
      <c r="AH28" s="1915">
        <v>0</v>
      </c>
    </row>
    <row s="30541" customFormat="1" customHeight="1" ht="0.75" hidden="1">
      <c r="A29" s="2064"/>
      <c r="B29" s="2064"/>
      <c r="C29" s="653" t="s">
        <v>1234</v>
      </c>
      <c r="D29" s="2746"/>
      <c r="E29" s="2488"/>
      <c r="F29" s="2667"/>
      <c r="G29" s="684"/>
      <c r="H29" s="1784"/>
      <c r="I29" s="935"/>
      <c r="J29" s="855"/>
      <c r="K29" s="1784"/>
      <c r="L29" s="498"/>
      <c r="M29" s="2454"/>
      <c r="N29" s="618"/>
      <c r="O29" s="1908"/>
      <c r="P29" s="1908"/>
      <c r="AH29" s="1915">
        <v>0</v>
      </c>
    </row>
    <row s="30541" customFormat="1" customHeight="1" ht="45" hidden="1">
      <c r="A30" s="2064" t="s">
        <v>197</v>
      </c>
      <c r="B30" s="2064" t="s">
        <v>198</v>
      </c>
      <c r="C30" s="653"/>
      <c r="D30" s="2746"/>
      <c r="E30" s="2488"/>
      <c r="F30" s="266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11" t="str">
        <f>INDEX(PT_DIFFERENTIATION_NTAR,MATCH(B30,PT_DIFFERENTIATION_NTAR_ID,0))</f>
        <v/>
      </c>
      <c r="H30" s="2146"/>
      <c r="I30" s="2023"/>
      <c r="J30" s="2057"/>
      <c r="K30" s="2149"/>
      <c r="L30" s="2146" t="s">
        <v>366</v>
      </c>
      <c r="M30" s="2454"/>
      <c r="N30" s="618"/>
      <c r="O30" s="1908"/>
      <c r="P30" s="1908"/>
      <c r="AH30" s="1915">
        <v>0</v>
      </c>
    </row>
    <row s="30541" customFormat="1" customHeight="1" ht="18.75" hidden="1">
      <c r="A31" s="2064"/>
      <c r="B31" s="2064"/>
      <c r="C31" s="653" t="s">
        <v>1228</v>
      </c>
      <c r="D31" s="2746"/>
      <c r="E31" s="2488"/>
      <c r="F31" s="2667"/>
      <c r="G31" s="2711"/>
      <c r="H31" s="1784"/>
      <c r="I31" s="935" t="s">
        <v>1229</v>
      </c>
      <c r="J31" s="855"/>
      <c r="K31" s="1784"/>
      <c r="L31" s="498"/>
      <c r="M31" s="2454"/>
      <c r="N31" s="618"/>
      <c r="O31" s="1908"/>
      <c r="P31" s="1908"/>
      <c r="AH31" s="1915">
        <v>0</v>
      </c>
    </row>
    <row s="38090" customFormat="1" customHeight="1" ht="18.75">
      <c r="A32" s="4729" t="s">
        <v>197</v>
      </c>
      <c r="B32" s="4729" t="s">
        <v>1235</v>
      </c>
      <c r="C32" s="7199"/>
      <c r="D32" s="7200"/>
      <c r="E32" s="7201"/>
      <c r="F32" s="7201"/>
      <c r="G32" s="7202">
        <f>INDEX(PT_DIFFERENTIATION_NTAR,MATCH(B32,PT_DIFFERENTIATION_NTAR_ID,0))</f>
      </c>
      <c r="H32" s="4160"/>
      <c r="I32" s="7203"/>
      <c r="J32" s="7204"/>
      <c r="K32" s="7205"/>
      <c r="L32" s="4160" t="s">
        <v>366</v>
      </c>
      <c r="M32" s="7206"/>
      <c r="N32" s="7207"/>
      <c r="O32" s="4251"/>
      <c r="P32" s="4251"/>
      <c r="Q32" s="3961"/>
      <c r="R32" s="3961"/>
      <c r="S32" s="3961"/>
      <c r="T32" s="3961"/>
      <c r="U32" s="3961"/>
      <c r="V32" s="3961"/>
      <c r="W32" s="3961"/>
      <c r="X32" s="3961"/>
      <c r="Y32" s="3961"/>
      <c r="Z32" s="3961"/>
      <c r="AA32" s="3961"/>
      <c r="AB32" s="3961"/>
      <c r="AC32" s="3961"/>
      <c r="AD32" s="3961"/>
      <c r="AE32" s="3961"/>
      <c r="AF32" s="3961"/>
      <c r="AG32" s="3961"/>
      <c r="AH32" s="3961">
        <v>0</v>
      </c>
    </row>
    <row s="38090" customFormat="1" customHeight="1" ht="18.75">
      <c r="A33" s="4729"/>
      <c r="B33" s="4729"/>
      <c r="C33" s="7199" t="s">
        <v>1228</v>
      </c>
      <c r="D33" s="7200"/>
      <c r="E33" s="7201"/>
      <c r="F33" s="7201"/>
      <c r="G33" s="7202"/>
      <c r="H33" s="7208"/>
      <c r="I33" s="7209" t="s">
        <v>1229</v>
      </c>
      <c r="J33" s="7210"/>
      <c r="K33" s="7211"/>
      <c r="L33" s="7212"/>
      <c r="M33" s="7206"/>
      <c r="N33" s="7207"/>
      <c r="O33" s="4251"/>
      <c r="P33" s="4251"/>
      <c r="Q33" s="3961"/>
      <c r="R33" s="3961"/>
      <c r="S33" s="3961"/>
      <c r="T33" s="3961"/>
      <c r="U33" s="3961"/>
      <c r="V33" s="3961"/>
      <c r="W33" s="3961"/>
      <c r="X33" s="3961"/>
      <c r="Y33" s="3961"/>
      <c r="Z33" s="3961"/>
      <c r="AA33" s="3961"/>
      <c r="AB33" s="3961"/>
      <c r="AC33" s="3961"/>
      <c r="AD33" s="3961"/>
      <c r="AE33" s="3961"/>
      <c r="AF33" s="3961"/>
      <c r="AG33" s="3961"/>
      <c r="AH33" s="3961">
        <v>0</v>
      </c>
    </row>
    <row s="30541" customFormat="1" customHeight="1" ht="0.75" hidden="1">
      <c r="A34" s="2064"/>
      <c r="B34" s="2064"/>
      <c r="C34" s="653" t="s">
        <v>1234</v>
      </c>
      <c r="D34" s="2746"/>
      <c r="E34" s="2488"/>
      <c r="F34" s="2667"/>
      <c r="G34" s="684"/>
      <c r="H34" s="1784"/>
      <c r="I34" s="935"/>
      <c r="J34" s="855"/>
      <c r="K34" s="1784"/>
      <c r="L34" s="498"/>
      <c r="M34" s="2454"/>
      <c r="N34" s="618"/>
      <c r="O34" s="1908"/>
      <c r="P34" s="1908"/>
      <c r="AH34" s="1915">
        <v>0</v>
      </c>
    </row>
    <row s="30541" customFormat="1" customHeight="1" ht="45" hidden="1">
      <c r="A35" s="2064" t="s">
        <v>208</v>
      </c>
      <c r="B35" s="2064" t="s">
        <v>209</v>
      </c>
      <c r="C35" s="653"/>
      <c r="D35" s="2746"/>
      <c r="E35" s="2488"/>
      <c r="F35" s="2667" t="str">
        <f>INDEX(PT_DIFFERENTIATION_VTAR,MATCH(A35,PT_DIFFERENTIATION_VTAR_ID,0))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5" s="2711" t="str">
        <f>INDEX(PT_DIFFERENTIATION_NTAR,MATCH(B35,PT_DIFFERENTIATION_NTAR_ID,0))</f>
        <v>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v>
      </c>
      <c r="H35" s="2146"/>
      <c r="I35" s="2023"/>
      <c r="J35" s="2057"/>
      <c r="K35" s="2149"/>
      <c r="L35" s="2146" t="s">
        <v>366</v>
      </c>
      <c r="M35" s="2454"/>
      <c r="N35" s="618"/>
      <c r="O35" s="1908"/>
      <c r="P35" s="1908"/>
      <c r="AH35" s="1915">
        <v>0</v>
      </c>
    </row>
    <row s="30541" customFormat="1" customHeight="1" ht="18.75" hidden="1">
      <c r="A36" s="2064"/>
      <c r="B36" s="2064"/>
      <c r="C36" s="653" t="s">
        <v>1228</v>
      </c>
      <c r="D36" s="2746"/>
      <c r="E36" s="2488"/>
      <c r="F36" s="2667"/>
      <c r="G36" s="2711"/>
      <c r="H36" s="1784"/>
      <c r="I36" s="935" t="s">
        <v>1229</v>
      </c>
      <c r="J36" s="855"/>
      <c r="K36" s="1784"/>
      <c r="L36" s="498"/>
      <c r="M36" s="2454"/>
      <c r="N36" s="618"/>
      <c r="O36" s="1908"/>
      <c r="P36" s="1908"/>
      <c r="AH36" s="1915">
        <v>0</v>
      </c>
    </row>
    <row s="38105" customFormat="1" customHeight="1" ht="18.75">
      <c r="A37" s="11582" t="s">
        <v>208</v>
      </c>
      <c r="B37" s="11582" t="s">
        <v>232</v>
      </c>
      <c r="C37" s="12907"/>
      <c r="D37" s="12908"/>
      <c r="E37" s="12909"/>
      <c r="F37" s="12909"/>
      <c r="G37" s="12910" t="str">
        <f>INDEX(PT_DIFFERENTIATION_NTAR,MATCH(B37,PT_DIFFERENTIATION_NTAR_ID,0))</f>
        <v>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(для потребителей, получающих тепловую энергию на коллекторах производителей).</v>
      </c>
      <c r="H37" s="12911"/>
      <c r="I37" s="12912"/>
      <c r="J37" s="12913"/>
      <c r="K37" s="12914"/>
      <c r="L37" s="12911" t="s">
        <v>366</v>
      </c>
      <c r="M37" s="12915"/>
      <c r="N37" s="12916"/>
      <c r="O37" s="11472"/>
      <c r="P37" s="11472"/>
      <c r="Q37" s="11462"/>
      <c r="R37" s="11462"/>
      <c r="S37" s="11462"/>
      <c r="T37" s="11462"/>
      <c r="U37" s="11462"/>
      <c r="V37" s="11462"/>
      <c r="W37" s="11462"/>
      <c r="X37" s="11462"/>
      <c r="Y37" s="11462"/>
      <c r="Z37" s="11462"/>
      <c r="AA37" s="11462"/>
      <c r="AB37" s="11462"/>
      <c r="AC37" s="11462"/>
      <c r="AD37" s="11462"/>
      <c r="AE37" s="11462"/>
      <c r="AF37" s="11462"/>
      <c r="AG37" s="11462"/>
      <c r="AH37" s="11462">
        <v>0</v>
      </c>
    </row>
    <row s="38105" customFormat="1" customHeight="1" ht="18.75">
      <c r="A38" s="11582"/>
      <c r="B38" s="11582"/>
      <c r="C38" s="12907" t="s">
        <v>1228</v>
      </c>
      <c r="D38" s="12908"/>
      <c r="E38" s="12909"/>
      <c r="F38" s="12909"/>
      <c r="G38" s="12910"/>
      <c r="H38" s="12917"/>
      <c r="I38" s="12918" t="s">
        <v>1229</v>
      </c>
      <c r="J38" s="12919"/>
      <c r="K38" s="12920"/>
      <c r="L38" s="12921"/>
      <c r="M38" s="12915"/>
      <c r="N38" s="12916"/>
      <c r="O38" s="11472"/>
      <c r="P38" s="11472"/>
      <c r="Q38" s="11462"/>
      <c r="R38" s="11462"/>
      <c r="S38" s="11462"/>
      <c r="T38" s="11462"/>
      <c r="U38" s="11462"/>
      <c r="V38" s="11462"/>
      <c r="W38" s="11462"/>
      <c r="X38" s="11462"/>
      <c r="Y38" s="11462"/>
      <c r="Z38" s="11462"/>
      <c r="AA38" s="11462"/>
      <c r="AB38" s="11462"/>
      <c r="AC38" s="11462"/>
      <c r="AD38" s="11462"/>
      <c r="AE38" s="11462"/>
      <c r="AF38" s="11462"/>
      <c r="AG38" s="11462"/>
      <c r="AH38" s="11462">
        <v>0</v>
      </c>
    </row>
    <row s="30541" customFormat="1" customHeight="1" ht="0.75" hidden="1">
      <c r="A39" s="2064"/>
      <c r="B39" s="2064"/>
      <c r="C39" s="653" t="s">
        <v>1234</v>
      </c>
      <c r="D39" s="2746"/>
      <c r="E39" s="2488"/>
      <c r="F39" s="2667"/>
      <c r="G39" s="684"/>
      <c r="H39" s="1784"/>
      <c r="I39" s="935"/>
      <c r="J39" s="855"/>
      <c r="K39" s="1784"/>
      <c r="L39" s="498"/>
      <c r="M39" s="2454"/>
      <c r="N39" s="618"/>
      <c r="O39" s="1908"/>
      <c r="P39" s="1908"/>
      <c r="AH39" s="1915">
        <v>0</v>
      </c>
    </row>
    <row s="30541" customFormat="1" customHeight="1" ht="18.75" hidden="1">
      <c r="A40" s="2064" t="s">
        <v>241</v>
      </c>
      <c r="B40" s="2064" t="s">
        <v>242</v>
      </c>
      <c r="C40" s="653"/>
      <c r="D40" s="2746"/>
      <c r="E40" s="2488"/>
      <c r="F40" s="2667" t="str">
        <f>INDEX(PT_DIFFERENTIATION_VTAR,MATCH(A40,PT_DIFFERENTIATION_VTAR_ID,0))</f>
        <v>Тарифы на услуги по передаче тепловой энергии</v>
      </c>
      <c r="G40" s="2711" t="str">
        <f>INDEX(PT_DIFFERENTIATION_NTAR,MATCH(B40,PT_DIFFERENTIATION_NTAR_ID,0))</f>
        <v/>
      </c>
      <c r="H40" s="2146"/>
      <c r="I40" s="2023"/>
      <c r="J40" s="2057"/>
      <c r="K40" s="2149"/>
      <c r="L40" s="2146" t="s">
        <v>366</v>
      </c>
      <c r="M40" s="2454"/>
      <c r="N40" s="618"/>
      <c r="O40" s="1908"/>
      <c r="P40" s="1908"/>
      <c r="AH40" s="1915">
        <v>0</v>
      </c>
    </row>
    <row s="30541" customFormat="1" customHeight="1" ht="18.75" hidden="1">
      <c r="A41" s="2064"/>
      <c r="B41" s="2064"/>
      <c r="C41" s="653" t="s">
        <v>1228</v>
      </c>
      <c r="D41" s="2746"/>
      <c r="E41" s="2488"/>
      <c r="F41" s="2667"/>
      <c r="G41" s="2711"/>
      <c r="H41" s="1784"/>
      <c r="I41" s="935" t="s">
        <v>1229</v>
      </c>
      <c r="J41" s="855"/>
      <c r="K41" s="1784"/>
      <c r="L41" s="498"/>
      <c r="M41" s="2454"/>
      <c r="N41" s="618"/>
      <c r="O41" s="1908"/>
      <c r="P41" s="1908"/>
      <c r="AH41" s="1915">
        <v>0</v>
      </c>
    </row>
    <row s="30541" customFormat="1" customHeight="1" ht="0.75" hidden="1">
      <c r="A42" s="2064"/>
      <c r="B42" s="2064"/>
      <c r="C42" s="653" t="s">
        <v>1234</v>
      </c>
      <c r="D42" s="2746"/>
      <c r="E42" s="2488"/>
      <c r="F42" s="2667"/>
      <c r="G42" s="684"/>
      <c r="H42" s="1784"/>
      <c r="I42" s="935"/>
      <c r="J42" s="855"/>
      <c r="K42" s="1784"/>
      <c r="L42" s="498"/>
      <c r="M42" s="2454"/>
      <c r="N42" s="618"/>
      <c r="O42" s="1908"/>
      <c r="P42" s="1908"/>
      <c r="AH42" s="1915">
        <v>0</v>
      </c>
    </row>
    <row s="30541" customFormat="1" customHeight="1" ht="18.75" hidden="1">
      <c r="A43" s="2064" t="s">
        <v>247</v>
      </c>
      <c r="B43" s="2064" t="s">
        <v>248</v>
      </c>
      <c r="C43" s="653"/>
      <c r="D43" s="2746"/>
      <c r="E43" s="2488"/>
      <c r="F43" s="2667" t="str">
        <f>INDEX(PT_DIFFERENTIATION_VTAR,MATCH(A43,PT_DIFFERENTIATION_VTAR_ID,0))</f>
        <v>Тарифы на услуги по передаче теплоносителя</v>
      </c>
      <c r="G43" s="2711" t="str">
        <f>INDEX(PT_DIFFERENTIATION_NTAR,MATCH(B43,PT_DIFFERENTIATION_NTAR_ID,0))</f>
        <v/>
      </c>
      <c r="H43" s="2146"/>
      <c r="I43" s="2023"/>
      <c r="J43" s="2057"/>
      <c r="K43" s="2149"/>
      <c r="L43" s="2146" t="s">
        <v>366</v>
      </c>
      <c r="M43" s="2454"/>
      <c r="N43" s="618"/>
      <c r="O43" s="1908"/>
      <c r="P43" s="1908"/>
      <c r="AH43" s="1915">
        <v>0</v>
      </c>
    </row>
    <row s="30541" customFormat="1" customHeight="1" ht="18.75" hidden="1">
      <c r="A44" s="2064"/>
      <c r="B44" s="2064"/>
      <c r="C44" s="653" t="s">
        <v>1228</v>
      </c>
      <c r="D44" s="2746"/>
      <c r="E44" s="2488"/>
      <c r="F44" s="2667"/>
      <c r="G44" s="2711"/>
      <c r="H44" s="1784"/>
      <c r="I44" s="935" t="s">
        <v>1229</v>
      </c>
      <c r="J44" s="855"/>
      <c r="K44" s="1784"/>
      <c r="L44" s="498"/>
      <c r="M44" s="2454"/>
      <c r="N44" s="618"/>
      <c r="O44" s="1908"/>
      <c r="P44" s="1908"/>
      <c r="AH44" s="1915">
        <v>0</v>
      </c>
    </row>
    <row s="30541" customFormat="1" customHeight="1" ht="0.75" hidden="1">
      <c r="A45" s="2064"/>
      <c r="B45" s="2064"/>
      <c r="C45" s="653" t="s">
        <v>1234</v>
      </c>
      <c r="D45" s="2746"/>
      <c r="E45" s="2488"/>
      <c r="F45" s="2667"/>
      <c r="G45" s="684"/>
      <c r="H45" s="1784"/>
      <c r="I45" s="935"/>
      <c r="J45" s="855"/>
      <c r="K45" s="1784"/>
      <c r="L45" s="498"/>
      <c r="M45" s="2454"/>
      <c r="N45" s="618"/>
      <c r="O45" s="1908"/>
      <c r="P45" s="1908"/>
      <c r="AH45" s="1915">
        <v>0</v>
      </c>
    </row>
    <row s="30541" customFormat="1" customHeight="1" ht="18.75" hidden="1">
      <c r="A46" s="2064" t="s">
        <v>253</v>
      </c>
      <c r="B46" s="2064" t="s">
        <v>254</v>
      </c>
      <c r="C46" s="653"/>
      <c r="D46" s="2746"/>
      <c r="E46" s="2488"/>
      <c r="F46" s="2667" t="str">
        <f>INDEX(PT_DIFFERENTIATION_VTAR,MATCH(A46,PT_DIFFERENTIATION_VTAR_ID,0))</f>
        <v>Плата за услуги по поддержанию резервной тепловой мощности при отсутствии потребления тепловой энергии</v>
      </c>
      <c r="G46" s="2711" t="str">
        <f>INDEX(PT_DIFFERENTIATION_NTAR,MATCH(B46,PT_DIFFERENTIATION_NTAR_ID,0))</f>
        <v/>
      </c>
      <c r="H46" s="2146"/>
      <c r="I46" s="2023"/>
      <c r="J46" s="2057"/>
      <c r="K46" s="2149"/>
      <c r="L46" s="2146" t="s">
        <v>366</v>
      </c>
      <c r="M46" s="2454"/>
      <c r="N46" s="618"/>
      <c r="O46" s="1908"/>
      <c r="P46" s="1908"/>
      <c r="AH46" s="1915">
        <v>0</v>
      </c>
    </row>
    <row s="30541" customFormat="1" customHeight="1" ht="18.75" hidden="1">
      <c r="A47" s="2064"/>
      <c r="B47" s="2064"/>
      <c r="C47" s="653" t="s">
        <v>1228</v>
      </c>
      <c r="D47" s="2746"/>
      <c r="E47" s="2488"/>
      <c r="F47" s="2667"/>
      <c r="G47" s="2711"/>
      <c r="H47" s="1784"/>
      <c r="I47" s="935" t="s">
        <v>1229</v>
      </c>
      <c r="J47" s="855"/>
      <c r="K47" s="1784"/>
      <c r="L47" s="498"/>
      <c r="M47" s="2454"/>
      <c r="N47" s="618"/>
      <c r="O47" s="1908"/>
      <c r="P47" s="1908"/>
      <c r="AH47" s="1915">
        <v>0</v>
      </c>
    </row>
    <row s="30541" customFormat="1" customHeight="1" ht="0.75" hidden="1">
      <c r="A48" s="2064"/>
      <c r="B48" s="2064"/>
      <c r="C48" s="653" t="s">
        <v>1234</v>
      </c>
      <c r="D48" s="2746"/>
      <c r="E48" s="2488"/>
      <c r="F48" s="2667"/>
      <c r="G48" s="684"/>
      <c r="H48" s="1784"/>
      <c r="I48" s="935"/>
      <c r="J48" s="855"/>
      <c r="K48" s="1784"/>
      <c r="L48" s="498"/>
      <c r="M48" s="2454"/>
      <c r="N48" s="618"/>
      <c r="O48" s="1908"/>
      <c r="P48" s="1908"/>
      <c r="AH48" s="1915">
        <v>0</v>
      </c>
    </row>
    <row s="30541" customFormat="1" customHeight="1" ht="18.75" hidden="1">
      <c r="A49" s="2064" t="s">
        <v>259</v>
      </c>
      <c r="B49" s="2064" t="s">
        <v>260</v>
      </c>
      <c r="C49" s="653"/>
      <c r="D49" s="2746"/>
      <c r="E49" s="2488"/>
      <c r="F49" s="2667" t="str">
        <f>INDEX(PT_DIFFERENTIATION_VTAR,MATCH(A49,PT_DIFFERENTIATION_VTAR_ID,0))</f>
        <v>Плата за подключение (технологическое присоединение) к системе теплоснабжения</v>
      </c>
      <c r="G49" s="2711" t="str">
        <f>INDEX(PT_DIFFERENTIATION_NTAR,MATCH(B49,PT_DIFFERENTIATION_NTAR_ID,0))</f>
        <v/>
      </c>
      <c r="H49" s="2146"/>
      <c r="I49" s="2023"/>
      <c r="J49" s="2057"/>
      <c r="K49" s="2149"/>
      <c r="L49" s="2146" t="s">
        <v>366</v>
      </c>
      <c r="M49" s="2454"/>
      <c r="N49" s="618"/>
      <c r="O49" s="1908"/>
      <c r="P49" s="1908"/>
      <c r="AH49" s="1915">
        <v>0</v>
      </c>
    </row>
    <row s="30541" customFormat="1" customHeight="1" ht="18.75" hidden="1">
      <c r="A50" s="2064"/>
      <c r="B50" s="2064"/>
      <c r="C50" s="653" t="s">
        <v>1228</v>
      </c>
      <c r="D50" s="2746"/>
      <c r="E50" s="2488"/>
      <c r="F50" s="2667"/>
      <c r="G50" s="2711"/>
      <c r="H50" s="1784"/>
      <c r="I50" s="935" t="s">
        <v>1229</v>
      </c>
      <c r="J50" s="855"/>
      <c r="K50" s="1784"/>
      <c r="L50" s="498"/>
      <c r="M50" s="2454"/>
      <c r="N50" s="618"/>
      <c r="O50" s="1908"/>
      <c r="P50" s="1908"/>
      <c r="AH50" s="1915">
        <v>0</v>
      </c>
    </row>
    <row s="30541" customFormat="1" customHeight="1" ht="0.75" hidden="1">
      <c r="A51" s="2064"/>
      <c r="B51" s="2064"/>
      <c r="C51" s="653" t="s">
        <v>1234</v>
      </c>
      <c r="D51" s="2746"/>
      <c r="E51" s="2488"/>
      <c r="F51" s="2667"/>
      <c r="G51" s="684"/>
      <c r="H51" s="1784"/>
      <c r="I51" s="935"/>
      <c r="J51" s="855"/>
      <c r="K51" s="1784"/>
      <c r="L51" s="498"/>
      <c r="M51" s="2454"/>
      <c r="N51" s="618"/>
      <c r="O51" s="1908"/>
      <c r="P51" s="1908"/>
      <c r="AH51" s="1915">
        <v>0</v>
      </c>
    </row>
    <row s="30541" customFormat="1" customHeight="1" ht="18.75" hidden="1">
      <c r="A52" s="2064" t="s">
        <v>265</v>
      </c>
      <c r="B52" s="2064" t="s">
        <v>266</v>
      </c>
      <c r="C52" s="653"/>
      <c r="D52" s="2746"/>
      <c r="E52" s="2488"/>
      <c r="F52" s="2667" t="str">
        <f>INDEX(PT_DIFFERENTIATION_VTAR,MATCH(A52,PT_DIFFERENTIATION_VTAR_ID,0))</f>
        <v>Плата за подключение (технологическое присоединение) к системе теплоснабжения (индивидуальная)</v>
      </c>
      <c r="G52" s="2711" t="str">
        <f>INDEX(PT_DIFFERENTIATION_NTAR,MATCH(B52,PT_DIFFERENTIATION_NTAR_ID,0))</f>
        <v/>
      </c>
      <c r="H52" s="2273"/>
      <c r="I52" s="2023"/>
      <c r="J52" s="2057"/>
      <c r="K52" s="2149"/>
      <c r="L52" s="2273" t="s">
        <v>366</v>
      </c>
      <c r="M52" s="2454"/>
      <c r="N52" s="618"/>
      <c r="O52" s="1908"/>
      <c r="P52" s="1908"/>
      <c r="AH52" s="1915">
        <v>0</v>
      </c>
    </row>
    <row s="30541" customFormat="1" customHeight="1" ht="18.75" hidden="1">
      <c r="A53" s="2064"/>
      <c r="B53" s="2064"/>
      <c r="C53" s="653" t="s">
        <v>1228</v>
      </c>
      <c r="D53" s="2746"/>
      <c r="E53" s="2488"/>
      <c r="F53" s="2667"/>
      <c r="G53" s="2711"/>
      <c r="H53" s="1784"/>
      <c r="I53" s="935" t="s">
        <v>1229</v>
      </c>
      <c r="J53" s="855"/>
      <c r="K53" s="1784"/>
      <c r="L53" s="498"/>
      <c r="M53" s="2454"/>
      <c r="N53" s="618"/>
      <c r="O53" s="1908"/>
      <c r="P53" s="1908"/>
      <c r="AH53" s="1915">
        <v>0</v>
      </c>
    </row>
    <row s="30541" customFormat="1" customHeight="1" ht="0.75" hidden="1">
      <c r="A54" s="2064"/>
      <c r="B54" s="2064"/>
      <c r="C54" s="653" t="s">
        <v>1234</v>
      </c>
      <c r="D54" s="2746"/>
      <c r="E54" s="2488"/>
      <c r="F54" s="2667"/>
      <c r="G54" s="684"/>
      <c r="H54" s="1784"/>
      <c r="I54" s="935"/>
      <c r="J54" s="855"/>
      <c r="K54" s="1784"/>
      <c r="L54" s="498"/>
      <c r="M54" s="2454"/>
      <c r="N54" s="618"/>
      <c r="O54" s="1908"/>
      <c r="P54" s="1908"/>
      <c r="AH54" s="1915">
        <v>0</v>
      </c>
    </row>
    <row s="30541" customFormat="1" customHeight="1" ht="18.75" hidden="1">
      <c r="A55" s="2064" t="s">
        <v>285</v>
      </c>
      <c r="B55" s="2064" t="s">
        <v>286</v>
      </c>
      <c r="C55" s="653"/>
      <c r="D55" s="2746"/>
      <c r="E55" s="2488"/>
      <c r="F55" s="2667" t="str">
        <f>INDEX(PT_DIFFERENTIATION_VTAR,MATCH(A55,PT_DIFFERENTIATION_VTAR_ID,0))</f>
        <v>Тариф на питьевую воду (питьевое водоснабжение)</v>
      </c>
      <c r="G55" s="2711" t="str">
        <f>INDEX(PT_DIFFERENTIATION_NTAR,MATCH(B55,PT_DIFFERENTIATION_NTAR_ID,0))</f>
        <v/>
      </c>
      <c r="H55" s="2146"/>
      <c r="I55" s="2023"/>
      <c r="J55" s="2057"/>
      <c r="K55" s="2149"/>
      <c r="L55" s="2146" t="s">
        <v>366</v>
      </c>
      <c r="M55" s="2454"/>
      <c r="N55" s="618"/>
      <c r="O55" s="1908"/>
      <c r="P55" s="1908"/>
      <c r="AH55" s="1915">
        <v>0</v>
      </c>
    </row>
    <row s="30541" customFormat="1" customHeight="1" ht="18.75" hidden="1">
      <c r="A56" s="2064"/>
      <c r="B56" s="2064"/>
      <c r="C56" s="653" t="s">
        <v>1228</v>
      </c>
      <c r="D56" s="2746"/>
      <c r="E56" s="2488"/>
      <c r="F56" s="2667"/>
      <c r="G56" s="2711"/>
      <c r="H56" s="1784"/>
      <c r="I56" s="935" t="s">
        <v>1229</v>
      </c>
      <c r="J56" s="855"/>
      <c r="K56" s="1784"/>
      <c r="L56" s="498"/>
      <c r="M56" s="2454"/>
      <c r="N56" s="618"/>
      <c r="O56" s="1908"/>
      <c r="P56" s="1908"/>
      <c r="AH56" s="1915">
        <v>0</v>
      </c>
    </row>
    <row s="30541" customFormat="1" customHeight="1" ht="0.75" hidden="1">
      <c r="A57" s="2064"/>
      <c r="B57" s="2064"/>
      <c r="C57" s="653" t="s">
        <v>1234</v>
      </c>
      <c r="D57" s="2746"/>
      <c r="E57" s="2488"/>
      <c r="F57" s="2667"/>
      <c r="G57" s="684"/>
      <c r="H57" s="1784"/>
      <c r="I57" s="935"/>
      <c r="J57" s="855"/>
      <c r="K57" s="1784"/>
      <c r="L57" s="498"/>
      <c r="M57" s="2454"/>
      <c r="N57" s="618"/>
      <c r="O57" s="1908"/>
      <c r="P57" s="1908"/>
      <c r="AH57" s="1915">
        <v>0</v>
      </c>
    </row>
    <row s="30541" customFormat="1" customHeight="1" ht="18.75" hidden="1">
      <c r="A58" s="2064" t="s">
        <v>290</v>
      </c>
      <c r="B58" s="2064" t="s">
        <v>291</v>
      </c>
      <c r="C58" s="653"/>
      <c r="D58" s="2746"/>
      <c r="E58" s="2488"/>
      <c r="F58" s="2667" t="str">
        <f>INDEX(PT_DIFFERENTIATION_VTAR,MATCH(A58,PT_DIFFERENTIATION_VTAR_ID,0))</f>
        <v>Тариф на техническую воду</v>
      </c>
      <c r="G58" s="2711" t="str">
        <f>INDEX(PT_DIFFERENTIATION_NTAR,MATCH(B58,PT_DIFFERENTIATION_NTAR_ID,0))</f>
        <v/>
      </c>
      <c r="H58" s="2146"/>
      <c r="I58" s="2023"/>
      <c r="J58" s="2057"/>
      <c r="K58" s="2149"/>
      <c r="L58" s="2146" t="s">
        <v>366</v>
      </c>
      <c r="M58" s="2454"/>
      <c r="N58" s="618"/>
      <c r="O58" s="1908"/>
      <c r="P58" s="1908"/>
      <c r="AH58" s="1915">
        <v>0</v>
      </c>
    </row>
    <row s="30541" customFormat="1" customHeight="1" ht="18.75" hidden="1">
      <c r="A59" s="2064"/>
      <c r="B59" s="2064"/>
      <c r="C59" s="653" t="s">
        <v>1228</v>
      </c>
      <c r="D59" s="2746"/>
      <c r="E59" s="2488"/>
      <c r="F59" s="2667"/>
      <c r="G59" s="2711"/>
      <c r="H59" s="1784"/>
      <c r="I59" s="935" t="s">
        <v>1229</v>
      </c>
      <c r="J59" s="855"/>
      <c r="K59" s="1784"/>
      <c r="L59" s="498"/>
      <c r="M59" s="2454"/>
      <c r="N59" s="618"/>
      <c r="O59" s="1908"/>
      <c r="P59" s="1908"/>
      <c r="AH59" s="1915">
        <v>0</v>
      </c>
    </row>
    <row s="30541" customFormat="1" customHeight="1" ht="0.75" hidden="1">
      <c r="A60" s="2064"/>
      <c r="B60" s="2064"/>
      <c r="C60" s="653" t="s">
        <v>1234</v>
      </c>
      <c r="D60" s="2746"/>
      <c r="E60" s="2488"/>
      <c r="F60" s="2667"/>
      <c r="G60" s="684"/>
      <c r="H60" s="1784"/>
      <c r="I60" s="935"/>
      <c r="J60" s="855"/>
      <c r="K60" s="1784"/>
      <c r="L60" s="498"/>
      <c r="M60" s="2454"/>
      <c r="N60" s="618"/>
      <c r="O60" s="1908"/>
      <c r="P60" s="1908"/>
      <c r="AH60" s="1915">
        <v>0</v>
      </c>
    </row>
    <row s="30541" customFormat="1" customHeight="1" ht="18.75" hidden="1">
      <c r="A61" s="2064" t="s">
        <v>295</v>
      </c>
      <c r="B61" s="2064" t="s">
        <v>296</v>
      </c>
      <c r="C61" s="653"/>
      <c r="D61" s="2746"/>
      <c r="E61" s="2488"/>
      <c r="F61" s="2667" t="str">
        <f>INDEX(PT_DIFFERENTIATION_VTAR,MATCH(A61,PT_DIFFERENTIATION_VTAR_ID,0))</f>
        <v>Тариф на транспортировку воды</v>
      </c>
      <c r="G61" s="2711" t="str">
        <f>INDEX(PT_DIFFERENTIATION_NTAR,MATCH(B61,PT_DIFFERENTIATION_NTAR_ID,0))</f>
        <v/>
      </c>
      <c r="H61" s="2146"/>
      <c r="I61" s="2023"/>
      <c r="J61" s="2057"/>
      <c r="K61" s="2149"/>
      <c r="L61" s="2146" t="s">
        <v>366</v>
      </c>
      <c r="M61" s="2454"/>
      <c r="N61" s="618"/>
      <c r="O61" s="1908"/>
      <c r="P61" s="1908"/>
      <c r="AH61" s="1915">
        <v>0</v>
      </c>
    </row>
    <row s="30541" customFormat="1" customHeight="1" ht="18.75" hidden="1">
      <c r="A62" s="2064"/>
      <c r="B62" s="2064"/>
      <c r="C62" s="653" t="s">
        <v>1228</v>
      </c>
      <c r="D62" s="2746"/>
      <c r="E62" s="2488"/>
      <c r="F62" s="2667"/>
      <c r="G62" s="2711"/>
      <c r="H62" s="1784"/>
      <c r="I62" s="935" t="s">
        <v>1229</v>
      </c>
      <c r="J62" s="855"/>
      <c r="K62" s="1784"/>
      <c r="L62" s="498"/>
      <c r="M62" s="2454"/>
      <c r="N62" s="618"/>
      <c r="O62" s="1908"/>
      <c r="P62" s="1908"/>
      <c r="AH62" s="1915">
        <v>0</v>
      </c>
    </row>
    <row s="30541" customFormat="1" customHeight="1" ht="0.75" hidden="1">
      <c r="A63" s="2064"/>
      <c r="B63" s="2064"/>
      <c r="C63" s="653" t="s">
        <v>1234</v>
      </c>
      <c r="D63" s="2746"/>
      <c r="E63" s="2488"/>
      <c r="F63" s="2667"/>
      <c r="G63" s="684"/>
      <c r="H63" s="1784"/>
      <c r="I63" s="935"/>
      <c r="J63" s="855"/>
      <c r="K63" s="1784"/>
      <c r="L63" s="498"/>
      <c r="M63" s="2454"/>
      <c r="N63" s="618"/>
      <c r="O63" s="1908"/>
      <c r="P63" s="1908"/>
      <c r="AH63" s="1915">
        <v>0</v>
      </c>
    </row>
    <row s="30541" customFormat="1" customHeight="1" ht="18.75" hidden="1">
      <c r="A64" s="2064" t="s">
        <v>300</v>
      </c>
      <c r="B64" s="2064" t="s">
        <v>301</v>
      </c>
      <c r="C64" s="653"/>
      <c r="D64" s="2746"/>
      <c r="E64" s="2488"/>
      <c r="F64" s="2667" t="str">
        <f>INDEX(PT_DIFFERENTIATION_VTAR,MATCH(A64,PT_DIFFERENTIATION_VTAR_ID,0))</f>
        <v>Тариф на подвоз воды</v>
      </c>
      <c r="G64" s="2711" t="str">
        <f>INDEX(PT_DIFFERENTIATION_NTAR,MATCH(B64,PT_DIFFERENTIATION_NTAR_ID,0))</f>
        <v/>
      </c>
      <c r="H64" s="2146"/>
      <c r="I64" s="2023"/>
      <c r="J64" s="2057"/>
      <c r="K64" s="2149"/>
      <c r="L64" s="2146" t="s">
        <v>366</v>
      </c>
      <c r="M64" s="2454"/>
      <c r="N64" s="618"/>
      <c r="O64" s="1908"/>
      <c r="P64" s="1908"/>
      <c r="AH64" s="1915">
        <v>0</v>
      </c>
    </row>
    <row s="30541" customFormat="1" customHeight="1" ht="18.75" hidden="1">
      <c r="A65" s="2064"/>
      <c r="B65" s="2064"/>
      <c r="C65" s="653" t="s">
        <v>1228</v>
      </c>
      <c r="D65" s="2746"/>
      <c r="E65" s="2488"/>
      <c r="F65" s="2667"/>
      <c r="G65" s="2711"/>
      <c r="H65" s="1784"/>
      <c r="I65" s="935" t="s">
        <v>1229</v>
      </c>
      <c r="J65" s="855"/>
      <c r="K65" s="1784"/>
      <c r="L65" s="498"/>
      <c r="M65" s="2454"/>
      <c r="N65" s="618"/>
      <c r="O65" s="1908"/>
      <c r="P65" s="1908"/>
      <c r="AH65" s="1915">
        <v>0</v>
      </c>
    </row>
    <row s="30541" customFormat="1" customHeight="1" ht="0.75" hidden="1">
      <c r="A66" s="2064"/>
      <c r="B66" s="2064"/>
      <c r="C66" s="653" t="s">
        <v>1234</v>
      </c>
      <c r="D66" s="2746"/>
      <c r="E66" s="2488"/>
      <c r="F66" s="2667"/>
      <c r="G66" s="684"/>
      <c r="H66" s="1784"/>
      <c r="I66" s="935"/>
      <c r="J66" s="855"/>
      <c r="K66" s="1784"/>
      <c r="L66" s="498"/>
      <c r="M66" s="2454"/>
      <c r="N66" s="618"/>
      <c r="O66" s="1908"/>
      <c r="P66" s="1908"/>
      <c r="AH66" s="1915">
        <v>0</v>
      </c>
    </row>
    <row s="30541" customFormat="1" customHeight="1" ht="18.75" hidden="1">
      <c r="A67" s="2064" t="s">
        <v>305</v>
      </c>
      <c r="B67" s="2064" t="s">
        <v>306</v>
      </c>
      <c r="C67" s="653"/>
      <c r="D67" s="2746"/>
      <c r="E67" s="2488"/>
      <c r="F67" s="2667" t="str">
        <f>INDEX(PT_DIFFERENTIATION_VTAR,MATCH(A67,PT_DIFFERENTIATION_VTAR_ID,0))</f>
        <v>Тариф на подключение (технологическое присоединение) к централизованной системе холодного водоснабжения</v>
      </c>
      <c r="G67" s="2711" t="str">
        <f>INDEX(PT_DIFFERENTIATION_NTAR,MATCH(B67,PT_DIFFERENTIATION_NTAR_ID,0))</f>
        <v/>
      </c>
      <c r="H67" s="2146"/>
      <c r="I67" s="2023"/>
      <c r="J67" s="2057"/>
      <c r="K67" s="2149"/>
      <c r="L67" s="2146" t="s">
        <v>366</v>
      </c>
      <c r="M67" s="2454"/>
      <c r="N67" s="618"/>
      <c r="O67" s="1908"/>
      <c r="P67" s="1908"/>
      <c r="AH67" s="1915">
        <v>0</v>
      </c>
    </row>
    <row s="30541" customFormat="1" customHeight="1" ht="18.75" hidden="1">
      <c r="A68" s="2064"/>
      <c r="B68" s="2064"/>
      <c r="C68" s="653" t="s">
        <v>1228</v>
      </c>
      <c r="D68" s="2746"/>
      <c r="E68" s="2488"/>
      <c r="F68" s="2667"/>
      <c r="G68" s="2711"/>
      <c r="H68" s="1784"/>
      <c r="I68" s="935" t="s">
        <v>1229</v>
      </c>
      <c r="J68" s="855"/>
      <c r="K68" s="1784"/>
      <c r="L68" s="498"/>
      <c r="M68" s="2454"/>
      <c r="N68" s="618"/>
      <c r="O68" s="1908"/>
      <c r="P68" s="1908"/>
      <c r="AH68" s="1915">
        <v>0</v>
      </c>
    </row>
    <row s="30541" customFormat="1" customHeight="1" ht="0.75" hidden="1">
      <c r="A69" s="2064"/>
      <c r="B69" s="2064"/>
      <c r="C69" s="653" t="s">
        <v>1234</v>
      </c>
      <c r="D69" s="2746"/>
      <c r="E69" s="2488"/>
      <c r="F69" s="2667"/>
      <c r="G69" s="684"/>
      <c r="H69" s="1784"/>
      <c r="I69" s="935"/>
      <c r="J69" s="855"/>
      <c r="K69" s="1784"/>
      <c r="L69" s="498"/>
      <c r="M69" s="2454"/>
      <c r="N69" s="618"/>
      <c r="O69" s="1908"/>
      <c r="P69" s="1908"/>
      <c r="AH69" s="1915">
        <v>0</v>
      </c>
    </row>
    <row s="30541" customFormat="1" customHeight="1" ht="18.75" hidden="1">
      <c r="A70" s="2064" t="s">
        <v>310</v>
      </c>
      <c r="B70" s="2064" t="s">
        <v>311</v>
      </c>
      <c r="C70" s="653"/>
      <c r="D70" s="2746"/>
      <c r="E70" s="2488"/>
      <c r="F70" s="2667" t="str">
        <f>INDEX(PT_DIFFERENTIATION_VTAR,MATCH(A70,PT_DIFFERENTIATION_VTAR_ID,0))</f>
        <v>Тариф на горячую воду (горячее водоснабжение)</v>
      </c>
      <c r="G70" s="2711" t="str">
        <f>INDEX(PT_DIFFERENTIATION_NTAR,MATCH(B70,PT_DIFFERENTIATION_NTAR_ID,0))</f>
        <v/>
      </c>
      <c r="H70" s="2146"/>
      <c r="I70" s="2023"/>
      <c r="J70" s="2057"/>
      <c r="K70" s="2149"/>
      <c r="L70" s="2146" t="s">
        <v>366</v>
      </c>
      <c r="M70" s="2454"/>
      <c r="N70" s="618"/>
      <c r="O70" s="1908"/>
      <c r="P70" s="1908"/>
      <c r="AH70" s="1915">
        <v>0</v>
      </c>
    </row>
    <row s="30541" customFormat="1" customHeight="1" ht="18.75" hidden="1">
      <c r="A71" s="2064"/>
      <c r="B71" s="2064"/>
      <c r="C71" s="653" t="s">
        <v>1228</v>
      </c>
      <c r="D71" s="2746"/>
      <c r="E71" s="2488"/>
      <c r="F71" s="2667"/>
      <c r="G71" s="2711"/>
      <c r="H71" s="1784"/>
      <c r="I71" s="935" t="s">
        <v>1229</v>
      </c>
      <c r="J71" s="855"/>
      <c r="K71" s="1784"/>
      <c r="L71" s="498"/>
      <c r="M71" s="2454"/>
      <c r="N71" s="618"/>
      <c r="O71" s="1908"/>
      <c r="P71" s="1908"/>
      <c r="AH71" s="1915">
        <v>0</v>
      </c>
    </row>
    <row s="30541" customFormat="1" customHeight="1" ht="0.75" hidden="1">
      <c r="A72" s="2064"/>
      <c r="B72" s="2064"/>
      <c r="C72" s="653" t="s">
        <v>1234</v>
      </c>
      <c r="D72" s="2746"/>
      <c r="E72" s="2488"/>
      <c r="F72" s="2667"/>
      <c r="G72" s="684"/>
      <c r="H72" s="1784"/>
      <c r="I72" s="935"/>
      <c r="J72" s="855"/>
      <c r="K72" s="1784"/>
      <c r="L72" s="498"/>
      <c r="M72" s="2454"/>
      <c r="N72" s="618"/>
      <c r="O72" s="1908"/>
      <c r="P72" s="1908"/>
      <c r="AH72" s="1915">
        <v>0</v>
      </c>
    </row>
    <row s="30541" customFormat="1" customHeight="1" ht="18.75" hidden="1">
      <c r="A73" s="2064" t="s">
        <v>315</v>
      </c>
      <c r="B73" s="2064" t="s">
        <v>316</v>
      </c>
      <c r="C73" s="653"/>
      <c r="D73" s="2746"/>
      <c r="E73" s="2488"/>
      <c r="F73" s="2667" t="str">
        <f>INDEX(PT_DIFFERENTIATION_VTAR,MATCH(A73,PT_DIFFERENTIATION_VTAR_ID,0))</f>
        <v>Тариф на транспортировку горячей воды</v>
      </c>
      <c r="G73" s="2711" t="str">
        <f>INDEX(PT_DIFFERENTIATION_NTAR,MATCH(B73,PT_DIFFERENTIATION_NTAR_ID,0))</f>
        <v/>
      </c>
      <c r="H73" s="2146"/>
      <c r="I73" s="2023"/>
      <c r="J73" s="2057"/>
      <c r="K73" s="2149"/>
      <c r="L73" s="2146" t="s">
        <v>366</v>
      </c>
      <c r="M73" s="2454"/>
      <c r="N73" s="618"/>
      <c r="O73" s="1908"/>
      <c r="P73" s="1908"/>
      <c r="AH73" s="1915">
        <v>0</v>
      </c>
    </row>
    <row s="30541" customFormat="1" customHeight="1" ht="18.75" hidden="1">
      <c r="A74" s="2064"/>
      <c r="B74" s="2064"/>
      <c r="C74" s="653" t="s">
        <v>1228</v>
      </c>
      <c r="D74" s="2746"/>
      <c r="E74" s="2488"/>
      <c r="F74" s="2667"/>
      <c r="G74" s="2711"/>
      <c r="H74" s="1784"/>
      <c r="I74" s="935" t="s">
        <v>1229</v>
      </c>
      <c r="J74" s="855"/>
      <c r="K74" s="1784"/>
      <c r="L74" s="498"/>
      <c r="M74" s="2454"/>
      <c r="N74" s="618"/>
      <c r="O74" s="1908"/>
      <c r="P74" s="1908"/>
      <c r="AH74" s="1915">
        <v>0</v>
      </c>
    </row>
    <row s="30541" customFormat="1" customHeight="1" ht="0.75" hidden="1">
      <c r="A75" s="2064"/>
      <c r="B75" s="2064"/>
      <c r="C75" s="653" t="s">
        <v>1234</v>
      </c>
      <c r="D75" s="2746"/>
      <c r="E75" s="2488"/>
      <c r="F75" s="2667"/>
      <c r="G75" s="684"/>
      <c r="H75" s="1784"/>
      <c r="I75" s="935"/>
      <c r="J75" s="855"/>
      <c r="K75" s="1784"/>
      <c r="L75" s="498"/>
      <c r="M75" s="2454"/>
      <c r="N75" s="618"/>
      <c r="O75" s="1908"/>
      <c r="P75" s="1908"/>
      <c r="AH75" s="1915">
        <v>0</v>
      </c>
    </row>
    <row s="30541" customFormat="1" customHeight="1" ht="18.75" hidden="1">
      <c r="A76" s="2064" t="s">
        <v>320</v>
      </c>
      <c r="B76" s="2064" t="s">
        <v>321</v>
      </c>
      <c r="C76" s="653"/>
      <c r="D76" s="2746"/>
      <c r="E76" s="2488"/>
      <c r="F76" s="2667" t="str">
        <f>INDEX(PT_DIFFERENTIATION_VTAR,MATCH(A76,PT_DIFFERENTIATION_VTAR_ID,0))</f>
        <v>Тариф на подключение (технологическое присоединение) к централизованной системе горячего водоснабжения</v>
      </c>
      <c r="G76" s="2711" t="str">
        <f>INDEX(PT_DIFFERENTIATION_NTAR,MATCH(B76,PT_DIFFERENTIATION_NTAR_ID,0))</f>
        <v/>
      </c>
      <c r="H76" s="2146"/>
      <c r="I76" s="2023"/>
      <c r="J76" s="2057"/>
      <c r="K76" s="2149"/>
      <c r="L76" s="2146" t="s">
        <v>366</v>
      </c>
      <c r="M76" s="2454"/>
      <c r="N76" s="618"/>
      <c r="O76" s="1908"/>
      <c r="P76" s="1908"/>
      <c r="AH76" s="1915">
        <v>0</v>
      </c>
    </row>
    <row s="30541" customFormat="1" customHeight="1" ht="18.75" hidden="1">
      <c r="A77" s="2064"/>
      <c r="B77" s="2064"/>
      <c r="C77" s="653" t="s">
        <v>1228</v>
      </c>
      <c r="D77" s="2746"/>
      <c r="E77" s="2488"/>
      <c r="F77" s="2667"/>
      <c r="G77" s="2711"/>
      <c r="H77" s="1784"/>
      <c r="I77" s="935" t="s">
        <v>1229</v>
      </c>
      <c r="J77" s="855"/>
      <c r="K77" s="1784"/>
      <c r="L77" s="498"/>
      <c r="M77" s="2454"/>
      <c r="N77" s="618"/>
      <c r="O77" s="1908"/>
      <c r="P77" s="1908"/>
      <c r="AH77" s="1915">
        <v>0</v>
      </c>
    </row>
    <row s="30541" customFormat="1" customHeight="1" ht="0.75" hidden="1">
      <c r="A78" s="2064"/>
      <c r="B78" s="2064"/>
      <c r="C78" s="653" t="s">
        <v>1234</v>
      </c>
      <c r="D78" s="2746"/>
      <c r="E78" s="2488"/>
      <c r="F78" s="2667"/>
      <c r="G78" s="684"/>
      <c r="H78" s="1784"/>
      <c r="I78" s="935"/>
      <c r="J78" s="855"/>
      <c r="K78" s="1784"/>
      <c r="L78" s="498"/>
      <c r="M78" s="2454"/>
      <c r="N78" s="618"/>
      <c r="O78" s="1908"/>
      <c r="P78" s="1908"/>
      <c r="AH78" s="1915">
        <v>0</v>
      </c>
    </row>
    <row s="30541" customFormat="1" customHeight="1" ht="18.75" hidden="1">
      <c r="A79" s="2064" t="s">
        <v>325</v>
      </c>
      <c r="B79" s="2064" t="s">
        <v>326</v>
      </c>
      <c r="C79" s="653"/>
      <c r="D79" s="2746"/>
      <c r="E79" s="2488"/>
      <c r="F79" s="2667" t="str">
        <f>INDEX(PT_DIFFERENTIATION_VTAR,MATCH(A79,PT_DIFFERENTIATION_VTAR_ID,0))</f>
        <v>Тариф на водоотведение</v>
      </c>
      <c r="G79" s="2711" t="str">
        <f>INDEX(PT_DIFFERENTIATION_NTAR,MATCH(B79,PT_DIFFERENTIATION_NTAR_ID,0))</f>
        <v/>
      </c>
      <c r="H79" s="2146"/>
      <c r="I79" s="2023"/>
      <c r="J79" s="2057"/>
      <c r="K79" s="2149"/>
      <c r="L79" s="2146" t="s">
        <v>366</v>
      </c>
      <c r="M79" s="2454"/>
      <c r="N79" s="618"/>
      <c r="O79" s="1908"/>
      <c r="P79" s="1908"/>
      <c r="AH79" s="1915">
        <v>0</v>
      </c>
    </row>
    <row s="30541" customFormat="1" customHeight="1" ht="18.75" hidden="1">
      <c r="A80" s="2064"/>
      <c r="B80" s="2064"/>
      <c r="C80" s="653" t="s">
        <v>1228</v>
      </c>
      <c r="D80" s="2746"/>
      <c r="E80" s="2488"/>
      <c r="F80" s="2667"/>
      <c r="G80" s="2711"/>
      <c r="H80" s="1784"/>
      <c r="I80" s="935" t="s">
        <v>1229</v>
      </c>
      <c r="J80" s="855"/>
      <c r="K80" s="1784"/>
      <c r="L80" s="498"/>
      <c r="M80" s="2454"/>
      <c r="N80" s="618"/>
      <c r="O80" s="1908"/>
      <c r="P80" s="1908"/>
      <c r="AH80" s="1915">
        <v>0</v>
      </c>
    </row>
    <row s="30541" customFormat="1" customHeight="1" ht="0.75" hidden="1">
      <c r="A81" s="2064"/>
      <c r="B81" s="2064"/>
      <c r="C81" s="653" t="s">
        <v>1234</v>
      </c>
      <c r="D81" s="2746"/>
      <c r="E81" s="2488"/>
      <c r="F81" s="2667"/>
      <c r="G81" s="684"/>
      <c r="H81" s="1784"/>
      <c r="I81" s="935"/>
      <c r="J81" s="855"/>
      <c r="K81" s="1784"/>
      <c r="L81" s="498"/>
      <c r="M81" s="2454"/>
      <c r="N81" s="618"/>
      <c r="O81" s="1908"/>
      <c r="P81" s="1908"/>
      <c r="AH81" s="1915">
        <v>0</v>
      </c>
    </row>
    <row s="30541" customFormat="1" customHeight="1" ht="18.75" hidden="1">
      <c r="A82" s="2064" t="s">
        <v>330</v>
      </c>
      <c r="B82" s="2064" t="s">
        <v>331</v>
      </c>
      <c r="C82" s="653"/>
      <c r="D82" s="2746"/>
      <c r="E82" s="2488"/>
      <c r="F82" s="2667" t="str">
        <f>INDEX(PT_DIFFERENTIATION_VTAR,MATCH(A82,PT_DIFFERENTIATION_VTAR_ID,0))</f>
        <v>Тариф на транспортировку сточных вод</v>
      </c>
      <c r="G82" s="2711" t="str">
        <f>INDEX(PT_DIFFERENTIATION_NTAR,MATCH(B82,PT_DIFFERENTIATION_NTAR_ID,0))</f>
        <v/>
      </c>
      <c r="H82" s="2146"/>
      <c r="I82" s="2023"/>
      <c r="J82" s="2057"/>
      <c r="K82" s="2149"/>
      <c r="L82" s="2146" t="s">
        <v>366</v>
      </c>
      <c r="M82" s="2454"/>
      <c r="N82" s="618"/>
      <c r="O82" s="1908"/>
      <c r="P82" s="1908"/>
      <c r="AH82" s="1915">
        <v>0</v>
      </c>
    </row>
    <row s="30541" customFormat="1" customHeight="1" ht="18.75" hidden="1">
      <c r="A83" s="2064"/>
      <c r="B83" s="2064"/>
      <c r="C83" s="653" t="s">
        <v>1228</v>
      </c>
      <c r="D83" s="2746"/>
      <c r="E83" s="2488"/>
      <c r="F83" s="2667"/>
      <c r="G83" s="2711"/>
      <c r="H83" s="1784"/>
      <c r="I83" s="935" t="s">
        <v>1229</v>
      </c>
      <c r="J83" s="855"/>
      <c r="K83" s="1784"/>
      <c r="L83" s="498"/>
      <c r="M83" s="2454"/>
      <c r="N83" s="618"/>
      <c r="O83" s="1908"/>
      <c r="P83" s="1908"/>
      <c r="AH83" s="1915">
        <v>0</v>
      </c>
    </row>
    <row s="30541" customFormat="1" customHeight="1" ht="0.75" hidden="1">
      <c r="A84" s="2064"/>
      <c r="B84" s="2064"/>
      <c r="C84" s="653" t="s">
        <v>1234</v>
      </c>
      <c r="D84" s="2746"/>
      <c r="E84" s="2488"/>
      <c r="F84" s="2667"/>
      <c r="G84" s="684"/>
      <c r="H84" s="1784"/>
      <c r="I84" s="935"/>
      <c r="J84" s="855"/>
      <c r="K84" s="1784"/>
      <c r="L84" s="498"/>
      <c r="M84" s="2454"/>
      <c r="N84" s="618"/>
      <c r="O84" s="1908"/>
      <c r="P84" s="1908"/>
      <c r="AH84" s="1915">
        <v>0</v>
      </c>
    </row>
    <row s="30541" customFormat="1" customHeight="1" ht="18.75" hidden="1">
      <c r="A85" s="2064" t="s">
        <v>335</v>
      </c>
      <c r="B85" s="2064" t="s">
        <v>336</v>
      </c>
      <c r="C85" s="653"/>
      <c r="D85" s="2746"/>
      <c r="E85" s="2488"/>
      <c r="F85" s="2667" t="str">
        <f>INDEX(PT_DIFFERENTIATION_VTAR,MATCH(A85,PT_DIFFERENTIATION_VTAR_ID,0))</f>
        <v>Тариф на подключение (технологическое присоединение) к централизованной системе водоотведения</v>
      </c>
      <c r="G85" s="2711" t="str">
        <f>INDEX(PT_DIFFERENTIATION_NTAR,MATCH(B85,PT_DIFFERENTIATION_NTAR_ID,0))</f>
        <v/>
      </c>
      <c r="H85" s="2146"/>
      <c r="I85" s="2023"/>
      <c r="J85" s="2057"/>
      <c r="K85" s="2149"/>
      <c r="L85" s="2146" t="s">
        <v>366</v>
      </c>
      <c r="M85" s="2454"/>
      <c r="N85" s="618"/>
      <c r="O85" s="1908"/>
      <c r="P85" s="1908"/>
      <c r="AH85" s="1915">
        <v>0</v>
      </c>
    </row>
    <row s="30541" customFormat="1" customHeight="1" ht="18.75" hidden="1">
      <c r="A86" s="2064"/>
      <c r="B86" s="2064"/>
      <c r="C86" s="653" t="s">
        <v>1228</v>
      </c>
      <c r="D86" s="2746"/>
      <c r="E86" s="2488"/>
      <c r="F86" s="2667"/>
      <c r="G86" s="2711"/>
      <c r="H86" s="1784"/>
      <c r="I86" s="935" t="s">
        <v>1229</v>
      </c>
      <c r="J86" s="855"/>
      <c r="K86" s="1784"/>
      <c r="L86" s="498"/>
      <c r="M86" s="2454"/>
      <c r="N86" s="618"/>
      <c r="O86" s="1908"/>
      <c r="P86" s="1908"/>
      <c r="AH86" s="1915">
        <v>0</v>
      </c>
    </row>
    <row s="30541" customFormat="1" customHeight="1" ht="1.05">
      <c r="A87" s="2064"/>
      <c r="B87" s="2064"/>
      <c r="C87" s="653" t="s">
        <v>1234</v>
      </c>
      <c r="D87" s="2746"/>
      <c r="E87" s="2488"/>
      <c r="F87" s="2667"/>
      <c r="G87" s="684"/>
      <c r="H87" s="1784"/>
      <c r="I87" s="935"/>
      <c r="J87" s="855"/>
      <c r="K87" s="1784"/>
      <c r="L87" s="498"/>
      <c r="M87" s="2454"/>
      <c r="N87" s="618"/>
      <c r="O87" s="1908"/>
      <c r="P87" s="1908"/>
      <c r="AH87" s="1915">
        <v>1</v>
      </c>
    </row>
    <row customHeight="1" ht="19.95">
      <c r="A88" s="2064"/>
      <c r="B88" s="2064"/>
      <c r="D88" s="660"/>
      <c r="E88" s="431" t="s">
        <v>105</v>
      </c>
      <c r="F88" s="274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8" s="2744"/>
      <c r="H88" s="2744"/>
      <c r="I88" s="2744"/>
      <c r="J88" s="2744"/>
      <c r="K88" s="2744"/>
      <c r="L88" s="2744"/>
      <c r="M88" s="581"/>
      <c r="N88" s="618"/>
      <c r="AH88" s="658">
        <v>19</v>
      </c>
    </row>
    <row customHeight="1" ht="35.699999999999996">
      <c r="A89" s="2064"/>
      <c r="B89" s="2064"/>
      <c r="D89" s="660"/>
      <c r="E89" s="683"/>
      <c r="F89" s="482" t="s">
        <v>366</v>
      </c>
      <c r="G89" s="482" t="s">
        <v>366</v>
      </c>
      <c r="H89" s="2502" t="s">
        <v>366</v>
      </c>
      <c r="I89" s="2504"/>
      <c r="J89" s="482" t="s">
        <v>366</v>
      </c>
      <c r="K89" s="482" t="s">
        <v>366</v>
      </c>
      <c r="L89" s="685"/>
      <c r="M89" s="629" t="s">
        <v>1236</v>
      </c>
      <c r="N89" s="618"/>
      <c r="AH89" s="658">
        <v>34</v>
      </c>
    </row>
    <row customHeight="1" ht="19.95">
      <c r="A90" s="2064"/>
      <c r="B90" s="2064"/>
      <c r="D90" s="660"/>
      <c r="E90" s="431" t="s">
        <v>93</v>
      </c>
      <c r="F90" s="2744" t="s">
        <v>1237</v>
      </c>
      <c r="G90" s="2744"/>
      <c r="H90" s="2744"/>
      <c r="I90" s="2744"/>
      <c r="J90" s="2744"/>
      <c r="K90" s="2744"/>
      <c r="L90" s="2744"/>
      <c r="M90" s="581"/>
      <c r="N90" s="618"/>
      <c r="AH90" s="658">
        <v>19</v>
      </c>
    </row>
    <row s="30541" customFormat="1" customHeight="1" ht="60.75" hidden="1">
      <c r="A91" s="2064" t="s">
        <v>185</v>
      </c>
      <c r="B91" s="2064" t="s">
        <v>186</v>
      </c>
      <c r="C91" s="653"/>
      <c r="D91" s="2746"/>
      <c r="E91" s="2488"/>
      <c r="F91" s="2667" t="str">
        <f>INDEX(PT_DIFFERENTIATION_VTAR,MATCH(A91,PT_DIFFERENTIATION_VTAR_ID,0))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1" s="2711" t="str">
        <f>INDEX(PT_DIFFERENTIATION_NTAR,MATCH(B91,PT_DIFFERENTIATION_NTAR_ID,0))</f>
        <v/>
      </c>
      <c r="H91" s="2146"/>
      <c r="I91" s="2023"/>
      <c r="J91" s="2057"/>
      <c r="K91" s="2062"/>
      <c r="L91" s="2146" t="s">
        <v>366</v>
      </c>
      <c r="M91" s="245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1" s="618"/>
      <c r="O91" s="1908"/>
      <c r="P91" s="1908"/>
      <c r="AH91" s="1915">
        <v>0</v>
      </c>
    </row>
    <row s="30541" customFormat="1" customHeight="1" ht="18.75" hidden="1">
      <c r="A92" s="2064"/>
      <c r="B92" s="2064"/>
      <c r="C92" s="653" t="s">
        <v>1230</v>
      </c>
      <c r="D92" s="2746"/>
      <c r="E92" s="2488"/>
      <c r="F92" s="2667"/>
      <c r="G92" s="2711"/>
      <c r="H92" s="1784"/>
      <c r="I92" s="935" t="s">
        <v>1229</v>
      </c>
      <c r="J92" s="855"/>
      <c r="K92" s="1784"/>
      <c r="L92" s="498"/>
      <c r="M92" s="2454"/>
      <c r="N92" s="618"/>
      <c r="O92" s="1908"/>
      <c r="P92" s="1908"/>
      <c r="AH92" s="1915">
        <v>0</v>
      </c>
    </row>
    <row s="30541" customFormat="1" customHeight="1" ht="0.75" hidden="1">
      <c r="A93" s="2064"/>
      <c r="B93" s="2064"/>
      <c r="C93" s="653" t="s">
        <v>1238</v>
      </c>
      <c r="D93" s="2746"/>
      <c r="E93" s="2488"/>
      <c r="F93" s="2667"/>
      <c r="G93" s="684"/>
      <c r="H93" s="1784"/>
      <c r="I93" s="935"/>
      <c r="J93" s="855"/>
      <c r="K93" s="1784"/>
      <c r="L93" s="498"/>
      <c r="M93" s="2454"/>
      <c r="N93" s="618"/>
      <c r="O93" s="1908"/>
      <c r="P93" s="1908"/>
      <c r="AH93" s="1915">
        <v>0</v>
      </c>
    </row>
    <row s="30541" customFormat="1" customHeight="1" ht="45" hidden="1">
      <c r="A94" s="2064" t="s">
        <v>191</v>
      </c>
      <c r="B94" s="2064" t="s">
        <v>192</v>
      </c>
      <c r="C94" s="653"/>
      <c r="D94" s="2746"/>
      <c r="E94" s="2488"/>
      <c r="F94" s="2667" t="str">
        <f>INDEX(PT_DIFFERENTIATION_VTAR,MATCH(A94,PT_DIFFERENTIATION_VTAR_ID,0))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4" s="2711" t="str">
        <f>INDEX(PT_DIFFERENTIATION_NTAR,MATCH(B94,PT_DIFFERENTIATION_NTAR_ID,0))</f>
        <v/>
      </c>
      <c r="H94" s="2146"/>
      <c r="I94" s="2023"/>
      <c r="J94" s="2057"/>
      <c r="K94" s="2062"/>
      <c r="L94" s="2146" t="s">
        <v>366</v>
      </c>
      <c r="M94" s="2455"/>
      <c r="N94" s="618"/>
      <c r="O94" s="1908"/>
      <c r="P94" s="1908"/>
      <c r="AH94" s="1915">
        <v>0</v>
      </c>
    </row>
    <row s="30541" customFormat="1" customHeight="1" ht="18.75" hidden="1">
      <c r="A95" s="2064"/>
      <c r="B95" s="2064"/>
      <c r="C95" s="653" t="s">
        <v>1230</v>
      </c>
      <c r="D95" s="2746"/>
      <c r="E95" s="2488"/>
      <c r="F95" s="2667"/>
      <c r="G95" s="2711"/>
      <c r="H95" s="1784"/>
      <c r="I95" s="935" t="s">
        <v>1229</v>
      </c>
      <c r="J95" s="855"/>
      <c r="K95" s="1784"/>
      <c r="L95" s="498"/>
      <c r="M95" s="2145"/>
      <c r="N95" s="618"/>
      <c r="O95" s="1908"/>
      <c r="P95" s="1908"/>
      <c r="AH95" s="1915">
        <v>0</v>
      </c>
    </row>
    <row s="30541" customFormat="1" customHeight="1" ht="0.75" hidden="1">
      <c r="A96" s="2064"/>
      <c r="B96" s="2064"/>
      <c r="C96" s="653" t="s">
        <v>1238</v>
      </c>
      <c r="D96" s="2746"/>
      <c r="E96" s="2488"/>
      <c r="F96" s="2667"/>
      <c r="G96" s="684"/>
      <c r="H96" s="1784"/>
      <c r="I96" s="935"/>
      <c r="J96" s="855"/>
      <c r="K96" s="1784"/>
      <c r="L96" s="498"/>
      <c r="M96" s="625"/>
      <c r="N96" s="618"/>
      <c r="O96" s="1908"/>
      <c r="P96" s="1908"/>
      <c r="AH96" s="1915">
        <v>0</v>
      </c>
    </row>
    <row s="30541" customFormat="1" customHeight="1" ht="45" hidden="1">
      <c r="A97" s="2064" t="s">
        <v>197</v>
      </c>
      <c r="B97" s="2064" t="s">
        <v>198</v>
      </c>
      <c r="C97" s="653"/>
      <c r="D97" s="2746"/>
      <c r="E97" s="2488"/>
      <c r="F97" s="2667"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2711" t="str">
        <f>INDEX(PT_DIFFERENTIATION_NTAR,MATCH(B97,PT_DIFFERENTIATION_NTAR_ID,0))</f>
        <v/>
      </c>
      <c r="H97" s="2146"/>
      <c r="I97" s="2023"/>
      <c r="J97" s="2057"/>
      <c r="K97" s="2062"/>
      <c r="L97" s="2146" t="s">
        <v>366</v>
      </c>
      <c r="M97" s="625"/>
      <c r="N97" s="618"/>
      <c r="O97" s="1908"/>
      <c r="P97" s="1908"/>
      <c r="AH97" s="1915">
        <v>0</v>
      </c>
    </row>
    <row s="30541" customFormat="1" customHeight="1" ht="18.75" hidden="1">
      <c r="A98" s="2064"/>
      <c r="B98" s="2064"/>
      <c r="C98" s="653" t="s">
        <v>1230</v>
      </c>
      <c r="D98" s="2746"/>
      <c r="E98" s="2488"/>
      <c r="F98" s="2667"/>
      <c r="G98" s="2711"/>
      <c r="H98" s="1784"/>
      <c r="I98" s="935" t="s">
        <v>1229</v>
      </c>
      <c r="J98" s="855"/>
      <c r="K98" s="1784"/>
      <c r="L98" s="498"/>
      <c r="M98" s="625"/>
      <c r="N98" s="618"/>
      <c r="O98" s="1908"/>
      <c r="P98" s="1908"/>
      <c r="AH98" s="1915">
        <v>0</v>
      </c>
    </row>
    <row s="38090" customFormat="1" customHeight="1" ht="18.75">
      <c r="A99" s="4729" t="s">
        <v>197</v>
      </c>
      <c r="B99" s="4729" t="s">
        <v>1235</v>
      </c>
      <c r="C99" s="7199"/>
      <c r="D99" s="7200"/>
      <c r="E99" s="7201"/>
      <c r="F99" s="7201"/>
      <c r="G99" s="7202">
        <f>INDEX(PT_DIFFERENTIATION_NTAR,MATCH(B99,PT_DIFFERENTIATION_NTAR_ID,0))</f>
      </c>
      <c r="H99" s="4160"/>
      <c r="I99" s="7203"/>
      <c r="J99" s="7204"/>
      <c r="K99" s="7216"/>
      <c r="L99" s="4160" t="s">
        <v>366</v>
      </c>
      <c r="M99" s="7206"/>
      <c r="N99" s="7207"/>
      <c r="O99" s="4251"/>
      <c r="P99" s="4251"/>
      <c r="Q99" s="3961"/>
      <c r="R99" s="3961"/>
      <c r="S99" s="3961"/>
      <c r="T99" s="3961"/>
      <c r="U99" s="3961"/>
      <c r="V99" s="3961"/>
      <c r="W99" s="3961"/>
      <c r="X99" s="3961"/>
      <c r="Y99" s="3961"/>
      <c r="Z99" s="3961"/>
      <c r="AA99" s="3961"/>
      <c r="AB99" s="3961"/>
      <c r="AC99" s="3961"/>
      <c r="AD99" s="3961"/>
      <c r="AE99" s="3961"/>
      <c r="AF99" s="3961"/>
      <c r="AG99" s="3961"/>
      <c r="AH99" s="3961">
        <v>0</v>
      </c>
    </row>
    <row s="38090" customFormat="1" customHeight="1" ht="18.75">
      <c r="A100" s="4729"/>
      <c r="B100" s="4729"/>
      <c r="C100" s="7199" t="s">
        <v>1230</v>
      </c>
      <c r="D100" s="7200"/>
      <c r="E100" s="7201"/>
      <c r="F100" s="7201"/>
      <c r="G100" s="7202"/>
      <c r="H100" s="7217"/>
      <c r="I100" s="7218" t="s">
        <v>1229</v>
      </c>
      <c r="J100" s="7219"/>
      <c r="K100" s="7220"/>
      <c r="L100" s="7221"/>
      <c r="M100" s="7206"/>
      <c r="N100" s="7207"/>
      <c r="O100" s="4251"/>
      <c r="P100" s="4251"/>
      <c r="Q100" s="3961"/>
      <c r="R100" s="3961"/>
      <c r="S100" s="3961"/>
      <c r="T100" s="3961"/>
      <c r="U100" s="3961"/>
      <c r="V100" s="3961"/>
      <c r="W100" s="3961"/>
      <c r="X100" s="3961"/>
      <c r="Y100" s="3961"/>
      <c r="Z100" s="3961"/>
      <c r="AA100" s="3961"/>
      <c r="AB100" s="3961"/>
      <c r="AC100" s="3961"/>
      <c r="AD100" s="3961"/>
      <c r="AE100" s="3961"/>
      <c r="AF100" s="3961"/>
      <c r="AG100" s="3961"/>
      <c r="AH100" s="3961">
        <v>0</v>
      </c>
    </row>
    <row s="30541" customFormat="1" customHeight="1" ht="0.75" hidden="1">
      <c r="A101" s="2064"/>
      <c r="B101" s="2064"/>
      <c r="C101" s="653" t="s">
        <v>1238</v>
      </c>
      <c r="D101" s="2746"/>
      <c r="E101" s="2488"/>
      <c r="F101" s="2667"/>
      <c r="G101" s="684"/>
      <c r="H101" s="1784"/>
      <c r="I101" s="935"/>
      <c r="J101" s="855"/>
      <c r="K101" s="1784"/>
      <c r="L101" s="498"/>
      <c r="M101" s="625"/>
      <c r="N101" s="618"/>
      <c r="O101" s="1908"/>
      <c r="P101" s="1908"/>
      <c r="AH101" s="1915">
        <v>0</v>
      </c>
    </row>
    <row s="30541" customFormat="1" customHeight="1" ht="45" hidden="1">
      <c r="A102" s="2064" t="s">
        <v>208</v>
      </c>
      <c r="B102" s="2064" t="s">
        <v>209</v>
      </c>
      <c r="C102" s="653"/>
      <c r="D102" s="2746"/>
      <c r="E102" s="2488"/>
      <c r="F102" s="2667" t="str">
        <f>INDEX(PT_DIFFERENTIATION_VTAR,MATCH(A102,PT_DIFFERENTIATION_VTAR_ID,0))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2" s="2711" t="str">
        <f>INDEX(PT_DIFFERENTIATION_NTAR,MATCH(B102,PT_DIFFERENTIATION_NTAR_ID,0))</f>
        <v>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v>
      </c>
      <c r="H102" s="2146"/>
      <c r="I102" s="2023"/>
      <c r="J102" s="2057"/>
      <c r="K102" s="2062"/>
      <c r="L102" s="2146" t="s">
        <v>366</v>
      </c>
      <c r="M102" s="625"/>
      <c r="N102" s="618"/>
      <c r="O102" s="1908"/>
      <c r="P102" s="1908"/>
      <c r="AH102" s="1915">
        <v>0</v>
      </c>
    </row>
    <row s="30541" customFormat="1" customHeight="1" ht="18.75" hidden="1">
      <c r="A103" s="2064"/>
      <c r="B103" s="2064"/>
      <c r="C103" s="653" t="s">
        <v>1230</v>
      </c>
      <c r="D103" s="2746"/>
      <c r="E103" s="2488"/>
      <c r="F103" s="2667"/>
      <c r="G103" s="2711"/>
      <c r="H103" s="1784"/>
      <c r="I103" s="935" t="s">
        <v>1229</v>
      </c>
      <c r="J103" s="855"/>
      <c r="K103" s="1784"/>
      <c r="L103" s="498"/>
      <c r="M103" s="625"/>
      <c r="N103" s="618"/>
      <c r="O103" s="1908"/>
      <c r="P103" s="1908"/>
      <c r="AH103" s="1915">
        <v>0</v>
      </c>
    </row>
    <row s="38105" customFormat="1" customHeight="1" ht="18.75">
      <c r="A104" s="11582" t="s">
        <v>208</v>
      </c>
      <c r="B104" s="11582" t="s">
        <v>232</v>
      </c>
      <c r="C104" s="12907"/>
      <c r="D104" s="12908"/>
      <c r="E104" s="12909"/>
      <c r="F104" s="12909"/>
      <c r="G104" s="12910" t="str">
        <f>INDEX(PT_DIFFERENTIATION_NTAR,MATCH(B104,PT_DIFFERENTIATION_NTAR_ID,0))</f>
        <v>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(для потребителей, получающих тепловую энергию на коллекторах производителей).</v>
      </c>
      <c r="H104" s="12911"/>
      <c r="I104" s="12912"/>
      <c r="J104" s="12913"/>
      <c r="K104" s="12931"/>
      <c r="L104" s="12911" t="s">
        <v>366</v>
      </c>
      <c r="M104" s="12915"/>
      <c r="N104" s="12916"/>
      <c r="O104" s="11472"/>
      <c r="P104" s="11472"/>
      <c r="Q104" s="11462"/>
      <c r="R104" s="11462"/>
      <c r="S104" s="11462"/>
      <c r="T104" s="11462"/>
      <c r="U104" s="11462"/>
      <c r="V104" s="11462"/>
      <c r="W104" s="11462"/>
      <c r="X104" s="11462"/>
      <c r="Y104" s="11462"/>
      <c r="Z104" s="11462"/>
      <c r="AA104" s="11462"/>
      <c r="AB104" s="11462"/>
      <c r="AC104" s="11462"/>
      <c r="AD104" s="11462"/>
      <c r="AE104" s="11462"/>
      <c r="AF104" s="11462"/>
      <c r="AG104" s="11462"/>
      <c r="AH104" s="11462">
        <v>0</v>
      </c>
    </row>
    <row s="38105" customFormat="1" customHeight="1" ht="18.75">
      <c r="A105" s="11582"/>
      <c r="B105" s="11582"/>
      <c r="C105" s="12907" t="s">
        <v>1230</v>
      </c>
      <c r="D105" s="12908"/>
      <c r="E105" s="12909"/>
      <c r="F105" s="12909"/>
      <c r="G105" s="12910"/>
      <c r="H105" s="12932"/>
      <c r="I105" s="12933" t="s">
        <v>1229</v>
      </c>
      <c r="J105" s="12934"/>
      <c r="K105" s="12935"/>
      <c r="L105" s="12936"/>
      <c r="M105" s="12915"/>
      <c r="N105" s="12916"/>
      <c r="O105" s="11472"/>
      <c r="P105" s="11472"/>
      <c r="Q105" s="11462"/>
      <c r="R105" s="11462"/>
      <c r="S105" s="11462"/>
      <c r="T105" s="11462"/>
      <c r="U105" s="11462"/>
      <c r="V105" s="11462"/>
      <c r="W105" s="11462"/>
      <c r="X105" s="11462"/>
      <c r="Y105" s="11462"/>
      <c r="Z105" s="11462"/>
      <c r="AA105" s="11462"/>
      <c r="AB105" s="11462"/>
      <c r="AC105" s="11462"/>
      <c r="AD105" s="11462"/>
      <c r="AE105" s="11462"/>
      <c r="AF105" s="11462"/>
      <c r="AG105" s="11462"/>
      <c r="AH105" s="11462">
        <v>0</v>
      </c>
    </row>
    <row s="30541" customFormat="1" customHeight="1" ht="0.75" hidden="1">
      <c r="A106" s="2064"/>
      <c r="B106" s="2064"/>
      <c r="C106" s="653" t="s">
        <v>1238</v>
      </c>
      <c r="D106" s="2746"/>
      <c r="E106" s="2488"/>
      <c r="F106" s="2667"/>
      <c r="G106" s="684"/>
      <c r="H106" s="1784"/>
      <c r="I106" s="935"/>
      <c r="J106" s="855"/>
      <c r="K106" s="1784"/>
      <c r="L106" s="498"/>
      <c r="M106" s="625"/>
      <c r="N106" s="618"/>
      <c r="O106" s="1908"/>
      <c r="P106" s="1908"/>
      <c r="AH106" s="1915">
        <v>0</v>
      </c>
    </row>
    <row s="30541" customFormat="1" customHeight="1" ht="18.75" hidden="1">
      <c r="A107" s="2064" t="s">
        <v>241</v>
      </c>
      <c r="B107" s="2064" t="s">
        <v>242</v>
      </c>
      <c r="C107" s="653"/>
      <c r="D107" s="2746"/>
      <c r="E107" s="2488"/>
      <c r="F107" s="2667" t="str">
        <f>INDEX(PT_DIFFERENTIATION_VTAR,MATCH(A107,PT_DIFFERENTIATION_VTAR_ID,0))</f>
        <v>Тарифы на услуги по передаче тепловой энергии</v>
      </c>
      <c r="G107" s="2711" t="str">
        <f>INDEX(PT_DIFFERENTIATION_NTAR,MATCH(B107,PT_DIFFERENTIATION_NTAR_ID,0))</f>
        <v/>
      </c>
      <c r="H107" s="2146"/>
      <c r="I107" s="2023"/>
      <c r="J107" s="2057"/>
      <c r="K107" s="2062"/>
      <c r="L107" s="2146" t="s">
        <v>366</v>
      </c>
      <c r="M107" s="625"/>
      <c r="N107" s="618"/>
      <c r="O107" s="1908"/>
      <c r="P107" s="1908"/>
      <c r="AH107" s="1915">
        <v>0</v>
      </c>
    </row>
    <row s="30541" customFormat="1" customHeight="1" ht="18.75" hidden="1">
      <c r="A108" s="2064"/>
      <c r="B108" s="2064"/>
      <c r="C108" s="653" t="s">
        <v>1230</v>
      </c>
      <c r="D108" s="2746"/>
      <c r="E108" s="2488"/>
      <c r="F108" s="2667"/>
      <c r="G108" s="2711"/>
      <c r="H108" s="1784"/>
      <c r="I108" s="935" t="s">
        <v>1229</v>
      </c>
      <c r="J108" s="855"/>
      <c r="K108" s="1784"/>
      <c r="L108" s="498"/>
      <c r="M108" s="625"/>
      <c r="N108" s="618"/>
      <c r="O108" s="1908"/>
      <c r="P108" s="1908"/>
      <c r="AH108" s="1915">
        <v>0</v>
      </c>
    </row>
    <row s="30541" customFormat="1" customHeight="1" ht="0.75" hidden="1">
      <c r="A109" s="2064"/>
      <c r="B109" s="2064"/>
      <c r="C109" s="653" t="s">
        <v>1238</v>
      </c>
      <c r="D109" s="2746"/>
      <c r="E109" s="2488"/>
      <c r="F109" s="2667"/>
      <c r="G109" s="684"/>
      <c r="H109" s="1784"/>
      <c r="I109" s="935"/>
      <c r="J109" s="855"/>
      <c r="K109" s="1784"/>
      <c r="L109" s="498"/>
      <c r="M109" s="625"/>
      <c r="N109" s="618"/>
      <c r="O109" s="1908"/>
      <c r="P109" s="1908"/>
      <c r="AH109" s="1915">
        <v>0</v>
      </c>
    </row>
    <row s="30541" customFormat="1" customHeight="1" ht="18.75" hidden="1">
      <c r="A110" s="2064" t="s">
        <v>247</v>
      </c>
      <c r="B110" s="2064" t="s">
        <v>248</v>
      </c>
      <c r="C110" s="653"/>
      <c r="D110" s="2746"/>
      <c r="E110" s="2488"/>
      <c r="F110" s="2667" t="str">
        <f>INDEX(PT_DIFFERENTIATION_VTAR,MATCH(A110,PT_DIFFERENTIATION_VTAR_ID,0))</f>
        <v>Тарифы на услуги по передаче теплоносителя</v>
      </c>
      <c r="G110" s="2711" t="str">
        <f>INDEX(PT_DIFFERENTIATION_NTAR,MATCH(B110,PT_DIFFERENTIATION_NTAR_ID,0))</f>
        <v/>
      </c>
      <c r="H110" s="2146"/>
      <c r="I110" s="2023"/>
      <c r="J110" s="2057"/>
      <c r="K110" s="2062"/>
      <c r="L110" s="2146" t="s">
        <v>366</v>
      </c>
      <c r="M110" s="625"/>
      <c r="N110" s="618"/>
      <c r="O110" s="1908"/>
      <c r="P110" s="1908"/>
      <c r="AH110" s="1915">
        <v>0</v>
      </c>
    </row>
    <row s="30541" customFormat="1" customHeight="1" ht="18.75" hidden="1">
      <c r="A111" s="2064"/>
      <c r="B111" s="2064"/>
      <c r="C111" s="653" t="s">
        <v>1230</v>
      </c>
      <c r="D111" s="2746"/>
      <c r="E111" s="2488"/>
      <c r="F111" s="2667"/>
      <c r="G111" s="2711"/>
      <c r="H111" s="1784"/>
      <c r="I111" s="935" t="s">
        <v>1229</v>
      </c>
      <c r="J111" s="855"/>
      <c r="K111" s="1784"/>
      <c r="L111" s="498"/>
      <c r="M111" s="625"/>
      <c r="N111" s="618"/>
      <c r="O111" s="1908"/>
      <c r="P111" s="1908"/>
      <c r="AH111" s="1915">
        <v>0</v>
      </c>
    </row>
    <row s="30541" customFormat="1" customHeight="1" ht="0.75" hidden="1">
      <c r="A112" s="2064"/>
      <c r="B112" s="2064"/>
      <c r="C112" s="653" t="s">
        <v>1238</v>
      </c>
      <c r="D112" s="2746"/>
      <c r="E112" s="2488"/>
      <c r="F112" s="2667"/>
      <c r="G112" s="684"/>
      <c r="H112" s="1784"/>
      <c r="I112" s="935"/>
      <c r="J112" s="855"/>
      <c r="K112" s="1784"/>
      <c r="L112" s="498"/>
      <c r="M112" s="625"/>
      <c r="N112" s="618"/>
      <c r="O112" s="1908"/>
      <c r="P112" s="1908"/>
      <c r="AH112" s="1915">
        <v>0</v>
      </c>
    </row>
    <row s="30541" customFormat="1" customHeight="1" ht="18.75" hidden="1">
      <c r="A113" s="2064" t="s">
        <v>253</v>
      </c>
      <c r="B113" s="2064" t="s">
        <v>254</v>
      </c>
      <c r="C113" s="653"/>
      <c r="D113" s="2746"/>
      <c r="E113" s="2488"/>
      <c r="F113" s="2667" t="str">
        <f>INDEX(PT_DIFFERENTIATION_VTAR,MATCH(A113,PT_DIFFERENTIATION_VTAR_ID,0))</f>
        <v>Плата за услуги по поддержанию резервной тепловой мощности при отсутствии потребления тепловой энергии</v>
      </c>
      <c r="G113" s="2711" t="str">
        <f>INDEX(PT_DIFFERENTIATION_NTAR,MATCH(B113,PT_DIFFERENTIATION_NTAR_ID,0))</f>
        <v/>
      </c>
      <c r="H113" s="2146"/>
      <c r="I113" s="2023"/>
      <c r="J113" s="2057"/>
      <c r="K113" s="2062"/>
      <c r="L113" s="2146" t="s">
        <v>366</v>
      </c>
      <c r="M113" s="625"/>
      <c r="N113" s="618"/>
      <c r="O113" s="1908"/>
      <c r="P113" s="1908"/>
      <c r="AH113" s="1915">
        <v>0</v>
      </c>
    </row>
    <row s="30541" customFormat="1" customHeight="1" ht="18.75" hidden="1">
      <c r="A114" s="2064"/>
      <c r="B114" s="2064"/>
      <c r="C114" s="653" t="s">
        <v>1230</v>
      </c>
      <c r="D114" s="2746"/>
      <c r="E114" s="2488"/>
      <c r="F114" s="2667"/>
      <c r="G114" s="2711"/>
      <c r="H114" s="1784"/>
      <c r="I114" s="935" t="s">
        <v>1229</v>
      </c>
      <c r="J114" s="855"/>
      <c r="K114" s="1784"/>
      <c r="L114" s="498"/>
      <c r="M114" s="625"/>
      <c r="N114" s="618"/>
      <c r="O114" s="1908"/>
      <c r="P114" s="1908"/>
      <c r="AH114" s="1915">
        <v>0</v>
      </c>
    </row>
    <row s="30541" customFormat="1" customHeight="1" ht="0.75" hidden="1">
      <c r="A115" s="2064"/>
      <c r="B115" s="2064"/>
      <c r="C115" s="653" t="s">
        <v>1238</v>
      </c>
      <c r="D115" s="2746"/>
      <c r="E115" s="2488"/>
      <c r="F115" s="2667"/>
      <c r="G115" s="684"/>
      <c r="H115" s="1784"/>
      <c r="I115" s="935"/>
      <c r="J115" s="855"/>
      <c r="K115" s="1784"/>
      <c r="L115" s="498"/>
      <c r="M115" s="625"/>
      <c r="N115" s="618"/>
      <c r="O115" s="1908"/>
      <c r="P115" s="1908"/>
      <c r="AH115" s="1915">
        <v>0</v>
      </c>
    </row>
    <row s="30541" customFormat="1" customHeight="1" ht="18.75" hidden="1">
      <c r="A116" s="2064" t="s">
        <v>259</v>
      </c>
      <c r="B116" s="2064" t="s">
        <v>260</v>
      </c>
      <c r="C116" s="653"/>
      <c r="D116" s="2746"/>
      <c r="E116" s="2488"/>
      <c r="F116" s="2667" t="str">
        <f>INDEX(PT_DIFFERENTIATION_VTAR,MATCH(A116,PT_DIFFERENTIATION_VTAR_ID,0))</f>
        <v>Плата за подключение (технологическое присоединение) к системе теплоснабжения</v>
      </c>
      <c r="G116" s="2711" t="str">
        <f>INDEX(PT_DIFFERENTIATION_NTAR,MATCH(B116,PT_DIFFERENTIATION_NTAR_ID,0))</f>
        <v/>
      </c>
      <c r="H116" s="2146"/>
      <c r="I116" s="2023"/>
      <c r="J116" s="2057"/>
      <c r="K116" s="2062"/>
      <c r="L116" s="2146" t="s">
        <v>366</v>
      </c>
      <c r="M116" s="625"/>
      <c r="N116" s="618"/>
      <c r="O116" s="1908"/>
      <c r="P116" s="1908"/>
      <c r="AH116" s="1915">
        <v>0</v>
      </c>
    </row>
    <row s="30541" customFormat="1" customHeight="1" ht="18.75" hidden="1">
      <c r="A117" s="2064"/>
      <c r="B117" s="2064"/>
      <c r="C117" s="653" t="s">
        <v>1230</v>
      </c>
      <c r="D117" s="2746"/>
      <c r="E117" s="2488"/>
      <c r="F117" s="2667"/>
      <c r="G117" s="2711"/>
      <c r="H117" s="1784"/>
      <c r="I117" s="935" t="s">
        <v>1229</v>
      </c>
      <c r="J117" s="855"/>
      <c r="K117" s="1784"/>
      <c r="L117" s="498"/>
      <c r="M117" s="625"/>
      <c r="N117" s="618"/>
      <c r="O117" s="1908"/>
      <c r="P117" s="1908"/>
      <c r="AH117" s="1915">
        <v>0</v>
      </c>
    </row>
    <row s="30541" customFormat="1" customHeight="1" ht="0.75" hidden="1">
      <c r="A118" s="2064"/>
      <c r="B118" s="2064"/>
      <c r="C118" s="653" t="s">
        <v>1238</v>
      </c>
      <c r="D118" s="2746"/>
      <c r="E118" s="2488"/>
      <c r="F118" s="2667"/>
      <c r="G118" s="684"/>
      <c r="H118" s="1784"/>
      <c r="I118" s="935"/>
      <c r="J118" s="855"/>
      <c r="K118" s="1784"/>
      <c r="L118" s="498"/>
      <c r="M118" s="625"/>
      <c r="N118" s="618"/>
      <c r="O118" s="1908"/>
      <c r="P118" s="1908"/>
      <c r="AH118" s="1915">
        <v>0</v>
      </c>
    </row>
    <row s="30541" customFormat="1" customHeight="1" ht="18.75" hidden="1">
      <c r="A119" s="2064" t="s">
        <v>265</v>
      </c>
      <c r="B119" s="2064" t="s">
        <v>266</v>
      </c>
      <c r="C119" s="653"/>
      <c r="D119" s="2746"/>
      <c r="E119" s="2488"/>
      <c r="F119" s="2667" t="str">
        <f>INDEX(PT_DIFFERENTIATION_VTAR,MATCH(A119,PT_DIFFERENTIATION_VTAR_ID,0))</f>
        <v>Плата за подключение (технологическое присоединение) к системе теплоснабжения (индивидуальная)</v>
      </c>
      <c r="G119" s="2711" t="str">
        <f>INDEX(PT_DIFFERENTIATION_NTAR,MATCH(B119,PT_DIFFERENTIATION_NTAR_ID,0))</f>
        <v/>
      </c>
      <c r="H119" s="2273"/>
      <c r="I119" s="2023"/>
      <c r="J119" s="2057"/>
      <c r="K119" s="2062"/>
      <c r="L119" s="2273" t="s">
        <v>366</v>
      </c>
      <c r="M119" s="625"/>
      <c r="N119" s="618"/>
      <c r="O119" s="1908"/>
      <c r="P119" s="1908"/>
      <c r="AH119" s="1915">
        <v>0</v>
      </c>
    </row>
    <row s="30541" customFormat="1" customHeight="1" ht="18.75" hidden="1">
      <c r="A120" s="2064"/>
      <c r="B120" s="2064"/>
      <c r="C120" s="653" t="s">
        <v>1230</v>
      </c>
      <c r="D120" s="2746"/>
      <c r="E120" s="2488"/>
      <c r="F120" s="2667"/>
      <c r="G120" s="2711"/>
      <c r="H120" s="1784"/>
      <c r="I120" s="935" t="s">
        <v>1229</v>
      </c>
      <c r="J120" s="855"/>
      <c r="K120" s="1784"/>
      <c r="L120" s="498"/>
      <c r="M120" s="625"/>
      <c r="N120" s="618"/>
      <c r="O120" s="1908"/>
      <c r="P120" s="1908"/>
      <c r="AH120" s="1915">
        <v>0</v>
      </c>
    </row>
    <row s="30541" customFormat="1" customHeight="1" ht="0.75" hidden="1">
      <c r="A121" s="2064"/>
      <c r="B121" s="2064"/>
      <c r="C121" s="653" t="s">
        <v>1238</v>
      </c>
      <c r="D121" s="2746"/>
      <c r="E121" s="2488"/>
      <c r="F121" s="2667"/>
      <c r="G121" s="684"/>
      <c r="H121" s="1784"/>
      <c r="I121" s="935"/>
      <c r="J121" s="855"/>
      <c r="K121" s="1784"/>
      <c r="L121" s="498"/>
      <c r="M121" s="625"/>
      <c r="N121" s="618"/>
      <c r="O121" s="1908"/>
      <c r="P121" s="1908"/>
      <c r="AH121" s="1915">
        <v>0</v>
      </c>
    </row>
    <row s="30541" customFormat="1" customHeight="1" ht="18.75" hidden="1">
      <c r="A122" s="2064" t="s">
        <v>285</v>
      </c>
      <c r="B122" s="2064" t="s">
        <v>286</v>
      </c>
      <c r="C122" s="653"/>
      <c r="D122" s="2746"/>
      <c r="E122" s="2488"/>
      <c r="F122" s="2667" t="str">
        <f>INDEX(PT_DIFFERENTIATION_VTAR,MATCH(A122,PT_DIFFERENTIATION_VTAR_ID,0))</f>
        <v>Тариф на питьевую воду (питьевое водоснабжение)</v>
      </c>
      <c r="G122" s="2711" t="str">
        <f>INDEX(PT_DIFFERENTIATION_NTAR,MATCH(B122,PT_DIFFERENTIATION_NTAR_ID,0))</f>
        <v/>
      </c>
      <c r="H122" s="2146"/>
      <c r="I122" s="2023"/>
      <c r="J122" s="2057"/>
      <c r="K122" s="2062"/>
      <c r="L122" s="2146" t="s">
        <v>366</v>
      </c>
      <c r="M122" s="625"/>
      <c r="N122" s="618"/>
      <c r="O122" s="1908"/>
      <c r="P122" s="1908"/>
      <c r="AH122" s="1915">
        <v>0</v>
      </c>
    </row>
    <row s="30541" customFormat="1" customHeight="1" ht="18.75" hidden="1">
      <c r="A123" s="2064"/>
      <c r="B123" s="2064"/>
      <c r="C123" s="653" t="s">
        <v>1230</v>
      </c>
      <c r="D123" s="2746"/>
      <c r="E123" s="2488"/>
      <c r="F123" s="2667"/>
      <c r="G123" s="2711"/>
      <c r="H123" s="1784"/>
      <c r="I123" s="935" t="s">
        <v>1229</v>
      </c>
      <c r="J123" s="855"/>
      <c r="K123" s="1784"/>
      <c r="L123" s="498"/>
      <c r="M123" s="625"/>
      <c r="N123" s="618"/>
      <c r="O123" s="1908"/>
      <c r="P123" s="1908"/>
      <c r="AH123" s="1915">
        <v>0</v>
      </c>
    </row>
    <row s="30541" customFormat="1" customHeight="1" ht="0.75" hidden="1">
      <c r="A124" s="2064"/>
      <c r="B124" s="2064"/>
      <c r="C124" s="653" t="s">
        <v>1238</v>
      </c>
      <c r="D124" s="2746"/>
      <c r="E124" s="2488"/>
      <c r="F124" s="2667"/>
      <c r="G124" s="684"/>
      <c r="H124" s="1784"/>
      <c r="I124" s="935"/>
      <c r="J124" s="855"/>
      <c r="K124" s="1784"/>
      <c r="L124" s="498"/>
      <c r="M124" s="625"/>
      <c r="N124" s="618"/>
      <c r="O124" s="1908"/>
      <c r="P124" s="1908"/>
      <c r="AH124" s="1915">
        <v>0</v>
      </c>
    </row>
    <row s="30541" customFormat="1" customHeight="1" ht="18.75" hidden="1">
      <c r="A125" s="2064" t="s">
        <v>290</v>
      </c>
      <c r="B125" s="2064" t="s">
        <v>291</v>
      </c>
      <c r="C125" s="653"/>
      <c r="D125" s="2746"/>
      <c r="E125" s="2488"/>
      <c r="F125" s="2667" t="str">
        <f>INDEX(PT_DIFFERENTIATION_VTAR,MATCH(A125,PT_DIFFERENTIATION_VTAR_ID,0))</f>
        <v>Тариф на техническую воду</v>
      </c>
      <c r="G125" s="2711" t="str">
        <f>INDEX(PT_DIFFERENTIATION_NTAR,MATCH(B125,PT_DIFFERENTIATION_NTAR_ID,0))</f>
        <v/>
      </c>
      <c r="H125" s="2146"/>
      <c r="I125" s="2023"/>
      <c r="J125" s="2057"/>
      <c r="K125" s="2062"/>
      <c r="L125" s="2146" t="s">
        <v>366</v>
      </c>
      <c r="M125" s="625"/>
      <c r="N125" s="618"/>
      <c r="O125" s="1908"/>
      <c r="P125" s="1908"/>
      <c r="AH125" s="1915">
        <v>0</v>
      </c>
    </row>
    <row s="30541" customFormat="1" customHeight="1" ht="18.75" hidden="1">
      <c r="A126" s="2064"/>
      <c r="B126" s="2064"/>
      <c r="C126" s="653" t="s">
        <v>1230</v>
      </c>
      <c r="D126" s="2746"/>
      <c r="E126" s="2488"/>
      <c r="F126" s="2667"/>
      <c r="G126" s="2711"/>
      <c r="H126" s="1784"/>
      <c r="I126" s="935" t="s">
        <v>1229</v>
      </c>
      <c r="J126" s="855"/>
      <c r="K126" s="1784"/>
      <c r="L126" s="498"/>
      <c r="M126" s="625"/>
      <c r="N126" s="618"/>
      <c r="O126" s="1908"/>
      <c r="P126" s="1908"/>
      <c r="AH126" s="1915">
        <v>0</v>
      </c>
    </row>
    <row s="30541" customFormat="1" customHeight="1" ht="0.75" hidden="1">
      <c r="A127" s="2064"/>
      <c r="B127" s="2064"/>
      <c r="C127" s="653" t="s">
        <v>1238</v>
      </c>
      <c r="D127" s="2746"/>
      <c r="E127" s="2488"/>
      <c r="F127" s="2667"/>
      <c r="G127" s="684"/>
      <c r="H127" s="1784"/>
      <c r="I127" s="935"/>
      <c r="J127" s="855"/>
      <c r="K127" s="1784"/>
      <c r="L127" s="498"/>
      <c r="M127" s="625"/>
      <c r="N127" s="618"/>
      <c r="O127" s="1908"/>
      <c r="P127" s="1908"/>
      <c r="AH127" s="1915">
        <v>0</v>
      </c>
    </row>
    <row s="30541" customFormat="1" customHeight="1" ht="18.75" hidden="1">
      <c r="A128" s="2064" t="s">
        <v>295</v>
      </c>
      <c r="B128" s="2064" t="s">
        <v>296</v>
      </c>
      <c r="C128" s="653"/>
      <c r="D128" s="2746"/>
      <c r="E128" s="2488"/>
      <c r="F128" s="2667" t="str">
        <f>INDEX(PT_DIFFERENTIATION_VTAR,MATCH(A128,PT_DIFFERENTIATION_VTAR_ID,0))</f>
        <v>Тариф на транспортировку воды</v>
      </c>
      <c r="G128" s="2711" t="str">
        <f>INDEX(PT_DIFFERENTIATION_NTAR,MATCH(B128,PT_DIFFERENTIATION_NTAR_ID,0))</f>
        <v/>
      </c>
      <c r="H128" s="2146"/>
      <c r="I128" s="2023"/>
      <c r="J128" s="2057"/>
      <c r="K128" s="2062"/>
      <c r="L128" s="2146" t="s">
        <v>366</v>
      </c>
      <c r="M128" s="625"/>
      <c r="N128" s="618"/>
      <c r="O128" s="1908"/>
      <c r="P128" s="1908"/>
      <c r="AH128" s="1915">
        <v>0</v>
      </c>
    </row>
    <row s="30541" customFormat="1" customHeight="1" ht="18.75" hidden="1">
      <c r="A129" s="2064"/>
      <c r="B129" s="2064"/>
      <c r="C129" s="653" t="s">
        <v>1230</v>
      </c>
      <c r="D129" s="2746"/>
      <c r="E129" s="2488"/>
      <c r="F129" s="2667"/>
      <c r="G129" s="2711"/>
      <c r="H129" s="1784"/>
      <c r="I129" s="935" t="s">
        <v>1229</v>
      </c>
      <c r="J129" s="855"/>
      <c r="K129" s="1784"/>
      <c r="L129" s="498"/>
      <c r="M129" s="625"/>
      <c r="N129" s="618"/>
      <c r="O129" s="1908"/>
      <c r="P129" s="1908"/>
      <c r="AH129" s="1915">
        <v>0</v>
      </c>
    </row>
    <row s="30541" customFormat="1" customHeight="1" ht="0.75" hidden="1">
      <c r="A130" s="2064"/>
      <c r="B130" s="2064"/>
      <c r="C130" s="653" t="s">
        <v>1238</v>
      </c>
      <c r="D130" s="2746"/>
      <c r="E130" s="2488"/>
      <c r="F130" s="2667"/>
      <c r="G130" s="684"/>
      <c r="H130" s="1784"/>
      <c r="I130" s="935"/>
      <c r="J130" s="855"/>
      <c r="K130" s="1784"/>
      <c r="L130" s="498"/>
      <c r="M130" s="625"/>
      <c r="N130" s="618"/>
      <c r="O130" s="1908"/>
      <c r="P130" s="1908"/>
      <c r="AH130" s="1915">
        <v>0</v>
      </c>
    </row>
    <row s="30541" customFormat="1" customHeight="1" ht="18.75" hidden="1">
      <c r="A131" s="2064" t="s">
        <v>300</v>
      </c>
      <c r="B131" s="2064" t="s">
        <v>301</v>
      </c>
      <c r="C131" s="653"/>
      <c r="D131" s="2746"/>
      <c r="E131" s="2488"/>
      <c r="F131" s="2667" t="str">
        <f>INDEX(PT_DIFFERENTIATION_VTAR,MATCH(A131,PT_DIFFERENTIATION_VTAR_ID,0))</f>
        <v>Тариф на подвоз воды</v>
      </c>
      <c r="G131" s="2711" t="str">
        <f>INDEX(PT_DIFFERENTIATION_NTAR,MATCH(B131,PT_DIFFERENTIATION_NTAR_ID,0))</f>
        <v/>
      </c>
      <c r="H131" s="2146"/>
      <c r="I131" s="2023"/>
      <c r="J131" s="2057"/>
      <c r="K131" s="2062"/>
      <c r="L131" s="2146" t="s">
        <v>366</v>
      </c>
      <c r="M131" s="625"/>
      <c r="N131" s="618"/>
      <c r="O131" s="1908"/>
      <c r="P131" s="1908"/>
      <c r="AH131" s="1915">
        <v>0</v>
      </c>
    </row>
    <row s="30541" customFormat="1" customHeight="1" ht="18.75" hidden="1">
      <c r="A132" s="2064"/>
      <c r="B132" s="2064"/>
      <c r="C132" s="653" t="s">
        <v>1230</v>
      </c>
      <c r="D132" s="2746"/>
      <c r="E132" s="2488"/>
      <c r="F132" s="2667"/>
      <c r="G132" s="2711"/>
      <c r="H132" s="1784"/>
      <c r="I132" s="935" t="s">
        <v>1229</v>
      </c>
      <c r="J132" s="855"/>
      <c r="K132" s="1784"/>
      <c r="L132" s="498"/>
      <c r="M132" s="625"/>
      <c r="N132" s="618"/>
      <c r="O132" s="1908"/>
      <c r="P132" s="1908"/>
      <c r="AH132" s="1915">
        <v>0</v>
      </c>
    </row>
    <row s="30541" customFormat="1" customHeight="1" ht="0.75" hidden="1">
      <c r="A133" s="2064"/>
      <c r="B133" s="2064"/>
      <c r="C133" s="653" t="s">
        <v>1238</v>
      </c>
      <c r="D133" s="2746"/>
      <c r="E133" s="2488"/>
      <c r="F133" s="2667"/>
      <c r="G133" s="684"/>
      <c r="H133" s="1784"/>
      <c r="I133" s="935"/>
      <c r="J133" s="855"/>
      <c r="K133" s="1784"/>
      <c r="L133" s="498"/>
      <c r="M133" s="625"/>
      <c r="N133" s="618"/>
      <c r="O133" s="1908"/>
      <c r="P133" s="1908"/>
      <c r="AH133" s="1915">
        <v>0</v>
      </c>
    </row>
    <row s="30541" customFormat="1" customHeight="1" ht="18.75" hidden="1">
      <c r="A134" s="2064" t="s">
        <v>305</v>
      </c>
      <c r="B134" s="2064" t="s">
        <v>306</v>
      </c>
      <c r="C134" s="653"/>
      <c r="D134" s="2746"/>
      <c r="E134" s="2488"/>
      <c r="F134" s="2667" t="str">
        <f>INDEX(PT_DIFFERENTIATION_VTAR,MATCH(A134,PT_DIFFERENTIATION_VTAR_ID,0))</f>
        <v>Тариф на подключение (технологическое присоединение) к централизованной системе холодного водоснабжения</v>
      </c>
      <c r="G134" s="2711" t="str">
        <f>INDEX(PT_DIFFERENTIATION_NTAR,MATCH(B134,PT_DIFFERENTIATION_NTAR_ID,0))</f>
        <v/>
      </c>
      <c r="H134" s="2146"/>
      <c r="I134" s="2023"/>
      <c r="J134" s="2057"/>
      <c r="K134" s="2062"/>
      <c r="L134" s="2146" t="s">
        <v>366</v>
      </c>
      <c r="M134" s="625"/>
      <c r="N134" s="618"/>
      <c r="O134" s="1908"/>
      <c r="P134" s="1908"/>
      <c r="AH134" s="1915">
        <v>0</v>
      </c>
    </row>
    <row s="30541" customFormat="1" customHeight="1" ht="18.75" hidden="1">
      <c r="A135" s="2064"/>
      <c r="B135" s="2064"/>
      <c r="C135" s="653" t="s">
        <v>1230</v>
      </c>
      <c r="D135" s="2746"/>
      <c r="E135" s="2488"/>
      <c r="F135" s="2667"/>
      <c r="G135" s="2711"/>
      <c r="H135" s="1784"/>
      <c r="I135" s="935" t="s">
        <v>1229</v>
      </c>
      <c r="J135" s="855"/>
      <c r="K135" s="1784"/>
      <c r="L135" s="498"/>
      <c r="M135" s="625"/>
      <c r="N135" s="618"/>
      <c r="O135" s="1908"/>
      <c r="P135" s="1908"/>
      <c r="AH135" s="1915">
        <v>0</v>
      </c>
    </row>
    <row s="30541" customFormat="1" customHeight="1" ht="0.75" hidden="1">
      <c r="A136" s="2064"/>
      <c r="B136" s="2064"/>
      <c r="C136" s="653" t="s">
        <v>1238</v>
      </c>
      <c r="D136" s="2746"/>
      <c r="E136" s="2488"/>
      <c r="F136" s="2667"/>
      <c r="G136" s="684"/>
      <c r="H136" s="1784"/>
      <c r="I136" s="935"/>
      <c r="J136" s="855"/>
      <c r="K136" s="1784"/>
      <c r="L136" s="498"/>
      <c r="M136" s="625"/>
      <c r="N136" s="618"/>
      <c r="O136" s="1908"/>
      <c r="P136" s="1908"/>
      <c r="AH136" s="1915">
        <v>0</v>
      </c>
    </row>
    <row s="30541" customFormat="1" customHeight="1" ht="18.75" hidden="1">
      <c r="A137" s="2064" t="s">
        <v>310</v>
      </c>
      <c r="B137" s="2064" t="s">
        <v>311</v>
      </c>
      <c r="C137" s="653"/>
      <c r="D137" s="2746"/>
      <c r="E137" s="2488"/>
      <c r="F137" s="2667" t="str">
        <f>INDEX(PT_DIFFERENTIATION_VTAR,MATCH(A137,PT_DIFFERENTIATION_VTAR_ID,0))</f>
        <v>Тариф на горячую воду (горячее водоснабжение)</v>
      </c>
      <c r="G137" s="2711" t="str">
        <f>INDEX(PT_DIFFERENTIATION_NTAR,MATCH(B137,PT_DIFFERENTIATION_NTAR_ID,0))</f>
        <v/>
      </c>
      <c r="H137" s="2146"/>
      <c r="I137" s="2023"/>
      <c r="J137" s="2057"/>
      <c r="K137" s="2062"/>
      <c r="L137" s="2146" t="s">
        <v>366</v>
      </c>
      <c r="M137" s="625"/>
      <c r="N137" s="618"/>
      <c r="O137" s="1908"/>
      <c r="P137" s="1908"/>
      <c r="AH137" s="1915">
        <v>0</v>
      </c>
    </row>
    <row s="30541" customFormat="1" customHeight="1" ht="18.75" hidden="1">
      <c r="A138" s="2064"/>
      <c r="B138" s="2064"/>
      <c r="C138" s="653" t="s">
        <v>1230</v>
      </c>
      <c r="D138" s="2746"/>
      <c r="E138" s="2488"/>
      <c r="F138" s="2667"/>
      <c r="G138" s="2711"/>
      <c r="H138" s="1784"/>
      <c r="I138" s="935" t="s">
        <v>1229</v>
      </c>
      <c r="J138" s="855"/>
      <c r="K138" s="1784"/>
      <c r="L138" s="498"/>
      <c r="M138" s="625"/>
      <c r="N138" s="618"/>
      <c r="O138" s="1908"/>
      <c r="P138" s="1908"/>
      <c r="AH138" s="1915">
        <v>0</v>
      </c>
    </row>
    <row s="30541" customFormat="1" customHeight="1" ht="0.75" hidden="1">
      <c r="A139" s="2064"/>
      <c r="B139" s="2064"/>
      <c r="C139" s="653" t="s">
        <v>1238</v>
      </c>
      <c r="D139" s="2746"/>
      <c r="E139" s="2488"/>
      <c r="F139" s="2667"/>
      <c r="G139" s="684"/>
      <c r="H139" s="1784"/>
      <c r="I139" s="935"/>
      <c r="J139" s="855"/>
      <c r="K139" s="1784"/>
      <c r="L139" s="498"/>
      <c r="M139" s="625"/>
      <c r="N139" s="618"/>
      <c r="O139" s="1908"/>
      <c r="P139" s="1908"/>
      <c r="AH139" s="1915">
        <v>0</v>
      </c>
    </row>
    <row s="30541" customFormat="1" customHeight="1" ht="18.75" hidden="1">
      <c r="A140" s="2064" t="s">
        <v>315</v>
      </c>
      <c r="B140" s="2064" t="s">
        <v>316</v>
      </c>
      <c r="C140" s="653"/>
      <c r="D140" s="2746"/>
      <c r="E140" s="2488"/>
      <c r="F140" s="2667" t="str">
        <f>INDEX(PT_DIFFERENTIATION_VTAR,MATCH(A140,PT_DIFFERENTIATION_VTAR_ID,0))</f>
        <v>Тариф на транспортировку горячей воды</v>
      </c>
      <c r="G140" s="2711" t="str">
        <f>INDEX(PT_DIFFERENTIATION_NTAR,MATCH(B140,PT_DIFFERENTIATION_NTAR_ID,0))</f>
        <v/>
      </c>
      <c r="H140" s="2146"/>
      <c r="I140" s="2023"/>
      <c r="J140" s="2057"/>
      <c r="K140" s="2062"/>
      <c r="L140" s="2146" t="s">
        <v>366</v>
      </c>
      <c r="M140" s="625"/>
      <c r="N140" s="618"/>
      <c r="O140" s="1908"/>
      <c r="P140" s="1908"/>
      <c r="AH140" s="1915">
        <v>0</v>
      </c>
    </row>
    <row s="30541" customFormat="1" customHeight="1" ht="18.75" hidden="1">
      <c r="A141" s="2064"/>
      <c r="B141" s="2064"/>
      <c r="C141" s="653" t="s">
        <v>1230</v>
      </c>
      <c r="D141" s="2746"/>
      <c r="E141" s="2488"/>
      <c r="F141" s="2667"/>
      <c r="G141" s="2711"/>
      <c r="H141" s="1784"/>
      <c r="I141" s="935" t="s">
        <v>1229</v>
      </c>
      <c r="J141" s="855"/>
      <c r="K141" s="1784"/>
      <c r="L141" s="498"/>
      <c r="M141" s="625"/>
      <c r="N141" s="618"/>
      <c r="O141" s="1908"/>
      <c r="P141" s="1908"/>
      <c r="AH141" s="1915">
        <v>0</v>
      </c>
    </row>
    <row s="30541" customFormat="1" customHeight="1" ht="0.75" hidden="1">
      <c r="A142" s="2064"/>
      <c r="B142" s="2064"/>
      <c r="C142" s="653" t="s">
        <v>1238</v>
      </c>
      <c r="D142" s="2746"/>
      <c r="E142" s="2488"/>
      <c r="F142" s="2667"/>
      <c r="G142" s="684"/>
      <c r="H142" s="1784"/>
      <c r="I142" s="935"/>
      <c r="J142" s="855"/>
      <c r="K142" s="1784"/>
      <c r="L142" s="498"/>
      <c r="M142" s="625"/>
      <c r="N142" s="618"/>
      <c r="O142" s="1908"/>
      <c r="P142" s="1908"/>
      <c r="AH142" s="1915">
        <v>0</v>
      </c>
    </row>
    <row s="30541" customFormat="1" customHeight="1" ht="18.75" hidden="1">
      <c r="A143" s="2064" t="s">
        <v>320</v>
      </c>
      <c r="B143" s="2064" t="s">
        <v>321</v>
      </c>
      <c r="C143" s="653"/>
      <c r="D143" s="2746"/>
      <c r="E143" s="2488"/>
      <c r="F143" s="2667" t="str">
        <f>INDEX(PT_DIFFERENTIATION_VTAR,MATCH(A143,PT_DIFFERENTIATION_VTAR_ID,0))</f>
        <v>Тариф на подключение (технологическое присоединение) к централизованной системе горячего водоснабжения</v>
      </c>
      <c r="G143" s="2711" t="str">
        <f>INDEX(PT_DIFFERENTIATION_NTAR,MATCH(B143,PT_DIFFERENTIATION_NTAR_ID,0))</f>
        <v/>
      </c>
      <c r="H143" s="2146"/>
      <c r="I143" s="2023"/>
      <c r="J143" s="2057"/>
      <c r="K143" s="2062"/>
      <c r="L143" s="2146" t="s">
        <v>366</v>
      </c>
      <c r="M143" s="625"/>
      <c r="N143" s="618"/>
      <c r="O143" s="1908"/>
      <c r="P143" s="1908"/>
      <c r="AH143" s="1915">
        <v>0</v>
      </c>
    </row>
    <row s="30541" customFormat="1" customHeight="1" ht="18.75" hidden="1">
      <c r="A144" s="2064"/>
      <c r="B144" s="2064"/>
      <c r="C144" s="653" t="s">
        <v>1230</v>
      </c>
      <c r="D144" s="2746"/>
      <c r="E144" s="2488"/>
      <c r="F144" s="2667"/>
      <c r="G144" s="2711"/>
      <c r="H144" s="1784"/>
      <c r="I144" s="935" t="s">
        <v>1229</v>
      </c>
      <c r="J144" s="855"/>
      <c r="K144" s="1784"/>
      <c r="L144" s="498"/>
      <c r="M144" s="625"/>
      <c r="N144" s="618"/>
      <c r="O144" s="1908"/>
      <c r="P144" s="1908"/>
      <c r="AH144" s="1915">
        <v>0</v>
      </c>
    </row>
    <row s="30541" customFormat="1" customHeight="1" ht="0.75" hidden="1">
      <c r="A145" s="2064"/>
      <c r="B145" s="2064"/>
      <c r="C145" s="653" t="s">
        <v>1238</v>
      </c>
      <c r="D145" s="2746"/>
      <c r="E145" s="2488"/>
      <c r="F145" s="2667"/>
      <c r="G145" s="684"/>
      <c r="H145" s="1784"/>
      <c r="I145" s="935"/>
      <c r="J145" s="855"/>
      <c r="K145" s="1784"/>
      <c r="L145" s="498"/>
      <c r="M145" s="625"/>
      <c r="N145" s="618"/>
      <c r="O145" s="1908"/>
      <c r="P145" s="1908"/>
      <c r="AH145" s="1915">
        <v>0</v>
      </c>
    </row>
    <row s="30541" customFormat="1" customHeight="1" ht="18.75" hidden="1">
      <c r="A146" s="2064" t="s">
        <v>325</v>
      </c>
      <c r="B146" s="2064" t="s">
        <v>326</v>
      </c>
      <c r="C146" s="653"/>
      <c r="D146" s="2746"/>
      <c r="E146" s="2488"/>
      <c r="F146" s="2667" t="str">
        <f>INDEX(PT_DIFFERENTIATION_VTAR,MATCH(A146,PT_DIFFERENTIATION_VTAR_ID,0))</f>
        <v>Тариф на водоотведение</v>
      </c>
      <c r="G146" s="2711" t="str">
        <f>INDEX(PT_DIFFERENTIATION_NTAR,MATCH(B146,PT_DIFFERENTIATION_NTAR_ID,0))</f>
        <v/>
      </c>
      <c r="H146" s="2146"/>
      <c r="I146" s="2023"/>
      <c r="J146" s="2057"/>
      <c r="K146" s="2062"/>
      <c r="L146" s="2146" t="s">
        <v>366</v>
      </c>
      <c r="M146" s="625"/>
      <c r="N146" s="618"/>
      <c r="O146" s="1908"/>
      <c r="P146" s="1908"/>
      <c r="AH146" s="1915">
        <v>0</v>
      </c>
    </row>
    <row s="30541" customFormat="1" customHeight="1" ht="18.75" hidden="1">
      <c r="A147" s="2064"/>
      <c r="B147" s="2064"/>
      <c r="C147" s="653" t="s">
        <v>1230</v>
      </c>
      <c r="D147" s="2746"/>
      <c r="E147" s="2488"/>
      <c r="F147" s="2667"/>
      <c r="G147" s="2711"/>
      <c r="H147" s="1784"/>
      <c r="I147" s="935" t="s">
        <v>1229</v>
      </c>
      <c r="J147" s="855"/>
      <c r="K147" s="1784"/>
      <c r="L147" s="498"/>
      <c r="M147" s="625"/>
      <c r="N147" s="618"/>
      <c r="O147" s="1908"/>
      <c r="P147" s="1908"/>
      <c r="AH147" s="1915">
        <v>0</v>
      </c>
    </row>
    <row s="30541" customFormat="1" customHeight="1" ht="0.75" hidden="1">
      <c r="A148" s="2064"/>
      <c r="B148" s="2064"/>
      <c r="C148" s="653" t="s">
        <v>1238</v>
      </c>
      <c r="D148" s="2746"/>
      <c r="E148" s="2488"/>
      <c r="F148" s="2667"/>
      <c r="G148" s="684"/>
      <c r="H148" s="1784"/>
      <c r="I148" s="935"/>
      <c r="J148" s="855"/>
      <c r="K148" s="1784"/>
      <c r="L148" s="498"/>
      <c r="M148" s="625"/>
      <c r="N148" s="618"/>
      <c r="O148" s="1908"/>
      <c r="P148" s="1908"/>
      <c r="AH148" s="1915">
        <v>0</v>
      </c>
    </row>
    <row s="30541" customFormat="1" customHeight="1" ht="18.75" hidden="1">
      <c r="A149" s="2064" t="s">
        <v>330</v>
      </c>
      <c r="B149" s="2064" t="s">
        <v>331</v>
      </c>
      <c r="C149" s="653"/>
      <c r="D149" s="2746"/>
      <c r="E149" s="2488"/>
      <c r="F149" s="2667" t="str">
        <f>INDEX(PT_DIFFERENTIATION_VTAR,MATCH(A149,PT_DIFFERENTIATION_VTAR_ID,0))</f>
        <v>Тариф на транспортировку сточных вод</v>
      </c>
      <c r="G149" s="2711" t="str">
        <f>INDEX(PT_DIFFERENTIATION_NTAR,MATCH(B149,PT_DIFFERENTIATION_NTAR_ID,0))</f>
        <v/>
      </c>
      <c r="H149" s="2146"/>
      <c r="I149" s="2023"/>
      <c r="J149" s="2057"/>
      <c r="K149" s="2062"/>
      <c r="L149" s="2146" t="s">
        <v>366</v>
      </c>
      <c r="M149" s="625"/>
      <c r="N149" s="618"/>
      <c r="O149" s="1908"/>
      <c r="P149" s="1908"/>
      <c r="AH149" s="1915">
        <v>0</v>
      </c>
    </row>
    <row s="30541" customFormat="1" customHeight="1" ht="18.75" hidden="1">
      <c r="A150" s="2064"/>
      <c r="B150" s="2064"/>
      <c r="C150" s="653" t="s">
        <v>1230</v>
      </c>
      <c r="D150" s="2746"/>
      <c r="E150" s="2488"/>
      <c r="F150" s="2667"/>
      <c r="G150" s="2711"/>
      <c r="H150" s="1784"/>
      <c r="I150" s="935" t="s">
        <v>1229</v>
      </c>
      <c r="J150" s="855"/>
      <c r="K150" s="1784"/>
      <c r="L150" s="498"/>
      <c r="M150" s="625"/>
      <c r="N150" s="618"/>
      <c r="O150" s="1908"/>
      <c r="P150" s="1908"/>
      <c r="AH150" s="1915">
        <v>0</v>
      </c>
    </row>
    <row s="30541" customFormat="1" customHeight="1" ht="0.75" hidden="1">
      <c r="A151" s="2064"/>
      <c r="B151" s="2064"/>
      <c r="C151" s="653" t="s">
        <v>1238</v>
      </c>
      <c r="D151" s="2746"/>
      <c r="E151" s="2488"/>
      <c r="F151" s="2667"/>
      <c r="G151" s="684"/>
      <c r="H151" s="1784"/>
      <c r="I151" s="935"/>
      <c r="J151" s="855"/>
      <c r="K151" s="1784"/>
      <c r="L151" s="498"/>
      <c r="M151" s="625"/>
      <c r="N151" s="618"/>
      <c r="O151" s="1908"/>
      <c r="P151" s="1908"/>
      <c r="AH151" s="1915">
        <v>0</v>
      </c>
    </row>
    <row s="30541" customFormat="1" customHeight="1" ht="18.75" hidden="1">
      <c r="A152" s="2064" t="s">
        <v>335</v>
      </c>
      <c r="B152" s="2064" t="s">
        <v>336</v>
      </c>
      <c r="C152" s="653"/>
      <c r="D152" s="2746"/>
      <c r="E152" s="2488"/>
      <c r="F152" s="2667" t="str">
        <f>INDEX(PT_DIFFERENTIATION_VTAR,MATCH(A152,PT_DIFFERENTIATION_VTAR_ID,0))</f>
        <v>Тариф на подключение (технологическое присоединение) к централизованной системе водоотведения</v>
      </c>
      <c r="G152" s="2711" t="str">
        <f>INDEX(PT_DIFFERENTIATION_NTAR,MATCH(B152,PT_DIFFERENTIATION_NTAR_ID,0))</f>
        <v/>
      </c>
      <c r="H152" s="2146"/>
      <c r="I152" s="2023"/>
      <c r="J152" s="2057"/>
      <c r="K152" s="2062"/>
      <c r="L152" s="2146" t="s">
        <v>366</v>
      </c>
      <c r="M152" s="625"/>
      <c r="N152" s="618"/>
      <c r="O152" s="1908"/>
      <c r="P152" s="1908"/>
      <c r="AH152" s="1915">
        <v>0</v>
      </c>
    </row>
    <row s="30541" customFormat="1" customHeight="1" ht="18.75" hidden="1">
      <c r="A153" s="2064"/>
      <c r="B153" s="2064"/>
      <c r="C153" s="653" t="s">
        <v>1230</v>
      </c>
      <c r="D153" s="2746"/>
      <c r="E153" s="2488"/>
      <c r="F153" s="2667"/>
      <c r="G153" s="2711"/>
      <c r="H153" s="1784"/>
      <c r="I153" s="935" t="s">
        <v>1229</v>
      </c>
      <c r="J153" s="855"/>
      <c r="K153" s="1784"/>
      <c r="L153" s="498"/>
      <c r="M153" s="625"/>
      <c r="N153" s="618"/>
      <c r="O153" s="1908"/>
      <c r="P153" s="1908"/>
      <c r="AH153" s="1915">
        <v>0</v>
      </c>
    </row>
    <row s="30541" customFormat="1" customHeight="1" ht="1.05">
      <c r="A154" s="2064"/>
      <c r="B154" s="2064"/>
      <c r="C154" s="653" t="s">
        <v>1238</v>
      </c>
      <c r="D154" s="2746"/>
      <c r="E154" s="2488"/>
      <c r="F154" s="2667"/>
      <c r="G154" s="684"/>
      <c r="H154" s="1784"/>
      <c r="I154" s="935"/>
      <c r="J154" s="855"/>
      <c r="K154" s="1784"/>
      <c r="L154" s="498"/>
      <c r="M154" s="625"/>
      <c r="N154" s="618"/>
      <c r="O154" s="1908"/>
      <c r="P154" s="1908"/>
      <c r="AH154" s="1915">
        <v>1</v>
      </c>
    </row>
    <row customHeight="1" ht="19.95">
      <c r="A155" s="2064"/>
      <c r="B155" s="2064"/>
      <c r="D155" s="660"/>
      <c r="E155" s="431" t="s">
        <v>94</v>
      </c>
      <c r="F155" s="274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5" s="2744"/>
      <c r="H155" s="2744"/>
      <c r="I155" s="2744"/>
      <c r="J155" s="2744"/>
      <c r="K155" s="2744"/>
      <c r="L155" s="2744"/>
      <c r="M155" s="581"/>
      <c r="N155" s="618"/>
      <c r="AH155" s="658">
        <v>19</v>
      </c>
    </row>
    <row s="30541" customFormat="1" customHeight="1" ht="60.75" hidden="1">
      <c r="A156" s="2064" t="s">
        <v>185</v>
      </c>
      <c r="B156" s="2064" t="s">
        <v>186</v>
      </c>
      <c r="C156" s="653"/>
      <c r="D156" s="2746"/>
      <c r="E156" s="2488"/>
      <c r="F156" s="2667" t="str">
        <f>INDEX(PT_DIFFERENTIATION_VTAR,MATCH(A156,PT_DIFFERENTIATION_VTAR_ID,0))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6" s="2711" t="str">
        <f>INDEX(PT_DIFFERENTIATION_NTAR,MATCH(B156,PT_DIFFERENTIATION_NTAR_ID,0))</f>
        <v/>
      </c>
      <c r="H156" s="2146"/>
      <c r="I156" s="2023"/>
      <c r="J156" s="2057"/>
      <c r="K156" s="2062"/>
      <c r="L156" s="2146" t="s">
        <v>366</v>
      </c>
      <c r="M156" s="245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6" s="618"/>
      <c r="O156" s="1908"/>
      <c r="P156" s="1908"/>
      <c r="AH156" s="1915">
        <v>0</v>
      </c>
    </row>
    <row s="30541" customFormat="1" customHeight="1" ht="18.75" hidden="1">
      <c r="A157" s="2064"/>
      <c r="B157" s="2064"/>
      <c r="C157" s="653" t="s">
        <v>1230</v>
      </c>
      <c r="D157" s="2746"/>
      <c r="E157" s="2488"/>
      <c r="F157" s="2667"/>
      <c r="G157" s="2711"/>
      <c r="H157" s="1784"/>
      <c r="I157" s="935" t="s">
        <v>1229</v>
      </c>
      <c r="J157" s="855"/>
      <c r="K157" s="1784"/>
      <c r="L157" s="498"/>
      <c r="M157" s="2454"/>
      <c r="N157" s="618"/>
      <c r="O157" s="1908"/>
      <c r="P157" s="1908"/>
      <c r="AH157" s="1915">
        <v>0</v>
      </c>
    </row>
    <row s="30541" customFormat="1" customHeight="1" ht="0.75" hidden="1">
      <c r="A158" s="2064"/>
      <c r="B158" s="2064"/>
      <c r="C158" s="653" t="s">
        <v>1238</v>
      </c>
      <c r="D158" s="2746"/>
      <c r="E158" s="2488"/>
      <c r="F158" s="2667"/>
      <c r="G158" s="684"/>
      <c r="H158" s="1784"/>
      <c r="I158" s="935"/>
      <c r="J158" s="855"/>
      <c r="K158" s="1784"/>
      <c r="L158" s="498"/>
      <c r="M158" s="2454"/>
      <c r="N158" s="618"/>
      <c r="O158" s="1908"/>
      <c r="P158" s="1908"/>
      <c r="AH158" s="1915">
        <v>0</v>
      </c>
    </row>
    <row s="30541" customFormat="1" customHeight="1" ht="45" hidden="1">
      <c r="A159" s="2064" t="s">
        <v>191</v>
      </c>
      <c r="B159" s="2064" t="s">
        <v>192</v>
      </c>
      <c r="C159" s="653"/>
      <c r="D159" s="2746"/>
      <c r="E159" s="2488"/>
      <c r="F159" s="2667" t="str">
        <f>INDEX(PT_DIFFERENTIATION_VTAR,MATCH(A159,PT_DIFFERENTIATION_VTAR_ID,0))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9" s="2711" t="str">
        <f>INDEX(PT_DIFFERENTIATION_NTAR,MATCH(B159,PT_DIFFERENTIATION_NTAR_ID,0))</f>
        <v/>
      </c>
      <c r="H159" s="2146"/>
      <c r="I159" s="2023"/>
      <c r="J159" s="2057"/>
      <c r="K159" s="2062"/>
      <c r="L159" s="2146" t="s">
        <v>366</v>
      </c>
      <c r="M159" s="2455"/>
      <c r="N159" s="618"/>
      <c r="O159" s="1908"/>
      <c r="P159" s="1908"/>
      <c r="AH159" s="1915">
        <v>0</v>
      </c>
    </row>
    <row s="30541" customFormat="1" customHeight="1" ht="18.75" hidden="1">
      <c r="A160" s="2064"/>
      <c r="B160" s="2064"/>
      <c r="C160" s="653" t="s">
        <v>1230</v>
      </c>
      <c r="D160" s="2746"/>
      <c r="E160" s="2488"/>
      <c r="F160" s="2667"/>
      <c r="G160" s="2711"/>
      <c r="H160" s="1784"/>
      <c r="I160" s="935" t="s">
        <v>1229</v>
      </c>
      <c r="J160" s="855"/>
      <c r="K160" s="1784"/>
      <c r="L160" s="498"/>
      <c r="M160" s="2145"/>
      <c r="N160" s="618"/>
      <c r="O160" s="1908"/>
      <c r="P160" s="1908"/>
      <c r="AH160" s="1915">
        <v>0</v>
      </c>
    </row>
    <row s="30541" customFormat="1" customHeight="1" ht="0.75" hidden="1">
      <c r="A161" s="2064"/>
      <c r="B161" s="2064"/>
      <c r="C161" s="653" t="s">
        <v>1238</v>
      </c>
      <c r="D161" s="2746"/>
      <c r="E161" s="2488"/>
      <c r="F161" s="2667"/>
      <c r="G161" s="684"/>
      <c r="H161" s="1784"/>
      <c r="I161" s="935"/>
      <c r="J161" s="855"/>
      <c r="K161" s="1784"/>
      <c r="L161" s="498"/>
      <c r="M161" s="625"/>
      <c r="N161" s="618"/>
      <c r="O161" s="1908"/>
      <c r="P161" s="1908"/>
      <c r="AH161" s="1915">
        <v>0</v>
      </c>
    </row>
    <row s="30541" customFormat="1" customHeight="1" ht="45" hidden="1">
      <c r="A162" s="2064" t="s">
        <v>197</v>
      </c>
      <c r="B162" s="2064" t="s">
        <v>198</v>
      </c>
      <c r="C162" s="653"/>
      <c r="D162" s="2746"/>
      <c r="E162" s="2488"/>
      <c r="F162" s="2667" t="str">
        <f>INDEX(PT_DIFFERENTIATION_VTAR,MATCH(A162,PT_DIFFERENTIATION_VTAR_ID,0))</f>
        <v>Тарифы на теплоноситель, поставляемый теплоснабжающими организациями потребителям, другим теплоснабжающим организациям</v>
      </c>
      <c r="G162" s="2711" t="str">
        <f>INDEX(PT_DIFFERENTIATION_NTAR,MATCH(B162,PT_DIFFERENTIATION_NTAR_ID,0))</f>
        <v/>
      </c>
      <c r="H162" s="2146"/>
      <c r="I162" s="2023"/>
      <c r="J162" s="2057"/>
      <c r="K162" s="2062"/>
      <c r="L162" s="2146" t="s">
        <v>366</v>
      </c>
      <c r="M162" s="625"/>
      <c r="N162" s="618"/>
      <c r="O162" s="1908"/>
      <c r="P162" s="1908"/>
      <c r="AH162" s="1915">
        <v>0</v>
      </c>
    </row>
    <row s="30541" customFormat="1" customHeight="1" ht="18.75" hidden="1">
      <c r="A163" s="2064"/>
      <c r="B163" s="2064"/>
      <c r="C163" s="653" t="s">
        <v>1230</v>
      </c>
      <c r="D163" s="2746"/>
      <c r="E163" s="2488"/>
      <c r="F163" s="2667"/>
      <c r="G163" s="2711"/>
      <c r="H163" s="1784"/>
      <c r="I163" s="935" t="s">
        <v>1229</v>
      </c>
      <c r="J163" s="855"/>
      <c r="K163" s="1784"/>
      <c r="L163" s="498"/>
      <c r="M163" s="625"/>
      <c r="N163" s="618"/>
      <c r="O163" s="1908"/>
      <c r="P163" s="1908"/>
      <c r="AH163" s="1915">
        <v>0</v>
      </c>
    </row>
    <row s="38090" customFormat="1" customHeight="1" ht="18.75">
      <c r="A164" s="4729" t="s">
        <v>197</v>
      </c>
      <c r="B164" s="4729" t="s">
        <v>1235</v>
      </c>
      <c r="C164" s="7199"/>
      <c r="D164" s="7200"/>
      <c r="E164" s="7201"/>
      <c r="F164" s="7201"/>
      <c r="G164" s="7202">
        <f>INDEX(PT_DIFFERENTIATION_NTAR,MATCH(B164,PT_DIFFERENTIATION_NTAR_ID,0))</f>
      </c>
      <c r="H164" s="4160"/>
      <c r="I164" s="7203"/>
      <c r="J164" s="7204"/>
      <c r="K164" s="7216"/>
      <c r="L164" s="4160" t="s">
        <v>366</v>
      </c>
      <c r="M164" s="7206"/>
      <c r="N164" s="7207"/>
      <c r="O164" s="4251"/>
      <c r="P164" s="4251"/>
      <c r="Q164" s="3961"/>
      <c r="R164" s="3961"/>
      <c r="S164" s="3961"/>
      <c r="T164" s="3961"/>
      <c r="U164" s="3961"/>
      <c r="V164" s="3961"/>
      <c r="W164" s="3961"/>
      <c r="X164" s="3961"/>
      <c r="Y164" s="3961"/>
      <c r="Z164" s="3961"/>
      <c r="AA164" s="3961"/>
      <c r="AB164" s="3961"/>
      <c r="AC164" s="3961"/>
      <c r="AD164" s="3961"/>
      <c r="AE164" s="3961"/>
      <c r="AF164" s="3961"/>
      <c r="AG164" s="3961"/>
      <c r="AH164" s="3961">
        <v>0</v>
      </c>
    </row>
    <row s="38090" customFormat="1" customHeight="1" ht="18.75">
      <c r="A165" s="4729"/>
      <c r="B165" s="4729"/>
      <c r="C165" s="7199" t="s">
        <v>1230</v>
      </c>
      <c r="D165" s="7200"/>
      <c r="E165" s="7201"/>
      <c r="F165" s="7201"/>
      <c r="G165" s="7202"/>
      <c r="H165" s="7222"/>
      <c r="I165" s="7223" t="s">
        <v>1229</v>
      </c>
      <c r="J165" s="7224"/>
      <c r="K165" s="7225"/>
      <c r="L165" s="7226"/>
      <c r="M165" s="7206"/>
      <c r="N165" s="7207"/>
      <c r="O165" s="4251"/>
      <c r="P165" s="4251"/>
      <c r="Q165" s="3961"/>
      <c r="R165" s="3961"/>
      <c r="S165" s="3961"/>
      <c r="T165" s="3961"/>
      <c r="U165" s="3961"/>
      <c r="V165" s="3961"/>
      <c r="W165" s="3961"/>
      <c r="X165" s="3961"/>
      <c r="Y165" s="3961"/>
      <c r="Z165" s="3961"/>
      <c r="AA165" s="3961"/>
      <c r="AB165" s="3961"/>
      <c r="AC165" s="3961"/>
      <c r="AD165" s="3961"/>
      <c r="AE165" s="3961"/>
      <c r="AF165" s="3961"/>
      <c r="AG165" s="3961"/>
      <c r="AH165" s="3961">
        <v>0</v>
      </c>
    </row>
    <row s="30541" customFormat="1" customHeight="1" ht="0.75" hidden="1">
      <c r="A166" s="2064"/>
      <c r="B166" s="2064"/>
      <c r="C166" s="653" t="s">
        <v>1238</v>
      </c>
      <c r="D166" s="2746"/>
      <c r="E166" s="2488"/>
      <c r="F166" s="2667"/>
      <c r="G166" s="684"/>
      <c r="H166" s="1784"/>
      <c r="I166" s="935"/>
      <c r="J166" s="855"/>
      <c r="K166" s="1784"/>
      <c r="L166" s="498"/>
      <c r="M166" s="625"/>
      <c r="N166" s="618"/>
      <c r="O166" s="1908"/>
      <c r="P166" s="1908"/>
      <c r="AH166" s="1915">
        <v>0</v>
      </c>
    </row>
    <row s="30541" customFormat="1" customHeight="1" ht="45" hidden="1">
      <c r="A167" s="2064" t="s">
        <v>208</v>
      </c>
      <c r="B167" s="2064" t="s">
        <v>209</v>
      </c>
      <c r="C167" s="653"/>
      <c r="D167" s="2746"/>
      <c r="E167" s="2488"/>
      <c r="F167" s="2667" t="str">
        <f>INDEX(PT_DIFFERENTIATION_VTAR,MATCH(A167,PT_DIFFERENTIATION_VTAR_ID,0))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7" s="2711" t="str">
        <f>INDEX(PT_DIFFERENTIATION_NTAR,MATCH(B167,PT_DIFFERENTIATION_NTAR_ID,0))</f>
        <v>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v>
      </c>
      <c r="H167" s="2146"/>
      <c r="I167" s="2023"/>
      <c r="J167" s="2057"/>
      <c r="K167" s="2062"/>
      <c r="L167" s="2146" t="s">
        <v>366</v>
      </c>
      <c r="M167" s="625"/>
      <c r="N167" s="618"/>
      <c r="O167" s="1908"/>
      <c r="P167" s="1908"/>
      <c r="AH167" s="1915">
        <v>0</v>
      </c>
    </row>
    <row s="30541" customFormat="1" customHeight="1" ht="18.75" hidden="1">
      <c r="A168" s="2064"/>
      <c r="B168" s="2064"/>
      <c r="C168" s="653" t="s">
        <v>1230</v>
      </c>
      <c r="D168" s="2746"/>
      <c r="E168" s="2488"/>
      <c r="F168" s="2667"/>
      <c r="G168" s="2711"/>
      <c r="H168" s="1784"/>
      <c r="I168" s="935" t="s">
        <v>1229</v>
      </c>
      <c r="J168" s="855"/>
      <c r="K168" s="1784"/>
      <c r="L168" s="498"/>
      <c r="M168" s="625"/>
      <c r="N168" s="618"/>
      <c r="O168" s="1908"/>
      <c r="P168" s="1908"/>
      <c r="AH168" s="1915">
        <v>0</v>
      </c>
    </row>
    <row s="38105" customFormat="1" customHeight="1" ht="18.75">
      <c r="A169" s="11582" t="s">
        <v>208</v>
      </c>
      <c r="B169" s="11582" t="s">
        <v>232</v>
      </c>
      <c r="C169" s="12907"/>
      <c r="D169" s="12908"/>
      <c r="E169" s="12909"/>
      <c r="F169" s="12909"/>
      <c r="G169" s="12910" t="str">
        <f>INDEX(PT_DIFFERENTIATION_NTAR,MATCH(B169,PT_DIFFERENTIATION_NTAR_ID,0))</f>
        <v>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(для потребителей, получающих тепловую энергию на коллекторах производителей).</v>
      </c>
      <c r="H169" s="12911"/>
      <c r="I169" s="12912"/>
      <c r="J169" s="12913"/>
      <c r="K169" s="12931"/>
      <c r="L169" s="12911" t="s">
        <v>366</v>
      </c>
      <c r="M169" s="12915"/>
      <c r="N169" s="12916"/>
      <c r="O169" s="11472"/>
      <c r="P169" s="11472"/>
      <c r="Q169" s="11462"/>
      <c r="R169" s="11462"/>
      <c r="S169" s="11462"/>
      <c r="T169" s="11462"/>
      <c r="U169" s="11462"/>
      <c r="V169" s="11462"/>
      <c r="W169" s="11462"/>
      <c r="X169" s="11462"/>
      <c r="Y169" s="11462"/>
      <c r="Z169" s="11462"/>
      <c r="AA169" s="11462"/>
      <c r="AB169" s="11462"/>
      <c r="AC169" s="11462"/>
      <c r="AD169" s="11462"/>
      <c r="AE169" s="11462"/>
      <c r="AF169" s="11462"/>
      <c r="AG169" s="11462"/>
      <c r="AH169" s="11462">
        <v>0</v>
      </c>
    </row>
    <row s="38105" customFormat="1" customHeight="1" ht="18.75">
      <c r="A170" s="11582"/>
      <c r="B170" s="11582"/>
      <c r="C170" s="12907" t="s">
        <v>1230</v>
      </c>
      <c r="D170" s="12908"/>
      <c r="E170" s="12909"/>
      <c r="F170" s="12909"/>
      <c r="G170" s="12910"/>
      <c r="H170" s="12942"/>
      <c r="I170" s="12943" t="s">
        <v>1229</v>
      </c>
      <c r="J170" s="12944"/>
      <c r="K170" s="12945"/>
      <c r="L170" s="12946"/>
      <c r="M170" s="12915"/>
      <c r="N170" s="12916"/>
      <c r="O170" s="11472"/>
      <c r="P170" s="11472"/>
      <c r="Q170" s="11462"/>
      <c r="R170" s="11462"/>
      <c r="S170" s="11462"/>
      <c r="T170" s="11462"/>
      <c r="U170" s="11462"/>
      <c r="V170" s="11462"/>
      <c r="W170" s="11462"/>
      <c r="X170" s="11462"/>
      <c r="Y170" s="11462"/>
      <c r="Z170" s="11462"/>
      <c r="AA170" s="11462"/>
      <c r="AB170" s="11462"/>
      <c r="AC170" s="11462"/>
      <c r="AD170" s="11462"/>
      <c r="AE170" s="11462"/>
      <c r="AF170" s="11462"/>
      <c r="AG170" s="11462"/>
      <c r="AH170" s="11462">
        <v>0</v>
      </c>
    </row>
    <row s="30541" customFormat="1" customHeight="1" ht="0.75" hidden="1">
      <c r="A171" s="2064"/>
      <c r="B171" s="2064"/>
      <c r="C171" s="653" t="s">
        <v>1238</v>
      </c>
      <c r="D171" s="2746"/>
      <c r="E171" s="2488"/>
      <c r="F171" s="2667"/>
      <c r="G171" s="684"/>
      <c r="H171" s="1784"/>
      <c r="I171" s="935"/>
      <c r="J171" s="855"/>
      <c r="K171" s="1784"/>
      <c r="L171" s="498"/>
      <c r="M171" s="625"/>
      <c r="N171" s="618"/>
      <c r="O171" s="1908"/>
      <c r="P171" s="1908"/>
      <c r="AH171" s="1915">
        <v>0</v>
      </c>
    </row>
    <row s="30541" customFormat="1" customHeight="1" ht="18.75" hidden="1">
      <c r="A172" s="2064" t="s">
        <v>241</v>
      </c>
      <c r="B172" s="2064" t="s">
        <v>242</v>
      </c>
      <c r="C172" s="653"/>
      <c r="D172" s="2746"/>
      <c r="E172" s="2488"/>
      <c r="F172" s="2667" t="str">
        <f>INDEX(PT_DIFFERENTIATION_VTAR,MATCH(A172,PT_DIFFERENTIATION_VTAR_ID,0))</f>
        <v>Тарифы на услуги по передаче тепловой энергии</v>
      </c>
      <c r="G172" s="2711" t="str">
        <f>INDEX(PT_DIFFERENTIATION_NTAR,MATCH(B172,PT_DIFFERENTIATION_NTAR_ID,0))</f>
        <v/>
      </c>
      <c r="H172" s="2146"/>
      <c r="I172" s="2023"/>
      <c r="J172" s="2057"/>
      <c r="K172" s="2062"/>
      <c r="L172" s="2146" t="s">
        <v>366</v>
      </c>
      <c r="M172" s="625"/>
      <c r="N172" s="618"/>
      <c r="O172" s="1908"/>
      <c r="P172" s="1908"/>
      <c r="AH172" s="1915">
        <v>0</v>
      </c>
    </row>
    <row s="30541" customFormat="1" customHeight="1" ht="18.75" hidden="1">
      <c r="A173" s="2064"/>
      <c r="B173" s="2064"/>
      <c r="C173" s="653" t="s">
        <v>1230</v>
      </c>
      <c r="D173" s="2746"/>
      <c r="E173" s="2488"/>
      <c r="F173" s="2667"/>
      <c r="G173" s="2711"/>
      <c r="H173" s="1784"/>
      <c r="I173" s="935" t="s">
        <v>1229</v>
      </c>
      <c r="J173" s="855"/>
      <c r="K173" s="1784"/>
      <c r="L173" s="498"/>
      <c r="M173" s="625"/>
      <c r="N173" s="618"/>
      <c r="O173" s="1908"/>
      <c r="P173" s="1908"/>
      <c r="AH173" s="1915">
        <v>0</v>
      </c>
    </row>
    <row s="30541" customFormat="1" customHeight="1" ht="0.75" hidden="1">
      <c r="A174" s="2064"/>
      <c r="B174" s="2064"/>
      <c r="C174" s="653" t="s">
        <v>1238</v>
      </c>
      <c r="D174" s="2746"/>
      <c r="E174" s="2488"/>
      <c r="F174" s="2667"/>
      <c r="G174" s="684"/>
      <c r="H174" s="1784"/>
      <c r="I174" s="935"/>
      <c r="J174" s="855"/>
      <c r="K174" s="1784"/>
      <c r="L174" s="498"/>
      <c r="M174" s="625"/>
      <c r="N174" s="618"/>
      <c r="O174" s="1908"/>
      <c r="P174" s="1908"/>
      <c r="AH174" s="1915">
        <v>0</v>
      </c>
    </row>
    <row s="30541" customFormat="1" customHeight="1" ht="18.75" hidden="1">
      <c r="A175" s="2064" t="s">
        <v>247</v>
      </c>
      <c r="B175" s="2064" t="s">
        <v>248</v>
      </c>
      <c r="C175" s="653"/>
      <c r="D175" s="2746"/>
      <c r="E175" s="2488"/>
      <c r="F175" s="2667" t="str">
        <f>INDEX(PT_DIFFERENTIATION_VTAR,MATCH(A175,PT_DIFFERENTIATION_VTAR_ID,0))</f>
        <v>Тарифы на услуги по передаче теплоносителя</v>
      </c>
      <c r="G175" s="2711" t="str">
        <f>INDEX(PT_DIFFERENTIATION_NTAR,MATCH(B175,PT_DIFFERENTIATION_NTAR_ID,0))</f>
        <v/>
      </c>
      <c r="H175" s="2146"/>
      <c r="I175" s="2023"/>
      <c r="J175" s="2057"/>
      <c r="K175" s="2062"/>
      <c r="L175" s="2146" t="s">
        <v>366</v>
      </c>
      <c r="M175" s="625"/>
      <c r="N175" s="618"/>
      <c r="O175" s="1908"/>
      <c r="P175" s="1908"/>
      <c r="AH175" s="1915">
        <v>0</v>
      </c>
    </row>
    <row s="30541" customFormat="1" customHeight="1" ht="18.75" hidden="1">
      <c r="A176" s="2064"/>
      <c r="B176" s="2064"/>
      <c r="C176" s="653" t="s">
        <v>1230</v>
      </c>
      <c r="D176" s="2746"/>
      <c r="E176" s="2488"/>
      <c r="F176" s="2667"/>
      <c r="G176" s="2711"/>
      <c r="H176" s="1784"/>
      <c r="I176" s="935" t="s">
        <v>1229</v>
      </c>
      <c r="J176" s="855"/>
      <c r="K176" s="1784"/>
      <c r="L176" s="498"/>
      <c r="M176" s="625"/>
      <c r="N176" s="618"/>
      <c r="O176" s="1908"/>
      <c r="P176" s="1908"/>
      <c r="AH176" s="1915">
        <v>0</v>
      </c>
    </row>
    <row s="30541" customFormat="1" customHeight="1" ht="0.75" hidden="1">
      <c r="A177" s="2064"/>
      <c r="B177" s="2064"/>
      <c r="C177" s="653" t="s">
        <v>1238</v>
      </c>
      <c r="D177" s="2746"/>
      <c r="E177" s="2488"/>
      <c r="F177" s="2667"/>
      <c r="G177" s="684"/>
      <c r="H177" s="1784"/>
      <c r="I177" s="935"/>
      <c r="J177" s="855"/>
      <c r="K177" s="1784"/>
      <c r="L177" s="498"/>
      <c r="M177" s="625"/>
      <c r="N177" s="618"/>
      <c r="O177" s="1908"/>
      <c r="P177" s="1908"/>
      <c r="AH177" s="1915">
        <v>0</v>
      </c>
    </row>
    <row s="30541" customFormat="1" customHeight="1" ht="18.75" hidden="1">
      <c r="A178" s="2064" t="s">
        <v>253</v>
      </c>
      <c r="B178" s="2064" t="s">
        <v>254</v>
      </c>
      <c r="C178" s="653"/>
      <c r="D178" s="2746"/>
      <c r="E178" s="2488"/>
      <c r="F178" s="2667" t="str">
        <f>INDEX(PT_DIFFERENTIATION_VTAR,MATCH(A178,PT_DIFFERENTIATION_VTAR_ID,0))</f>
        <v>Плата за услуги по поддержанию резервной тепловой мощности при отсутствии потребления тепловой энергии</v>
      </c>
      <c r="G178" s="2711" t="str">
        <f>INDEX(PT_DIFFERENTIATION_NTAR,MATCH(B178,PT_DIFFERENTIATION_NTAR_ID,0))</f>
        <v/>
      </c>
      <c r="H178" s="2146"/>
      <c r="I178" s="2023"/>
      <c r="J178" s="2057"/>
      <c r="K178" s="2062"/>
      <c r="L178" s="2146" t="s">
        <v>366</v>
      </c>
      <c r="M178" s="625"/>
      <c r="N178" s="618"/>
      <c r="O178" s="1908"/>
      <c r="P178" s="1908"/>
      <c r="AH178" s="1915">
        <v>0</v>
      </c>
    </row>
    <row s="30541" customFormat="1" customHeight="1" ht="18.75" hidden="1">
      <c r="A179" s="2064"/>
      <c r="B179" s="2064"/>
      <c r="C179" s="653" t="s">
        <v>1230</v>
      </c>
      <c r="D179" s="2746"/>
      <c r="E179" s="2488"/>
      <c r="F179" s="2667"/>
      <c r="G179" s="2711"/>
      <c r="H179" s="1784"/>
      <c r="I179" s="935" t="s">
        <v>1229</v>
      </c>
      <c r="J179" s="855"/>
      <c r="K179" s="1784"/>
      <c r="L179" s="498"/>
      <c r="M179" s="625"/>
      <c r="N179" s="618"/>
      <c r="O179" s="1908"/>
      <c r="P179" s="1908"/>
      <c r="AH179" s="1915">
        <v>0</v>
      </c>
    </row>
    <row s="30541" customFormat="1" customHeight="1" ht="0.75" hidden="1">
      <c r="A180" s="2064"/>
      <c r="B180" s="2064"/>
      <c r="C180" s="653" t="s">
        <v>1238</v>
      </c>
      <c r="D180" s="2746"/>
      <c r="E180" s="2488"/>
      <c r="F180" s="2667"/>
      <c r="G180" s="684"/>
      <c r="H180" s="1784"/>
      <c r="I180" s="935"/>
      <c r="J180" s="855"/>
      <c r="K180" s="1784"/>
      <c r="L180" s="498"/>
      <c r="M180" s="625"/>
      <c r="N180" s="618"/>
      <c r="O180" s="1908"/>
      <c r="P180" s="1908"/>
      <c r="AH180" s="1915">
        <v>0</v>
      </c>
    </row>
    <row s="30541" customFormat="1" customHeight="1" ht="18.75" hidden="1">
      <c r="A181" s="2064" t="s">
        <v>259</v>
      </c>
      <c r="B181" s="2064" t="s">
        <v>260</v>
      </c>
      <c r="C181" s="653"/>
      <c r="D181" s="2746"/>
      <c r="E181" s="2488"/>
      <c r="F181" s="2667" t="str">
        <f>INDEX(PT_DIFFERENTIATION_VTAR,MATCH(A181,PT_DIFFERENTIATION_VTAR_ID,0))</f>
        <v>Плата за подключение (технологическое присоединение) к системе теплоснабжения</v>
      </c>
      <c r="G181" s="2711" t="str">
        <f>INDEX(PT_DIFFERENTIATION_NTAR,MATCH(B181,PT_DIFFERENTIATION_NTAR_ID,0))</f>
        <v/>
      </c>
      <c r="H181" s="2146"/>
      <c r="I181" s="2023"/>
      <c r="J181" s="2057"/>
      <c r="K181" s="2062"/>
      <c r="L181" s="2146" t="s">
        <v>366</v>
      </c>
      <c r="M181" s="625"/>
      <c r="N181" s="618"/>
      <c r="O181" s="1908"/>
      <c r="P181" s="1908"/>
      <c r="AH181" s="1915">
        <v>0</v>
      </c>
    </row>
    <row s="30541" customFormat="1" customHeight="1" ht="18.75" hidden="1">
      <c r="A182" s="2064"/>
      <c r="B182" s="2064"/>
      <c r="C182" s="653" t="s">
        <v>1230</v>
      </c>
      <c r="D182" s="2746"/>
      <c r="E182" s="2488"/>
      <c r="F182" s="2667"/>
      <c r="G182" s="2711"/>
      <c r="H182" s="1784"/>
      <c r="I182" s="935" t="s">
        <v>1229</v>
      </c>
      <c r="J182" s="855"/>
      <c r="K182" s="1784"/>
      <c r="L182" s="498"/>
      <c r="M182" s="625"/>
      <c r="N182" s="618"/>
      <c r="O182" s="1908"/>
      <c r="P182" s="1908"/>
      <c r="AH182" s="1915">
        <v>0</v>
      </c>
    </row>
    <row s="30541" customFormat="1" customHeight="1" ht="0.75" hidden="1">
      <c r="A183" s="2064"/>
      <c r="B183" s="2064"/>
      <c r="C183" s="653" t="s">
        <v>1238</v>
      </c>
      <c r="D183" s="2746"/>
      <c r="E183" s="2488"/>
      <c r="F183" s="2667"/>
      <c r="G183" s="684"/>
      <c r="H183" s="1784"/>
      <c r="I183" s="935"/>
      <c r="J183" s="855"/>
      <c r="K183" s="1784"/>
      <c r="L183" s="498"/>
      <c r="M183" s="625"/>
      <c r="N183" s="618"/>
      <c r="O183" s="1908"/>
      <c r="P183" s="1908"/>
      <c r="AH183" s="1915">
        <v>0</v>
      </c>
    </row>
    <row s="30541" customFormat="1" customHeight="1" ht="18.75" hidden="1">
      <c r="A184" s="2064" t="s">
        <v>265</v>
      </c>
      <c r="B184" s="2064" t="s">
        <v>266</v>
      </c>
      <c r="C184" s="653"/>
      <c r="D184" s="2746"/>
      <c r="E184" s="2488"/>
      <c r="F184" s="2667" t="str">
        <f>INDEX(PT_DIFFERENTIATION_VTAR,MATCH(A184,PT_DIFFERENTIATION_VTAR_ID,0))</f>
        <v>Плата за подключение (технологическое присоединение) к системе теплоснабжения (индивидуальная)</v>
      </c>
      <c r="G184" s="2711" t="str">
        <f>INDEX(PT_DIFFERENTIATION_NTAR,MATCH(B184,PT_DIFFERENTIATION_NTAR_ID,0))</f>
        <v/>
      </c>
      <c r="H184" s="2273"/>
      <c r="I184" s="2023"/>
      <c r="J184" s="2057"/>
      <c r="K184" s="2062"/>
      <c r="L184" s="2273" t="s">
        <v>366</v>
      </c>
      <c r="M184" s="625"/>
      <c r="N184" s="618"/>
      <c r="O184" s="1908"/>
      <c r="P184" s="1908"/>
      <c r="AH184" s="1915">
        <v>0</v>
      </c>
    </row>
    <row s="30541" customFormat="1" customHeight="1" ht="18.75" hidden="1">
      <c r="A185" s="2064"/>
      <c r="B185" s="2064"/>
      <c r="C185" s="653" t="s">
        <v>1230</v>
      </c>
      <c r="D185" s="2746"/>
      <c r="E185" s="2488"/>
      <c r="F185" s="2667"/>
      <c r="G185" s="2711"/>
      <c r="H185" s="1784"/>
      <c r="I185" s="935" t="s">
        <v>1229</v>
      </c>
      <c r="J185" s="855"/>
      <c r="K185" s="1784"/>
      <c r="L185" s="498"/>
      <c r="M185" s="625"/>
      <c r="N185" s="618"/>
      <c r="O185" s="1908"/>
      <c r="P185" s="1908"/>
      <c r="AH185" s="1915">
        <v>0</v>
      </c>
    </row>
    <row s="30541" customFormat="1" customHeight="1" ht="0.75" hidden="1">
      <c r="A186" s="2064"/>
      <c r="B186" s="2064"/>
      <c r="C186" s="653" t="s">
        <v>1238</v>
      </c>
      <c r="D186" s="2746"/>
      <c r="E186" s="2488"/>
      <c r="F186" s="2667"/>
      <c r="G186" s="684"/>
      <c r="H186" s="1784"/>
      <c r="I186" s="935"/>
      <c r="J186" s="855"/>
      <c r="K186" s="1784"/>
      <c r="L186" s="498"/>
      <c r="M186" s="625"/>
      <c r="N186" s="618"/>
      <c r="O186" s="1908"/>
      <c r="P186" s="1908"/>
      <c r="AH186" s="1915">
        <v>0</v>
      </c>
    </row>
    <row s="30541" customFormat="1" customHeight="1" ht="18.75" hidden="1">
      <c r="A187" s="2064" t="s">
        <v>285</v>
      </c>
      <c r="B187" s="2064" t="s">
        <v>286</v>
      </c>
      <c r="C187" s="653"/>
      <c r="D187" s="2746"/>
      <c r="E187" s="2488"/>
      <c r="F187" s="2667" t="str">
        <f>INDEX(PT_DIFFERENTIATION_VTAR,MATCH(A187,PT_DIFFERENTIATION_VTAR_ID,0))</f>
        <v>Тариф на питьевую воду (питьевое водоснабжение)</v>
      </c>
      <c r="G187" s="2711" t="str">
        <f>INDEX(PT_DIFFERENTIATION_NTAR,MATCH(B187,PT_DIFFERENTIATION_NTAR_ID,0))</f>
        <v/>
      </c>
      <c r="H187" s="2146"/>
      <c r="I187" s="2023"/>
      <c r="J187" s="2057"/>
      <c r="K187" s="2062"/>
      <c r="L187" s="2146" t="s">
        <v>366</v>
      </c>
      <c r="M187" s="625"/>
      <c r="N187" s="618"/>
      <c r="O187" s="1908"/>
      <c r="P187" s="1908"/>
      <c r="AH187" s="1915">
        <v>0</v>
      </c>
    </row>
    <row s="30541" customFormat="1" customHeight="1" ht="18.75" hidden="1">
      <c r="A188" s="2064"/>
      <c r="B188" s="2064"/>
      <c r="C188" s="653" t="s">
        <v>1230</v>
      </c>
      <c r="D188" s="2746"/>
      <c r="E188" s="2488"/>
      <c r="F188" s="2667"/>
      <c r="G188" s="2711"/>
      <c r="H188" s="1784"/>
      <c r="I188" s="935" t="s">
        <v>1229</v>
      </c>
      <c r="J188" s="855"/>
      <c r="K188" s="1784"/>
      <c r="L188" s="498"/>
      <c r="M188" s="625"/>
      <c r="N188" s="618"/>
      <c r="O188" s="1908"/>
      <c r="P188" s="1908"/>
      <c r="AH188" s="1915">
        <v>0</v>
      </c>
    </row>
    <row s="30541" customFormat="1" customHeight="1" ht="0.75" hidden="1">
      <c r="A189" s="2064"/>
      <c r="B189" s="2064"/>
      <c r="C189" s="653" t="s">
        <v>1238</v>
      </c>
      <c r="D189" s="2746"/>
      <c r="E189" s="2488"/>
      <c r="F189" s="2667"/>
      <c r="G189" s="684"/>
      <c r="H189" s="1784"/>
      <c r="I189" s="935"/>
      <c r="J189" s="855"/>
      <c r="K189" s="1784"/>
      <c r="L189" s="498"/>
      <c r="M189" s="625"/>
      <c r="N189" s="618"/>
      <c r="O189" s="1908"/>
      <c r="P189" s="1908"/>
      <c r="AH189" s="1915">
        <v>0</v>
      </c>
    </row>
    <row s="30541" customFormat="1" customHeight="1" ht="18.75" hidden="1">
      <c r="A190" s="2064" t="s">
        <v>290</v>
      </c>
      <c r="B190" s="2064" t="s">
        <v>291</v>
      </c>
      <c r="C190" s="653"/>
      <c r="D190" s="2746"/>
      <c r="E190" s="2488"/>
      <c r="F190" s="2667" t="str">
        <f>INDEX(PT_DIFFERENTIATION_VTAR,MATCH(A190,PT_DIFFERENTIATION_VTAR_ID,0))</f>
        <v>Тариф на техническую воду</v>
      </c>
      <c r="G190" s="2711" t="str">
        <f>INDEX(PT_DIFFERENTIATION_NTAR,MATCH(B190,PT_DIFFERENTIATION_NTAR_ID,0))</f>
        <v/>
      </c>
      <c r="H190" s="2146"/>
      <c r="I190" s="2023"/>
      <c r="J190" s="2057"/>
      <c r="K190" s="2062"/>
      <c r="L190" s="2146" t="s">
        <v>366</v>
      </c>
      <c r="M190" s="625"/>
      <c r="N190" s="618"/>
      <c r="O190" s="1908"/>
      <c r="P190" s="1908"/>
      <c r="AH190" s="1915">
        <v>0</v>
      </c>
    </row>
    <row s="30541" customFormat="1" customHeight="1" ht="18.75" hidden="1">
      <c r="A191" s="2064"/>
      <c r="B191" s="2064"/>
      <c r="C191" s="653" t="s">
        <v>1230</v>
      </c>
      <c r="D191" s="2746"/>
      <c r="E191" s="2488"/>
      <c r="F191" s="2667"/>
      <c r="G191" s="2711"/>
      <c r="H191" s="1784"/>
      <c r="I191" s="935" t="s">
        <v>1229</v>
      </c>
      <c r="J191" s="855"/>
      <c r="K191" s="1784"/>
      <c r="L191" s="498"/>
      <c r="M191" s="625"/>
      <c r="N191" s="618"/>
      <c r="O191" s="1908"/>
      <c r="P191" s="1908"/>
      <c r="AH191" s="1915">
        <v>0</v>
      </c>
    </row>
    <row s="30541" customFormat="1" customHeight="1" ht="0.75" hidden="1">
      <c r="A192" s="2064"/>
      <c r="B192" s="2064"/>
      <c r="C192" s="653" t="s">
        <v>1238</v>
      </c>
      <c r="D192" s="2746"/>
      <c r="E192" s="2488"/>
      <c r="F192" s="2667"/>
      <c r="G192" s="684"/>
      <c r="H192" s="1784"/>
      <c r="I192" s="935"/>
      <c r="J192" s="855"/>
      <c r="K192" s="1784"/>
      <c r="L192" s="498"/>
      <c r="M192" s="625"/>
      <c r="N192" s="618"/>
      <c r="O192" s="1908"/>
      <c r="P192" s="1908"/>
      <c r="AH192" s="1915">
        <v>0</v>
      </c>
    </row>
    <row s="30541" customFormat="1" customHeight="1" ht="18.75" hidden="1">
      <c r="A193" s="2064" t="s">
        <v>295</v>
      </c>
      <c r="B193" s="2064" t="s">
        <v>296</v>
      </c>
      <c r="C193" s="653"/>
      <c r="D193" s="2746"/>
      <c r="E193" s="2488"/>
      <c r="F193" s="2667" t="str">
        <f>INDEX(PT_DIFFERENTIATION_VTAR,MATCH(A193,PT_DIFFERENTIATION_VTAR_ID,0))</f>
        <v>Тариф на транспортировку воды</v>
      </c>
      <c r="G193" s="2711" t="str">
        <f>INDEX(PT_DIFFERENTIATION_NTAR,MATCH(B193,PT_DIFFERENTIATION_NTAR_ID,0))</f>
        <v/>
      </c>
      <c r="H193" s="2146"/>
      <c r="I193" s="2023"/>
      <c r="J193" s="2057"/>
      <c r="K193" s="2062"/>
      <c r="L193" s="2146" t="s">
        <v>366</v>
      </c>
      <c r="M193" s="625"/>
      <c r="N193" s="618"/>
      <c r="O193" s="1908"/>
      <c r="P193" s="1908"/>
      <c r="AH193" s="1915">
        <v>0</v>
      </c>
    </row>
    <row s="30541" customFormat="1" customHeight="1" ht="18.75" hidden="1">
      <c r="A194" s="2064"/>
      <c r="B194" s="2064"/>
      <c r="C194" s="653" t="s">
        <v>1230</v>
      </c>
      <c r="D194" s="2746"/>
      <c r="E194" s="2488"/>
      <c r="F194" s="2667"/>
      <c r="G194" s="2711"/>
      <c r="H194" s="1784"/>
      <c r="I194" s="935" t="s">
        <v>1229</v>
      </c>
      <c r="J194" s="855"/>
      <c r="K194" s="1784"/>
      <c r="L194" s="498"/>
      <c r="M194" s="625"/>
      <c r="N194" s="618"/>
      <c r="O194" s="1908"/>
      <c r="P194" s="1908"/>
      <c r="AH194" s="1915">
        <v>0</v>
      </c>
    </row>
    <row s="30541" customFormat="1" customHeight="1" ht="0.75" hidden="1">
      <c r="A195" s="2064"/>
      <c r="B195" s="2064"/>
      <c r="C195" s="653" t="s">
        <v>1238</v>
      </c>
      <c r="D195" s="2746"/>
      <c r="E195" s="2488"/>
      <c r="F195" s="2667"/>
      <c r="G195" s="684"/>
      <c r="H195" s="1784"/>
      <c r="I195" s="935"/>
      <c r="J195" s="855"/>
      <c r="K195" s="1784"/>
      <c r="L195" s="498"/>
      <c r="M195" s="625"/>
      <c r="N195" s="618"/>
      <c r="O195" s="1908"/>
      <c r="P195" s="1908"/>
      <c r="AH195" s="1915">
        <v>0</v>
      </c>
    </row>
    <row s="30541" customFormat="1" customHeight="1" ht="18.75" hidden="1">
      <c r="A196" s="2064" t="s">
        <v>300</v>
      </c>
      <c r="B196" s="2064" t="s">
        <v>301</v>
      </c>
      <c r="C196" s="653"/>
      <c r="D196" s="2746"/>
      <c r="E196" s="2488"/>
      <c r="F196" s="2667" t="str">
        <f>INDEX(PT_DIFFERENTIATION_VTAR,MATCH(A196,PT_DIFFERENTIATION_VTAR_ID,0))</f>
        <v>Тариф на подвоз воды</v>
      </c>
      <c r="G196" s="2711" t="str">
        <f>INDEX(PT_DIFFERENTIATION_NTAR,MATCH(B196,PT_DIFFERENTIATION_NTAR_ID,0))</f>
        <v/>
      </c>
      <c r="H196" s="2146"/>
      <c r="I196" s="2023"/>
      <c r="J196" s="2057"/>
      <c r="K196" s="2062"/>
      <c r="L196" s="2146" t="s">
        <v>366</v>
      </c>
      <c r="M196" s="625"/>
      <c r="N196" s="618"/>
      <c r="O196" s="1908"/>
      <c r="P196" s="1908"/>
      <c r="AH196" s="1915">
        <v>0</v>
      </c>
    </row>
    <row s="30541" customFormat="1" customHeight="1" ht="18.75" hidden="1">
      <c r="A197" s="2064"/>
      <c r="B197" s="2064"/>
      <c r="C197" s="653" t="s">
        <v>1230</v>
      </c>
      <c r="D197" s="2746"/>
      <c r="E197" s="2488"/>
      <c r="F197" s="2667"/>
      <c r="G197" s="2711"/>
      <c r="H197" s="1784"/>
      <c r="I197" s="935" t="s">
        <v>1229</v>
      </c>
      <c r="J197" s="855"/>
      <c r="K197" s="1784"/>
      <c r="L197" s="498"/>
      <c r="M197" s="625"/>
      <c r="N197" s="618"/>
      <c r="O197" s="1908"/>
      <c r="P197" s="1908"/>
      <c r="AH197" s="1915">
        <v>0</v>
      </c>
    </row>
    <row s="30541" customFormat="1" customHeight="1" ht="0.75" hidden="1">
      <c r="A198" s="2064"/>
      <c r="B198" s="2064"/>
      <c r="C198" s="653" t="s">
        <v>1238</v>
      </c>
      <c r="D198" s="2746"/>
      <c r="E198" s="2488"/>
      <c r="F198" s="2667"/>
      <c r="G198" s="684"/>
      <c r="H198" s="1784"/>
      <c r="I198" s="935"/>
      <c r="J198" s="855"/>
      <c r="K198" s="1784"/>
      <c r="L198" s="498"/>
      <c r="M198" s="625"/>
      <c r="N198" s="618"/>
      <c r="O198" s="1908"/>
      <c r="P198" s="1908"/>
      <c r="AH198" s="1915">
        <v>0</v>
      </c>
    </row>
    <row s="30541" customFormat="1" customHeight="1" ht="18.75" hidden="1">
      <c r="A199" s="2064" t="s">
        <v>305</v>
      </c>
      <c r="B199" s="2064" t="s">
        <v>306</v>
      </c>
      <c r="C199" s="653"/>
      <c r="D199" s="2746"/>
      <c r="E199" s="2488"/>
      <c r="F199" s="2667" t="str">
        <f>INDEX(PT_DIFFERENTIATION_VTAR,MATCH(A199,PT_DIFFERENTIATION_VTAR_ID,0))</f>
        <v>Тариф на подключение (технологическое присоединение) к централизованной системе холодного водоснабжения</v>
      </c>
      <c r="G199" s="2711" t="str">
        <f>INDEX(PT_DIFFERENTIATION_NTAR,MATCH(B199,PT_DIFFERENTIATION_NTAR_ID,0))</f>
        <v/>
      </c>
      <c r="H199" s="2146"/>
      <c r="I199" s="2023"/>
      <c r="J199" s="2057"/>
      <c r="K199" s="2062"/>
      <c r="L199" s="2146" t="s">
        <v>366</v>
      </c>
      <c r="M199" s="625"/>
      <c r="N199" s="618"/>
      <c r="O199" s="1908"/>
      <c r="P199" s="1908"/>
      <c r="AH199" s="1915">
        <v>0</v>
      </c>
    </row>
    <row s="30541" customFormat="1" customHeight="1" ht="18.75" hidden="1">
      <c r="A200" s="2064"/>
      <c r="B200" s="2064"/>
      <c r="C200" s="653" t="s">
        <v>1230</v>
      </c>
      <c r="D200" s="2746"/>
      <c r="E200" s="2488"/>
      <c r="F200" s="2667"/>
      <c r="G200" s="2711"/>
      <c r="H200" s="1784"/>
      <c r="I200" s="935" t="s">
        <v>1229</v>
      </c>
      <c r="J200" s="855"/>
      <c r="K200" s="1784"/>
      <c r="L200" s="498"/>
      <c r="M200" s="625"/>
      <c r="N200" s="618"/>
      <c r="O200" s="1908"/>
      <c r="P200" s="1908"/>
      <c r="AH200" s="1915">
        <v>0</v>
      </c>
    </row>
    <row s="30541" customFormat="1" customHeight="1" ht="0.75" hidden="1">
      <c r="A201" s="2064"/>
      <c r="B201" s="2064"/>
      <c r="C201" s="653" t="s">
        <v>1238</v>
      </c>
      <c r="D201" s="2746"/>
      <c r="E201" s="2488"/>
      <c r="F201" s="2667"/>
      <c r="G201" s="684"/>
      <c r="H201" s="1784"/>
      <c r="I201" s="935"/>
      <c r="J201" s="855"/>
      <c r="K201" s="1784"/>
      <c r="L201" s="498"/>
      <c r="M201" s="625"/>
      <c r="N201" s="618"/>
      <c r="O201" s="1908"/>
      <c r="P201" s="1908"/>
      <c r="AH201" s="1915">
        <v>0</v>
      </c>
    </row>
    <row s="30541" customFormat="1" customHeight="1" ht="18.75" hidden="1">
      <c r="A202" s="2064" t="s">
        <v>310</v>
      </c>
      <c r="B202" s="2064" t="s">
        <v>311</v>
      </c>
      <c r="C202" s="653"/>
      <c r="D202" s="2746"/>
      <c r="E202" s="2488"/>
      <c r="F202" s="2667" t="str">
        <f>INDEX(PT_DIFFERENTIATION_VTAR,MATCH(A202,PT_DIFFERENTIATION_VTAR_ID,0))</f>
        <v>Тариф на горячую воду (горячее водоснабжение)</v>
      </c>
      <c r="G202" s="2711" t="str">
        <f>INDEX(PT_DIFFERENTIATION_NTAR,MATCH(B202,PT_DIFFERENTIATION_NTAR_ID,0))</f>
        <v/>
      </c>
      <c r="H202" s="2146"/>
      <c r="I202" s="2023"/>
      <c r="J202" s="2057"/>
      <c r="K202" s="2062"/>
      <c r="L202" s="2146" t="s">
        <v>366</v>
      </c>
      <c r="M202" s="625"/>
      <c r="N202" s="618"/>
      <c r="O202" s="1908"/>
      <c r="P202" s="1908"/>
      <c r="AH202" s="1915">
        <v>0</v>
      </c>
    </row>
    <row s="30541" customFormat="1" customHeight="1" ht="18.75" hidden="1">
      <c r="A203" s="2064"/>
      <c r="B203" s="2064"/>
      <c r="C203" s="653" t="s">
        <v>1230</v>
      </c>
      <c r="D203" s="2746"/>
      <c r="E203" s="2488"/>
      <c r="F203" s="2667"/>
      <c r="G203" s="2711"/>
      <c r="H203" s="1784"/>
      <c r="I203" s="935" t="s">
        <v>1229</v>
      </c>
      <c r="J203" s="855"/>
      <c r="K203" s="1784"/>
      <c r="L203" s="498"/>
      <c r="M203" s="625"/>
      <c r="N203" s="618"/>
      <c r="O203" s="1908"/>
      <c r="P203" s="1908"/>
      <c r="AH203" s="1915">
        <v>0</v>
      </c>
    </row>
    <row s="30541" customFormat="1" customHeight="1" ht="0.75" hidden="1">
      <c r="A204" s="2064"/>
      <c r="B204" s="2064"/>
      <c r="C204" s="653" t="s">
        <v>1238</v>
      </c>
      <c r="D204" s="2746"/>
      <c r="E204" s="2488"/>
      <c r="F204" s="2667"/>
      <c r="G204" s="684"/>
      <c r="H204" s="1784"/>
      <c r="I204" s="935"/>
      <c r="J204" s="855"/>
      <c r="K204" s="1784"/>
      <c r="L204" s="498"/>
      <c r="M204" s="625"/>
      <c r="N204" s="618"/>
      <c r="O204" s="1908"/>
      <c r="P204" s="1908"/>
      <c r="AH204" s="1915">
        <v>0</v>
      </c>
    </row>
    <row s="30541" customFormat="1" customHeight="1" ht="18.75" hidden="1">
      <c r="A205" s="2064" t="s">
        <v>315</v>
      </c>
      <c r="B205" s="2064" t="s">
        <v>316</v>
      </c>
      <c r="C205" s="653"/>
      <c r="D205" s="2746"/>
      <c r="E205" s="2488"/>
      <c r="F205" s="2667" t="str">
        <f>INDEX(PT_DIFFERENTIATION_VTAR,MATCH(A205,PT_DIFFERENTIATION_VTAR_ID,0))</f>
        <v>Тариф на транспортировку горячей воды</v>
      </c>
      <c r="G205" s="2711" t="str">
        <f>INDEX(PT_DIFFERENTIATION_NTAR,MATCH(B205,PT_DIFFERENTIATION_NTAR_ID,0))</f>
        <v/>
      </c>
      <c r="H205" s="2146"/>
      <c r="I205" s="2023"/>
      <c r="J205" s="2057"/>
      <c r="K205" s="2062"/>
      <c r="L205" s="2146" t="s">
        <v>366</v>
      </c>
      <c r="M205" s="625"/>
      <c r="N205" s="618"/>
      <c r="O205" s="1908"/>
      <c r="P205" s="1908"/>
      <c r="AH205" s="1915">
        <v>0</v>
      </c>
    </row>
    <row s="30541" customFormat="1" customHeight="1" ht="18.75" hidden="1">
      <c r="A206" s="2064"/>
      <c r="B206" s="2064"/>
      <c r="C206" s="653" t="s">
        <v>1230</v>
      </c>
      <c r="D206" s="2746"/>
      <c r="E206" s="2488"/>
      <c r="F206" s="2667"/>
      <c r="G206" s="2711"/>
      <c r="H206" s="1784"/>
      <c r="I206" s="935" t="s">
        <v>1229</v>
      </c>
      <c r="J206" s="855"/>
      <c r="K206" s="1784"/>
      <c r="L206" s="498"/>
      <c r="M206" s="625"/>
      <c r="N206" s="618"/>
      <c r="O206" s="1908"/>
      <c r="P206" s="1908"/>
      <c r="AH206" s="1915">
        <v>0</v>
      </c>
    </row>
    <row s="30541" customFormat="1" customHeight="1" ht="0.75" hidden="1">
      <c r="A207" s="2064"/>
      <c r="B207" s="2064"/>
      <c r="C207" s="653" t="s">
        <v>1238</v>
      </c>
      <c r="D207" s="2746"/>
      <c r="E207" s="2488"/>
      <c r="F207" s="2667"/>
      <c r="G207" s="684"/>
      <c r="H207" s="1784"/>
      <c r="I207" s="935"/>
      <c r="J207" s="855"/>
      <c r="K207" s="1784"/>
      <c r="L207" s="498"/>
      <c r="M207" s="625"/>
      <c r="N207" s="618"/>
      <c r="O207" s="1908"/>
      <c r="P207" s="1908"/>
      <c r="AH207" s="1915">
        <v>0</v>
      </c>
    </row>
    <row s="30541" customFormat="1" customHeight="1" ht="18.75" hidden="1">
      <c r="A208" s="2064" t="s">
        <v>320</v>
      </c>
      <c r="B208" s="2064" t="s">
        <v>321</v>
      </c>
      <c r="C208" s="653"/>
      <c r="D208" s="2746"/>
      <c r="E208" s="2488"/>
      <c r="F208" s="2667" t="str">
        <f>INDEX(PT_DIFFERENTIATION_VTAR,MATCH(A208,PT_DIFFERENTIATION_VTAR_ID,0))</f>
        <v>Тариф на подключение (технологическое присоединение) к централизованной системе горячего водоснабжения</v>
      </c>
      <c r="G208" s="2711" t="str">
        <f>INDEX(PT_DIFFERENTIATION_NTAR,MATCH(B208,PT_DIFFERENTIATION_NTAR_ID,0))</f>
        <v/>
      </c>
      <c r="H208" s="2146"/>
      <c r="I208" s="2023"/>
      <c r="J208" s="2057"/>
      <c r="K208" s="2062"/>
      <c r="L208" s="2146" t="s">
        <v>366</v>
      </c>
      <c r="M208" s="625"/>
      <c r="N208" s="618"/>
      <c r="O208" s="1908"/>
      <c r="P208" s="1908"/>
      <c r="AH208" s="1915">
        <v>0</v>
      </c>
    </row>
    <row s="30541" customFormat="1" customHeight="1" ht="18.75" hidden="1">
      <c r="A209" s="2064"/>
      <c r="B209" s="2064"/>
      <c r="C209" s="653" t="s">
        <v>1230</v>
      </c>
      <c r="D209" s="2746"/>
      <c r="E209" s="2488"/>
      <c r="F209" s="2667"/>
      <c r="G209" s="2711"/>
      <c r="H209" s="1784"/>
      <c r="I209" s="935" t="s">
        <v>1229</v>
      </c>
      <c r="J209" s="855"/>
      <c r="K209" s="1784"/>
      <c r="L209" s="498"/>
      <c r="M209" s="625"/>
      <c r="N209" s="618"/>
      <c r="O209" s="1908"/>
      <c r="P209" s="1908"/>
      <c r="AH209" s="1915">
        <v>0</v>
      </c>
    </row>
    <row s="30541" customFormat="1" customHeight="1" ht="0.75" hidden="1">
      <c r="A210" s="2064"/>
      <c r="B210" s="2064"/>
      <c r="C210" s="653" t="s">
        <v>1238</v>
      </c>
      <c r="D210" s="2746"/>
      <c r="E210" s="2488"/>
      <c r="F210" s="2667"/>
      <c r="G210" s="684"/>
      <c r="H210" s="1784"/>
      <c r="I210" s="935"/>
      <c r="J210" s="855"/>
      <c r="K210" s="1784"/>
      <c r="L210" s="498"/>
      <c r="M210" s="625"/>
      <c r="N210" s="618"/>
      <c r="O210" s="1908"/>
      <c r="P210" s="1908"/>
      <c r="AH210" s="1915">
        <v>0</v>
      </c>
    </row>
    <row s="30541" customFormat="1" customHeight="1" ht="18.75" hidden="1">
      <c r="A211" s="2064" t="s">
        <v>325</v>
      </c>
      <c r="B211" s="2064" t="s">
        <v>326</v>
      </c>
      <c r="C211" s="653"/>
      <c r="D211" s="2746"/>
      <c r="E211" s="2488"/>
      <c r="F211" s="2667" t="str">
        <f>INDEX(PT_DIFFERENTIATION_VTAR,MATCH(A211,PT_DIFFERENTIATION_VTAR_ID,0))</f>
        <v>Тариф на водоотведение</v>
      </c>
      <c r="G211" s="2711" t="str">
        <f>INDEX(PT_DIFFERENTIATION_NTAR,MATCH(B211,PT_DIFFERENTIATION_NTAR_ID,0))</f>
        <v/>
      </c>
      <c r="H211" s="2146"/>
      <c r="I211" s="2023"/>
      <c r="J211" s="2057"/>
      <c r="K211" s="2062"/>
      <c r="L211" s="2146" t="s">
        <v>366</v>
      </c>
      <c r="M211" s="625"/>
      <c r="N211" s="618"/>
      <c r="O211" s="1908"/>
      <c r="P211" s="1908"/>
      <c r="AH211" s="1915">
        <v>0</v>
      </c>
    </row>
    <row s="30541" customFormat="1" customHeight="1" ht="18.75" hidden="1">
      <c r="A212" s="2064"/>
      <c r="B212" s="2064"/>
      <c r="C212" s="653" t="s">
        <v>1230</v>
      </c>
      <c r="D212" s="2746"/>
      <c r="E212" s="2488"/>
      <c r="F212" s="2667"/>
      <c r="G212" s="2711"/>
      <c r="H212" s="1784"/>
      <c r="I212" s="935" t="s">
        <v>1229</v>
      </c>
      <c r="J212" s="855"/>
      <c r="K212" s="1784"/>
      <c r="L212" s="498"/>
      <c r="M212" s="625"/>
      <c r="N212" s="618"/>
      <c r="O212" s="1908"/>
      <c r="P212" s="1908"/>
      <c r="AH212" s="1915">
        <v>0</v>
      </c>
    </row>
    <row s="30541" customFormat="1" customHeight="1" ht="0.75" hidden="1">
      <c r="A213" s="2064"/>
      <c r="B213" s="2064"/>
      <c r="C213" s="653" t="s">
        <v>1238</v>
      </c>
      <c r="D213" s="2746"/>
      <c r="E213" s="2488"/>
      <c r="F213" s="2667"/>
      <c r="G213" s="684"/>
      <c r="H213" s="1784"/>
      <c r="I213" s="935"/>
      <c r="J213" s="855"/>
      <c r="K213" s="1784"/>
      <c r="L213" s="498"/>
      <c r="M213" s="625"/>
      <c r="N213" s="618"/>
      <c r="O213" s="1908"/>
      <c r="P213" s="1908"/>
      <c r="AH213" s="1915">
        <v>0</v>
      </c>
    </row>
    <row s="30541" customFormat="1" customHeight="1" ht="18.75" hidden="1">
      <c r="A214" s="2064" t="s">
        <v>330</v>
      </c>
      <c r="B214" s="2064" t="s">
        <v>331</v>
      </c>
      <c r="C214" s="653"/>
      <c r="D214" s="2746"/>
      <c r="E214" s="2488"/>
      <c r="F214" s="2667" t="str">
        <f>INDEX(PT_DIFFERENTIATION_VTAR,MATCH(A214,PT_DIFFERENTIATION_VTAR_ID,0))</f>
        <v>Тариф на транспортировку сточных вод</v>
      </c>
      <c r="G214" s="2711" t="str">
        <f>INDEX(PT_DIFFERENTIATION_NTAR,MATCH(B214,PT_DIFFERENTIATION_NTAR_ID,0))</f>
        <v/>
      </c>
      <c r="H214" s="2146"/>
      <c r="I214" s="2023"/>
      <c r="J214" s="2057"/>
      <c r="K214" s="2062"/>
      <c r="L214" s="2146" t="s">
        <v>366</v>
      </c>
      <c r="M214" s="625"/>
      <c r="N214" s="618"/>
      <c r="O214" s="1908"/>
      <c r="P214" s="1908"/>
      <c r="AH214" s="1915">
        <v>0</v>
      </c>
    </row>
    <row s="30541" customFormat="1" customHeight="1" ht="18.75" hidden="1">
      <c r="A215" s="2064"/>
      <c r="B215" s="2064"/>
      <c r="C215" s="653" t="s">
        <v>1230</v>
      </c>
      <c r="D215" s="2746"/>
      <c r="E215" s="2488"/>
      <c r="F215" s="2667"/>
      <c r="G215" s="2711"/>
      <c r="H215" s="1784"/>
      <c r="I215" s="935" t="s">
        <v>1229</v>
      </c>
      <c r="J215" s="855"/>
      <c r="K215" s="1784"/>
      <c r="L215" s="498"/>
      <c r="M215" s="625"/>
      <c r="N215" s="618"/>
      <c r="O215" s="1908"/>
      <c r="P215" s="1908"/>
      <c r="AH215" s="1915">
        <v>0</v>
      </c>
    </row>
    <row s="30541" customFormat="1" customHeight="1" ht="0.75" hidden="1">
      <c r="A216" s="2064"/>
      <c r="B216" s="2064"/>
      <c r="C216" s="653" t="s">
        <v>1238</v>
      </c>
      <c r="D216" s="2746"/>
      <c r="E216" s="2488"/>
      <c r="F216" s="2667"/>
      <c r="G216" s="684"/>
      <c r="H216" s="1784"/>
      <c r="I216" s="935"/>
      <c r="J216" s="855"/>
      <c r="K216" s="1784"/>
      <c r="L216" s="498"/>
      <c r="M216" s="625"/>
      <c r="N216" s="618"/>
      <c r="O216" s="1908"/>
      <c r="P216" s="1908"/>
      <c r="AH216" s="1915">
        <v>0</v>
      </c>
    </row>
    <row s="30541" customFormat="1" customHeight="1" ht="18.75" hidden="1">
      <c r="A217" s="2064" t="s">
        <v>335</v>
      </c>
      <c r="B217" s="2064" t="s">
        <v>336</v>
      </c>
      <c r="C217" s="653"/>
      <c r="D217" s="2746"/>
      <c r="E217" s="2488"/>
      <c r="F217" s="2667" t="str">
        <f>INDEX(PT_DIFFERENTIATION_VTAR,MATCH(A217,PT_DIFFERENTIATION_VTAR_ID,0))</f>
        <v>Тариф на подключение (технологическое присоединение) к централизованной системе водоотведения</v>
      </c>
      <c r="G217" s="2711" t="str">
        <f>INDEX(PT_DIFFERENTIATION_NTAR,MATCH(B217,PT_DIFFERENTIATION_NTAR_ID,0))</f>
        <v/>
      </c>
      <c r="H217" s="2146"/>
      <c r="I217" s="2023"/>
      <c r="J217" s="2057"/>
      <c r="K217" s="2062"/>
      <c r="L217" s="2146" t="s">
        <v>366</v>
      </c>
      <c r="M217" s="625"/>
      <c r="N217" s="618"/>
      <c r="O217" s="1908"/>
      <c r="P217" s="1908"/>
      <c r="AH217" s="1915">
        <v>0</v>
      </c>
    </row>
    <row s="30541" customFormat="1" customHeight="1" ht="18.75" hidden="1">
      <c r="A218" s="2064"/>
      <c r="B218" s="2064"/>
      <c r="C218" s="653" t="s">
        <v>1230</v>
      </c>
      <c r="D218" s="2746"/>
      <c r="E218" s="2488"/>
      <c r="F218" s="2667"/>
      <c r="G218" s="2711"/>
      <c r="H218" s="1784"/>
      <c r="I218" s="935" t="s">
        <v>1229</v>
      </c>
      <c r="J218" s="855"/>
      <c r="K218" s="1784"/>
      <c r="L218" s="498"/>
      <c r="M218" s="625"/>
      <c r="N218" s="618"/>
      <c r="O218" s="1908"/>
      <c r="P218" s="1908"/>
      <c r="AH218" s="1915">
        <v>0</v>
      </c>
    </row>
    <row s="30541" customFormat="1" customHeight="1" ht="1.05">
      <c r="A219" s="2064"/>
      <c r="B219" s="2064"/>
      <c r="C219" s="653" t="s">
        <v>1238</v>
      </c>
      <c r="D219" s="2746"/>
      <c r="E219" s="2488"/>
      <c r="F219" s="2667"/>
      <c r="G219" s="684"/>
      <c r="H219" s="1784"/>
      <c r="I219" s="935"/>
      <c r="J219" s="855"/>
      <c r="K219" s="1784"/>
      <c r="L219" s="498"/>
      <c r="M219" s="625"/>
      <c r="N219" s="618"/>
      <c r="O219" s="1908"/>
      <c r="P219" s="1908"/>
      <c r="AH219" s="1915">
        <v>1</v>
      </c>
    </row>
    <row customHeight="1" ht="27.299999999999997">
      <c r="A220" s="2064"/>
      <c r="B220" s="2064"/>
      <c r="D220" s="660"/>
      <c r="E220" s="431" t="s">
        <v>124</v>
      </c>
      <c r="F220" s="274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0" s="2744"/>
      <c r="H220" s="2744"/>
      <c r="I220" s="2744"/>
      <c r="J220" s="2744"/>
      <c r="K220" s="2744"/>
      <c r="L220" s="2744"/>
      <c r="M220" s="581"/>
      <c r="N220" s="618"/>
      <c r="AH220" s="658">
        <v>26</v>
      </c>
    </row>
    <row s="30541" customFormat="1" customHeight="1" ht="60.75" hidden="1">
      <c r="A221" s="2064" t="s">
        <v>185</v>
      </c>
      <c r="B221" s="2064" t="s">
        <v>186</v>
      </c>
      <c r="C221" s="653"/>
      <c r="D221" s="2746"/>
      <c r="E221" s="2488"/>
      <c r="F221" s="2667"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2711" t="str">
        <f>INDEX(PT_DIFFERENTIATION_NTAR,MATCH(B221,PT_DIFFERENTIATION_NTAR_ID,0))</f>
        <v/>
      </c>
      <c r="H221" s="2146"/>
      <c r="I221" s="2023"/>
      <c r="J221" s="2057"/>
      <c r="K221" s="2062"/>
      <c r="L221" s="2146" t="s">
        <v>366</v>
      </c>
      <c r="M221" s="245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1" s="618"/>
      <c r="O221" s="1908"/>
      <c r="P221" s="1908"/>
      <c r="AH221" s="1915">
        <v>0</v>
      </c>
    </row>
    <row s="30541" customFormat="1" customHeight="1" ht="18.75" hidden="1">
      <c r="A222" s="2064"/>
      <c r="B222" s="2064"/>
      <c r="C222" s="653" t="s">
        <v>1230</v>
      </c>
      <c r="D222" s="2746"/>
      <c r="E222" s="2488"/>
      <c r="F222" s="2667"/>
      <c r="G222" s="2711"/>
      <c r="H222" s="1784"/>
      <c r="I222" s="935" t="s">
        <v>1229</v>
      </c>
      <c r="J222" s="855"/>
      <c r="K222" s="1784"/>
      <c r="L222" s="498"/>
      <c r="M222" s="2454"/>
      <c r="N222" s="618"/>
      <c r="O222" s="1908"/>
      <c r="P222" s="1908"/>
      <c r="AH222" s="1915">
        <v>0</v>
      </c>
    </row>
    <row s="30541" customFormat="1" customHeight="1" ht="0.75" hidden="1">
      <c r="A223" s="2064"/>
      <c r="B223" s="2064"/>
      <c r="C223" s="653" t="s">
        <v>1238</v>
      </c>
      <c r="D223" s="2746"/>
      <c r="E223" s="2488"/>
      <c r="F223" s="2667"/>
      <c r="G223" s="684"/>
      <c r="H223" s="1784"/>
      <c r="I223" s="935"/>
      <c r="J223" s="855"/>
      <c r="K223" s="1784"/>
      <c r="L223" s="498"/>
      <c r="M223" s="2454"/>
      <c r="N223" s="618"/>
      <c r="O223" s="1908"/>
      <c r="P223" s="1908"/>
      <c r="AH223" s="1915">
        <v>0</v>
      </c>
    </row>
    <row s="30541" customFormat="1" customHeight="1" ht="45" hidden="1">
      <c r="A224" s="2064" t="s">
        <v>191</v>
      </c>
      <c r="B224" s="2064" t="s">
        <v>192</v>
      </c>
      <c r="C224" s="653"/>
      <c r="D224" s="2746"/>
      <c r="E224" s="2488"/>
      <c r="F224" s="2667" t="str">
        <f>INDEX(PT_DIFFERENTIATION_VTAR,MATCH(A224,PT_DIFFERENTIATION_VTAR_ID,0))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4" s="2711" t="str">
        <f>INDEX(PT_DIFFERENTIATION_NTAR,MATCH(B224,PT_DIFFERENTIATION_NTAR_ID,0))</f>
        <v/>
      </c>
      <c r="H224" s="2146"/>
      <c r="I224" s="2023"/>
      <c r="J224" s="2057"/>
      <c r="K224" s="2062"/>
      <c r="L224" s="2146" t="s">
        <v>366</v>
      </c>
      <c r="M224" s="2455"/>
      <c r="N224" s="618"/>
      <c r="O224" s="1908"/>
      <c r="P224" s="1908"/>
      <c r="AH224" s="1915">
        <v>0</v>
      </c>
    </row>
    <row s="30541" customFormat="1" customHeight="1" ht="18.75" hidden="1">
      <c r="A225" s="2064"/>
      <c r="B225" s="2064"/>
      <c r="C225" s="653" t="s">
        <v>1230</v>
      </c>
      <c r="D225" s="2746"/>
      <c r="E225" s="2488"/>
      <c r="F225" s="2667"/>
      <c r="G225" s="2711"/>
      <c r="H225" s="1784"/>
      <c r="I225" s="935" t="s">
        <v>1229</v>
      </c>
      <c r="J225" s="855"/>
      <c r="K225" s="1784"/>
      <c r="L225" s="498"/>
      <c r="M225" s="2145"/>
      <c r="N225" s="618"/>
      <c r="O225" s="1908"/>
      <c r="P225" s="1908"/>
      <c r="AH225" s="1915">
        <v>0</v>
      </c>
    </row>
    <row s="30541" customFormat="1" customHeight="1" ht="0.75" hidden="1">
      <c r="A226" s="2064"/>
      <c r="B226" s="2064"/>
      <c r="C226" s="653" t="s">
        <v>1238</v>
      </c>
      <c r="D226" s="2746"/>
      <c r="E226" s="2488"/>
      <c r="F226" s="2667"/>
      <c r="G226" s="684"/>
      <c r="H226" s="1784"/>
      <c r="I226" s="935"/>
      <c r="J226" s="855"/>
      <c r="K226" s="1784"/>
      <c r="L226" s="498"/>
      <c r="M226" s="625"/>
      <c r="N226" s="618"/>
      <c r="O226" s="1908"/>
      <c r="P226" s="1908"/>
      <c r="AH226" s="1915">
        <v>0</v>
      </c>
    </row>
    <row s="30541" customFormat="1" customHeight="1" ht="45" hidden="1">
      <c r="A227" s="2064" t="s">
        <v>197</v>
      </c>
      <c r="B227" s="2064" t="s">
        <v>198</v>
      </c>
      <c r="C227" s="653"/>
      <c r="D227" s="2746"/>
      <c r="E227" s="2488"/>
      <c r="F227" s="2667"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2711" t="str">
        <f>INDEX(PT_DIFFERENTIATION_NTAR,MATCH(B227,PT_DIFFERENTIATION_NTAR_ID,0))</f>
        <v/>
      </c>
      <c r="H227" s="2146"/>
      <c r="I227" s="2023"/>
      <c r="J227" s="2057"/>
      <c r="K227" s="2062"/>
      <c r="L227" s="2146" t="s">
        <v>366</v>
      </c>
      <c r="M227" s="625"/>
      <c r="N227" s="618"/>
      <c r="O227" s="1908"/>
      <c r="P227" s="1908"/>
      <c r="AH227" s="1915">
        <v>0</v>
      </c>
    </row>
    <row s="30541" customFormat="1" customHeight="1" ht="18.75" hidden="1">
      <c r="A228" s="2064"/>
      <c r="B228" s="2064"/>
      <c r="C228" s="653" t="s">
        <v>1230</v>
      </c>
      <c r="D228" s="2746"/>
      <c r="E228" s="2488"/>
      <c r="F228" s="2667"/>
      <c r="G228" s="2711"/>
      <c r="H228" s="1784"/>
      <c r="I228" s="935" t="s">
        <v>1229</v>
      </c>
      <c r="J228" s="855"/>
      <c r="K228" s="1784"/>
      <c r="L228" s="498"/>
      <c r="M228" s="625"/>
      <c r="N228" s="618"/>
      <c r="O228" s="1908"/>
      <c r="P228" s="1908"/>
      <c r="AH228" s="1915">
        <v>0</v>
      </c>
    </row>
    <row s="38090" customFormat="1" customHeight="1" ht="18.75">
      <c r="A229" s="4729" t="s">
        <v>197</v>
      </c>
      <c r="B229" s="4729" t="s">
        <v>1235</v>
      </c>
      <c r="C229" s="7199"/>
      <c r="D229" s="7200"/>
      <c r="E229" s="7201"/>
      <c r="F229" s="7201"/>
      <c r="G229" s="7202">
        <f>INDEX(PT_DIFFERENTIATION_NTAR,MATCH(B229,PT_DIFFERENTIATION_NTAR_ID,0))</f>
      </c>
      <c r="H229" s="4160"/>
      <c r="I229" s="7203"/>
      <c r="J229" s="7204"/>
      <c r="K229" s="7216"/>
      <c r="L229" s="4160" t="s">
        <v>366</v>
      </c>
      <c r="M229" s="7206"/>
      <c r="N229" s="7207"/>
      <c r="O229" s="4251"/>
      <c r="P229" s="4251"/>
      <c r="Q229" s="3961"/>
      <c r="R229" s="3961"/>
      <c r="S229" s="3961"/>
      <c r="T229" s="3961"/>
      <c r="U229" s="3961"/>
      <c r="V229" s="3961"/>
      <c r="W229" s="3961"/>
      <c r="X229" s="3961"/>
      <c r="Y229" s="3961"/>
      <c r="Z229" s="3961"/>
      <c r="AA229" s="3961"/>
      <c r="AB229" s="3961"/>
      <c r="AC229" s="3961"/>
      <c r="AD229" s="3961"/>
      <c r="AE229" s="3961"/>
      <c r="AF229" s="3961"/>
      <c r="AG229" s="3961"/>
      <c r="AH229" s="3961">
        <v>0</v>
      </c>
    </row>
    <row s="38090" customFormat="1" customHeight="1" ht="18.75">
      <c r="A230" s="4729"/>
      <c r="B230" s="4729"/>
      <c r="C230" s="7199" t="s">
        <v>1230</v>
      </c>
      <c r="D230" s="7200"/>
      <c r="E230" s="7201"/>
      <c r="F230" s="7201"/>
      <c r="G230" s="7202"/>
      <c r="H230" s="7227"/>
      <c r="I230" s="7228" t="s">
        <v>1229</v>
      </c>
      <c r="J230" s="7229"/>
      <c r="K230" s="7230"/>
      <c r="L230" s="7231"/>
      <c r="M230" s="7206"/>
      <c r="N230" s="7207"/>
      <c r="O230" s="4251"/>
      <c r="P230" s="4251"/>
      <c r="Q230" s="3961"/>
      <c r="R230" s="3961"/>
      <c r="S230" s="3961"/>
      <c r="T230" s="3961"/>
      <c r="U230" s="3961"/>
      <c r="V230" s="3961"/>
      <c r="W230" s="3961"/>
      <c r="X230" s="3961"/>
      <c r="Y230" s="3961"/>
      <c r="Z230" s="3961"/>
      <c r="AA230" s="3961"/>
      <c r="AB230" s="3961"/>
      <c r="AC230" s="3961"/>
      <c r="AD230" s="3961"/>
      <c r="AE230" s="3961"/>
      <c r="AF230" s="3961"/>
      <c r="AG230" s="3961"/>
      <c r="AH230" s="3961">
        <v>0</v>
      </c>
    </row>
    <row s="30541" customFormat="1" customHeight="1" ht="0.75" hidden="1">
      <c r="A231" s="2064"/>
      <c r="B231" s="2064"/>
      <c r="C231" s="653" t="s">
        <v>1238</v>
      </c>
      <c r="D231" s="2746"/>
      <c r="E231" s="2488"/>
      <c r="F231" s="2667"/>
      <c r="G231" s="684"/>
      <c r="H231" s="1784"/>
      <c r="I231" s="935"/>
      <c r="J231" s="855"/>
      <c r="K231" s="1784"/>
      <c r="L231" s="498"/>
      <c r="M231" s="625"/>
      <c r="N231" s="618"/>
      <c r="O231" s="1908"/>
      <c r="P231" s="1908"/>
      <c r="AH231" s="1915">
        <v>0</v>
      </c>
    </row>
    <row s="30541" customFormat="1" customHeight="1" ht="45" hidden="1">
      <c r="A232" s="2064" t="s">
        <v>208</v>
      </c>
      <c r="B232" s="2064" t="s">
        <v>209</v>
      </c>
      <c r="C232" s="653"/>
      <c r="D232" s="2746"/>
      <c r="E232" s="2488"/>
      <c r="F232" s="2667" t="str">
        <f>INDEX(PT_DIFFERENTIATION_VTAR,MATCH(A232,PT_DIFFERENTIATION_VTAR_ID,0))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2" s="2711" t="str">
        <f>INDEX(PT_DIFFERENTIATION_NTAR,MATCH(B232,PT_DIFFERENTIATION_NTAR_ID,0))</f>
        <v>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v>
      </c>
      <c r="H232" s="2146"/>
      <c r="I232" s="2023"/>
      <c r="J232" s="2057"/>
      <c r="K232" s="2062"/>
      <c r="L232" s="2146" t="s">
        <v>366</v>
      </c>
      <c r="M232" s="625"/>
      <c r="N232" s="618"/>
      <c r="O232" s="1908"/>
      <c r="P232" s="1908"/>
      <c r="AH232" s="1915">
        <v>0</v>
      </c>
    </row>
    <row s="30541" customFormat="1" customHeight="1" ht="18.75" hidden="1">
      <c r="A233" s="2064"/>
      <c r="B233" s="2064"/>
      <c r="C233" s="653" t="s">
        <v>1230</v>
      </c>
      <c r="D233" s="2746"/>
      <c r="E233" s="2488"/>
      <c r="F233" s="2667"/>
      <c r="G233" s="2711"/>
      <c r="H233" s="1784"/>
      <c r="I233" s="935" t="s">
        <v>1229</v>
      </c>
      <c r="J233" s="855"/>
      <c r="K233" s="1784"/>
      <c r="L233" s="498"/>
      <c r="M233" s="625"/>
      <c r="N233" s="618"/>
      <c r="O233" s="1908"/>
      <c r="P233" s="1908"/>
      <c r="AH233" s="1915">
        <v>0</v>
      </c>
    </row>
    <row s="38105" customFormat="1" customHeight="1" ht="18.75">
      <c r="A234" s="11582" t="s">
        <v>208</v>
      </c>
      <c r="B234" s="11582" t="s">
        <v>232</v>
      </c>
      <c r="C234" s="12907"/>
      <c r="D234" s="12908"/>
      <c r="E234" s="12909"/>
      <c r="F234" s="12909"/>
      <c r="G234" s="12910" t="str">
        <f>INDEX(PT_DIFFERENTIATION_NTAR,MATCH(B234,PT_DIFFERENTIATION_NTAR_ID,0))</f>
        <v>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(для потребителей, получающих тепловую энергию на коллекторах производителей).</v>
      </c>
      <c r="H234" s="12911"/>
      <c r="I234" s="12912"/>
      <c r="J234" s="12913"/>
      <c r="K234" s="12931"/>
      <c r="L234" s="12911" t="s">
        <v>366</v>
      </c>
      <c r="M234" s="12915"/>
      <c r="N234" s="12916"/>
      <c r="O234" s="11472"/>
      <c r="P234" s="11472"/>
      <c r="Q234" s="11462"/>
      <c r="R234" s="11462"/>
      <c r="S234" s="11462"/>
      <c r="T234" s="11462"/>
      <c r="U234" s="11462"/>
      <c r="V234" s="11462"/>
      <c r="W234" s="11462"/>
      <c r="X234" s="11462"/>
      <c r="Y234" s="11462"/>
      <c r="Z234" s="11462"/>
      <c r="AA234" s="11462"/>
      <c r="AB234" s="11462"/>
      <c r="AC234" s="11462"/>
      <c r="AD234" s="11462"/>
      <c r="AE234" s="11462"/>
      <c r="AF234" s="11462"/>
      <c r="AG234" s="11462"/>
      <c r="AH234" s="11462">
        <v>0</v>
      </c>
    </row>
    <row s="38105" customFormat="1" customHeight="1" ht="18.75">
      <c r="A235" s="11582"/>
      <c r="B235" s="11582"/>
      <c r="C235" s="12907" t="s">
        <v>1230</v>
      </c>
      <c r="D235" s="12908"/>
      <c r="E235" s="12909"/>
      <c r="F235" s="12909"/>
      <c r="G235" s="12910"/>
      <c r="H235" s="12952"/>
      <c r="I235" s="12953" t="s">
        <v>1229</v>
      </c>
      <c r="J235" s="12954"/>
      <c r="K235" s="12955"/>
      <c r="L235" s="12956"/>
      <c r="M235" s="12915"/>
      <c r="N235" s="12916"/>
      <c r="O235" s="11472"/>
      <c r="P235" s="11472"/>
      <c r="Q235" s="11462"/>
      <c r="R235" s="11462"/>
      <c r="S235" s="11462"/>
      <c r="T235" s="11462"/>
      <c r="U235" s="11462"/>
      <c r="V235" s="11462"/>
      <c r="W235" s="11462"/>
      <c r="X235" s="11462"/>
      <c r="Y235" s="11462"/>
      <c r="Z235" s="11462"/>
      <c r="AA235" s="11462"/>
      <c r="AB235" s="11462"/>
      <c r="AC235" s="11462"/>
      <c r="AD235" s="11462"/>
      <c r="AE235" s="11462"/>
      <c r="AF235" s="11462"/>
      <c r="AG235" s="11462"/>
      <c r="AH235" s="11462">
        <v>0</v>
      </c>
    </row>
    <row s="30541" customFormat="1" customHeight="1" ht="0.75" hidden="1">
      <c r="A236" s="2064"/>
      <c r="B236" s="2064"/>
      <c r="C236" s="653" t="s">
        <v>1238</v>
      </c>
      <c r="D236" s="2746"/>
      <c r="E236" s="2488"/>
      <c r="F236" s="2667"/>
      <c r="G236" s="684"/>
      <c r="H236" s="1784"/>
      <c r="I236" s="935"/>
      <c r="J236" s="855"/>
      <c r="K236" s="1784"/>
      <c r="L236" s="498"/>
      <c r="M236" s="625"/>
      <c r="N236" s="618"/>
      <c r="O236" s="1908"/>
      <c r="P236" s="1908"/>
      <c r="AH236" s="1915">
        <v>0</v>
      </c>
    </row>
    <row s="30541" customFormat="1" customHeight="1" ht="18.75" hidden="1">
      <c r="A237" s="2064" t="s">
        <v>241</v>
      </c>
      <c r="B237" s="2064" t="s">
        <v>242</v>
      </c>
      <c r="C237" s="653"/>
      <c r="D237" s="2746"/>
      <c r="E237" s="2488"/>
      <c r="F237" s="2667" t="str">
        <f>INDEX(PT_DIFFERENTIATION_VTAR,MATCH(A237,PT_DIFFERENTIATION_VTAR_ID,0))</f>
        <v>Тарифы на услуги по передаче тепловой энергии</v>
      </c>
      <c r="G237" s="2711" t="str">
        <f>INDEX(PT_DIFFERENTIATION_NTAR,MATCH(B237,PT_DIFFERENTIATION_NTAR_ID,0))</f>
        <v/>
      </c>
      <c r="H237" s="2146"/>
      <c r="I237" s="2023"/>
      <c r="J237" s="2057"/>
      <c r="K237" s="2062"/>
      <c r="L237" s="2146" t="s">
        <v>366</v>
      </c>
      <c r="M237" s="625"/>
      <c r="N237" s="618"/>
      <c r="O237" s="1908"/>
      <c r="P237" s="1908"/>
      <c r="AH237" s="1915">
        <v>0</v>
      </c>
    </row>
    <row s="30541" customFormat="1" customHeight="1" ht="18.75" hidden="1">
      <c r="A238" s="2064"/>
      <c r="B238" s="2064"/>
      <c r="C238" s="653" t="s">
        <v>1230</v>
      </c>
      <c r="D238" s="2746"/>
      <c r="E238" s="2488"/>
      <c r="F238" s="2667"/>
      <c r="G238" s="2711"/>
      <c r="H238" s="1784"/>
      <c r="I238" s="935" t="s">
        <v>1229</v>
      </c>
      <c r="J238" s="855"/>
      <c r="K238" s="1784"/>
      <c r="L238" s="498"/>
      <c r="M238" s="625"/>
      <c r="N238" s="618"/>
      <c r="O238" s="1908"/>
      <c r="P238" s="1908"/>
      <c r="AH238" s="1915">
        <v>0</v>
      </c>
    </row>
    <row s="30541" customFormat="1" customHeight="1" ht="0.75" hidden="1">
      <c r="A239" s="2064"/>
      <c r="B239" s="2064"/>
      <c r="C239" s="653" t="s">
        <v>1238</v>
      </c>
      <c r="D239" s="2746"/>
      <c r="E239" s="2488"/>
      <c r="F239" s="2667"/>
      <c r="G239" s="684"/>
      <c r="H239" s="1784"/>
      <c r="I239" s="935"/>
      <c r="J239" s="855"/>
      <c r="K239" s="1784"/>
      <c r="L239" s="498"/>
      <c r="M239" s="625"/>
      <c r="N239" s="618"/>
      <c r="O239" s="1908"/>
      <c r="P239" s="1908"/>
      <c r="AH239" s="1915">
        <v>0</v>
      </c>
    </row>
    <row s="30541" customFormat="1" customHeight="1" ht="18.75" hidden="1">
      <c r="A240" s="2064" t="s">
        <v>247</v>
      </c>
      <c r="B240" s="2064" t="s">
        <v>248</v>
      </c>
      <c r="C240" s="653"/>
      <c r="D240" s="2746"/>
      <c r="E240" s="2488"/>
      <c r="F240" s="2667" t="str">
        <f>INDEX(PT_DIFFERENTIATION_VTAR,MATCH(A240,PT_DIFFERENTIATION_VTAR_ID,0))</f>
        <v>Тарифы на услуги по передаче теплоносителя</v>
      </c>
      <c r="G240" s="2711" t="str">
        <f>INDEX(PT_DIFFERENTIATION_NTAR,MATCH(B240,PT_DIFFERENTIATION_NTAR_ID,0))</f>
        <v/>
      </c>
      <c r="H240" s="2146"/>
      <c r="I240" s="2023"/>
      <c r="J240" s="2057"/>
      <c r="K240" s="2062"/>
      <c r="L240" s="2146" t="s">
        <v>366</v>
      </c>
      <c r="M240" s="625"/>
      <c r="N240" s="618"/>
      <c r="O240" s="1908"/>
      <c r="P240" s="1908"/>
      <c r="AH240" s="1915">
        <v>0</v>
      </c>
    </row>
    <row s="30541" customFormat="1" customHeight="1" ht="18.75" hidden="1">
      <c r="A241" s="2064"/>
      <c r="B241" s="2064"/>
      <c r="C241" s="653" t="s">
        <v>1230</v>
      </c>
      <c r="D241" s="2746"/>
      <c r="E241" s="2488"/>
      <c r="F241" s="2667"/>
      <c r="G241" s="2711"/>
      <c r="H241" s="1784"/>
      <c r="I241" s="935" t="s">
        <v>1229</v>
      </c>
      <c r="J241" s="855"/>
      <c r="K241" s="1784"/>
      <c r="L241" s="498"/>
      <c r="M241" s="625"/>
      <c r="N241" s="618"/>
      <c r="O241" s="1908"/>
      <c r="P241" s="1908"/>
      <c r="AH241" s="1915">
        <v>0</v>
      </c>
    </row>
    <row s="30541" customFormat="1" customHeight="1" ht="0.75" hidden="1">
      <c r="A242" s="2064"/>
      <c r="B242" s="2064"/>
      <c r="C242" s="653" t="s">
        <v>1238</v>
      </c>
      <c r="D242" s="2746"/>
      <c r="E242" s="2488"/>
      <c r="F242" s="2667"/>
      <c r="G242" s="684"/>
      <c r="H242" s="1784"/>
      <c r="I242" s="935"/>
      <c r="J242" s="855"/>
      <c r="K242" s="1784"/>
      <c r="L242" s="498"/>
      <c r="M242" s="625"/>
      <c r="N242" s="618"/>
      <c r="O242" s="1908"/>
      <c r="P242" s="1908"/>
      <c r="AH242" s="1915">
        <v>0</v>
      </c>
    </row>
    <row s="30541" customFormat="1" customHeight="1" ht="18.75" hidden="1">
      <c r="A243" s="2064" t="s">
        <v>253</v>
      </c>
      <c r="B243" s="2064" t="s">
        <v>254</v>
      </c>
      <c r="C243" s="653"/>
      <c r="D243" s="2746"/>
      <c r="E243" s="2488"/>
      <c r="F243" s="2667" t="str">
        <f>INDEX(PT_DIFFERENTIATION_VTAR,MATCH(A243,PT_DIFFERENTIATION_VTAR_ID,0))</f>
        <v>Плата за услуги по поддержанию резервной тепловой мощности при отсутствии потребления тепловой энергии</v>
      </c>
      <c r="G243" s="2711" t="str">
        <f>INDEX(PT_DIFFERENTIATION_NTAR,MATCH(B243,PT_DIFFERENTIATION_NTAR_ID,0))</f>
        <v/>
      </c>
      <c r="H243" s="2146"/>
      <c r="I243" s="2023"/>
      <c r="J243" s="2057"/>
      <c r="K243" s="2062"/>
      <c r="L243" s="2146" t="s">
        <v>366</v>
      </c>
      <c r="M243" s="625"/>
      <c r="N243" s="618"/>
      <c r="O243" s="1908"/>
      <c r="P243" s="1908"/>
      <c r="AH243" s="1915">
        <v>0</v>
      </c>
    </row>
    <row s="30541" customFormat="1" customHeight="1" ht="18.75" hidden="1">
      <c r="A244" s="2064"/>
      <c r="B244" s="2064"/>
      <c r="C244" s="653" t="s">
        <v>1230</v>
      </c>
      <c r="D244" s="2746"/>
      <c r="E244" s="2488"/>
      <c r="F244" s="2667"/>
      <c r="G244" s="2711"/>
      <c r="H244" s="1784"/>
      <c r="I244" s="935" t="s">
        <v>1229</v>
      </c>
      <c r="J244" s="855"/>
      <c r="K244" s="1784"/>
      <c r="L244" s="498"/>
      <c r="M244" s="625"/>
      <c r="N244" s="618"/>
      <c r="O244" s="1908"/>
      <c r="P244" s="1908"/>
      <c r="AH244" s="1915">
        <v>0</v>
      </c>
    </row>
    <row s="30541" customFormat="1" customHeight="1" ht="0.75" hidden="1">
      <c r="A245" s="2064"/>
      <c r="B245" s="2064"/>
      <c r="C245" s="653" t="s">
        <v>1238</v>
      </c>
      <c r="D245" s="2746"/>
      <c r="E245" s="2488"/>
      <c r="F245" s="2667"/>
      <c r="G245" s="684"/>
      <c r="H245" s="1784"/>
      <c r="I245" s="935"/>
      <c r="J245" s="855"/>
      <c r="K245" s="1784"/>
      <c r="L245" s="498"/>
      <c r="M245" s="625"/>
      <c r="N245" s="618"/>
      <c r="O245" s="1908"/>
      <c r="P245" s="1908"/>
      <c r="AH245" s="1915">
        <v>0</v>
      </c>
    </row>
    <row s="30541" customFormat="1" customHeight="1" ht="18.75" hidden="1">
      <c r="A246" s="2064" t="s">
        <v>259</v>
      </c>
      <c r="B246" s="2064" t="s">
        <v>260</v>
      </c>
      <c r="C246" s="653"/>
      <c r="D246" s="2746"/>
      <c r="E246" s="2488"/>
      <c r="F246" s="2667" t="str">
        <f>INDEX(PT_DIFFERENTIATION_VTAR,MATCH(A246,PT_DIFFERENTIATION_VTAR_ID,0))</f>
        <v>Плата за подключение (технологическое присоединение) к системе теплоснабжения</v>
      </c>
      <c r="G246" s="2711" t="str">
        <f>INDEX(PT_DIFFERENTIATION_NTAR,MATCH(B246,PT_DIFFERENTIATION_NTAR_ID,0))</f>
        <v/>
      </c>
      <c r="H246" s="2146"/>
      <c r="I246" s="2023"/>
      <c r="J246" s="2057"/>
      <c r="K246" s="2062"/>
      <c r="L246" s="2146" t="s">
        <v>366</v>
      </c>
      <c r="M246" s="625"/>
      <c r="N246" s="618"/>
      <c r="O246" s="1908"/>
      <c r="P246" s="1908"/>
      <c r="AH246" s="1915">
        <v>0</v>
      </c>
    </row>
    <row s="30541" customFormat="1" customHeight="1" ht="18.75" hidden="1">
      <c r="A247" s="2064"/>
      <c r="B247" s="2064"/>
      <c r="C247" s="653" t="s">
        <v>1230</v>
      </c>
      <c r="D247" s="2746"/>
      <c r="E247" s="2488"/>
      <c r="F247" s="2667"/>
      <c r="G247" s="2711"/>
      <c r="H247" s="1784"/>
      <c r="I247" s="935" t="s">
        <v>1229</v>
      </c>
      <c r="J247" s="855"/>
      <c r="K247" s="1784"/>
      <c r="L247" s="498"/>
      <c r="M247" s="625"/>
      <c r="N247" s="618"/>
      <c r="O247" s="1908"/>
      <c r="P247" s="1908"/>
      <c r="AH247" s="1915">
        <v>0</v>
      </c>
    </row>
    <row s="30541" customFormat="1" customHeight="1" ht="0.75" hidden="1">
      <c r="A248" s="2064"/>
      <c r="B248" s="2064"/>
      <c r="C248" s="653" t="s">
        <v>1238</v>
      </c>
      <c r="D248" s="2746"/>
      <c r="E248" s="2488"/>
      <c r="F248" s="2667"/>
      <c r="G248" s="684"/>
      <c r="H248" s="1784"/>
      <c r="I248" s="935"/>
      <c r="J248" s="855"/>
      <c r="K248" s="1784"/>
      <c r="L248" s="498"/>
      <c r="M248" s="625"/>
      <c r="N248" s="618"/>
      <c r="O248" s="1908"/>
      <c r="P248" s="1908"/>
      <c r="AH248" s="1915">
        <v>0</v>
      </c>
    </row>
    <row s="30541" customFormat="1" customHeight="1" ht="18.75" hidden="1">
      <c r="A249" s="2064" t="s">
        <v>265</v>
      </c>
      <c r="B249" s="2064" t="s">
        <v>266</v>
      </c>
      <c r="C249" s="653"/>
      <c r="D249" s="2746"/>
      <c r="E249" s="2488"/>
      <c r="F249" s="2667" t="str">
        <f>INDEX(PT_DIFFERENTIATION_VTAR,MATCH(A249,PT_DIFFERENTIATION_VTAR_ID,0))</f>
        <v>Плата за подключение (технологическое присоединение) к системе теплоснабжения (индивидуальная)</v>
      </c>
      <c r="G249" s="2711" t="str">
        <f>INDEX(PT_DIFFERENTIATION_NTAR,MATCH(B249,PT_DIFFERENTIATION_NTAR_ID,0))</f>
        <v/>
      </c>
      <c r="H249" s="2273"/>
      <c r="I249" s="2023"/>
      <c r="J249" s="2057"/>
      <c r="K249" s="2062"/>
      <c r="L249" s="2273" t="s">
        <v>366</v>
      </c>
      <c r="M249" s="625"/>
      <c r="N249" s="618"/>
      <c r="O249" s="1908"/>
      <c r="P249" s="1908"/>
      <c r="AH249" s="1915">
        <v>0</v>
      </c>
    </row>
    <row s="30541" customFormat="1" customHeight="1" ht="18.75" hidden="1">
      <c r="A250" s="2064"/>
      <c r="B250" s="2064"/>
      <c r="C250" s="653" t="s">
        <v>1230</v>
      </c>
      <c r="D250" s="2746"/>
      <c r="E250" s="2488"/>
      <c r="F250" s="2667"/>
      <c r="G250" s="2711"/>
      <c r="H250" s="1784"/>
      <c r="I250" s="935" t="s">
        <v>1229</v>
      </c>
      <c r="J250" s="855"/>
      <c r="K250" s="1784"/>
      <c r="L250" s="498"/>
      <c r="M250" s="625"/>
      <c r="N250" s="618"/>
      <c r="O250" s="1908"/>
      <c r="P250" s="1908"/>
      <c r="AH250" s="1915">
        <v>0</v>
      </c>
    </row>
    <row s="30541" customFormat="1" customHeight="1" ht="0.75" hidden="1">
      <c r="A251" s="2064"/>
      <c r="B251" s="2064"/>
      <c r="C251" s="653" t="s">
        <v>1238</v>
      </c>
      <c r="D251" s="2746"/>
      <c r="E251" s="2488"/>
      <c r="F251" s="2667"/>
      <c r="G251" s="684"/>
      <c r="H251" s="1784"/>
      <c r="I251" s="935"/>
      <c r="J251" s="855"/>
      <c r="K251" s="1784"/>
      <c r="L251" s="498"/>
      <c r="M251" s="625"/>
      <c r="N251" s="618"/>
      <c r="O251" s="1908"/>
      <c r="P251" s="1908"/>
      <c r="AH251" s="1915">
        <v>0</v>
      </c>
    </row>
    <row s="30541" customFormat="1" customHeight="1" ht="18.75" hidden="1">
      <c r="A252" s="2064" t="s">
        <v>285</v>
      </c>
      <c r="B252" s="2064" t="s">
        <v>286</v>
      </c>
      <c r="C252" s="653"/>
      <c r="D252" s="2746"/>
      <c r="E252" s="2488"/>
      <c r="F252" s="2667" t="str">
        <f>INDEX(PT_DIFFERENTIATION_VTAR,MATCH(A252,PT_DIFFERENTIATION_VTAR_ID,0))</f>
        <v>Тариф на питьевую воду (питьевое водоснабжение)</v>
      </c>
      <c r="G252" s="2711" t="str">
        <f>INDEX(PT_DIFFERENTIATION_NTAR,MATCH(B252,PT_DIFFERENTIATION_NTAR_ID,0))</f>
        <v/>
      </c>
      <c r="H252" s="2146"/>
      <c r="I252" s="2023"/>
      <c r="J252" s="2057"/>
      <c r="K252" s="2062"/>
      <c r="L252" s="2146" t="s">
        <v>366</v>
      </c>
      <c r="M252" s="625"/>
      <c r="N252" s="618"/>
      <c r="O252" s="1908"/>
      <c r="P252" s="1908"/>
      <c r="AH252" s="1915">
        <v>0</v>
      </c>
    </row>
    <row s="30541" customFormat="1" customHeight="1" ht="18.75" hidden="1">
      <c r="A253" s="2064"/>
      <c r="B253" s="2064"/>
      <c r="C253" s="653" t="s">
        <v>1230</v>
      </c>
      <c r="D253" s="2746"/>
      <c r="E253" s="2488"/>
      <c r="F253" s="2667"/>
      <c r="G253" s="2711"/>
      <c r="H253" s="1784"/>
      <c r="I253" s="935" t="s">
        <v>1229</v>
      </c>
      <c r="J253" s="855"/>
      <c r="K253" s="1784"/>
      <c r="L253" s="498"/>
      <c r="M253" s="625"/>
      <c r="N253" s="618"/>
      <c r="O253" s="1908"/>
      <c r="P253" s="1908"/>
      <c r="AH253" s="1915">
        <v>0</v>
      </c>
    </row>
    <row s="30541" customFormat="1" customHeight="1" ht="0.75" hidden="1">
      <c r="A254" s="2064"/>
      <c r="B254" s="2064"/>
      <c r="C254" s="653" t="s">
        <v>1238</v>
      </c>
      <c r="D254" s="2746"/>
      <c r="E254" s="2488"/>
      <c r="F254" s="2667"/>
      <c r="G254" s="684"/>
      <c r="H254" s="1784"/>
      <c r="I254" s="935"/>
      <c r="J254" s="855"/>
      <c r="K254" s="1784"/>
      <c r="L254" s="498"/>
      <c r="M254" s="625"/>
      <c r="N254" s="618"/>
      <c r="O254" s="1908"/>
      <c r="P254" s="1908"/>
      <c r="AH254" s="1915">
        <v>0</v>
      </c>
    </row>
    <row s="30541" customFormat="1" customHeight="1" ht="18.75" hidden="1">
      <c r="A255" s="2064" t="s">
        <v>290</v>
      </c>
      <c r="B255" s="2064" t="s">
        <v>291</v>
      </c>
      <c r="C255" s="653"/>
      <c r="D255" s="2746"/>
      <c r="E255" s="2488"/>
      <c r="F255" s="2667" t="str">
        <f>INDEX(PT_DIFFERENTIATION_VTAR,MATCH(A255,PT_DIFFERENTIATION_VTAR_ID,0))</f>
        <v>Тариф на техническую воду</v>
      </c>
      <c r="G255" s="2711" t="str">
        <f>INDEX(PT_DIFFERENTIATION_NTAR,MATCH(B255,PT_DIFFERENTIATION_NTAR_ID,0))</f>
        <v/>
      </c>
      <c r="H255" s="2146"/>
      <c r="I255" s="2023"/>
      <c r="J255" s="2057"/>
      <c r="K255" s="2062"/>
      <c r="L255" s="2146" t="s">
        <v>366</v>
      </c>
      <c r="M255" s="625"/>
      <c r="N255" s="618"/>
      <c r="O255" s="1908"/>
      <c r="P255" s="1908"/>
      <c r="AH255" s="1915">
        <v>0</v>
      </c>
    </row>
    <row s="30541" customFormat="1" customHeight="1" ht="18.75" hidden="1">
      <c r="A256" s="2064"/>
      <c r="B256" s="2064"/>
      <c r="C256" s="653" t="s">
        <v>1230</v>
      </c>
      <c r="D256" s="2746"/>
      <c r="E256" s="2488"/>
      <c r="F256" s="2667"/>
      <c r="G256" s="2711"/>
      <c r="H256" s="1784"/>
      <c r="I256" s="935" t="s">
        <v>1229</v>
      </c>
      <c r="J256" s="855"/>
      <c r="K256" s="1784"/>
      <c r="L256" s="498"/>
      <c r="M256" s="625"/>
      <c r="N256" s="618"/>
      <c r="O256" s="1908"/>
      <c r="P256" s="1908"/>
      <c r="AH256" s="1915">
        <v>0</v>
      </c>
    </row>
    <row s="30541" customFormat="1" customHeight="1" ht="0.75" hidden="1">
      <c r="A257" s="2064"/>
      <c r="B257" s="2064"/>
      <c r="C257" s="653" t="s">
        <v>1238</v>
      </c>
      <c r="D257" s="2746"/>
      <c r="E257" s="2488"/>
      <c r="F257" s="2667"/>
      <c r="G257" s="684"/>
      <c r="H257" s="1784"/>
      <c r="I257" s="935"/>
      <c r="J257" s="855"/>
      <c r="K257" s="1784"/>
      <c r="L257" s="498"/>
      <c r="M257" s="625"/>
      <c r="N257" s="618"/>
      <c r="O257" s="1908"/>
      <c r="P257" s="1908"/>
      <c r="AH257" s="1915">
        <v>0</v>
      </c>
    </row>
    <row s="30541" customFormat="1" customHeight="1" ht="18.75" hidden="1">
      <c r="A258" s="2064" t="s">
        <v>295</v>
      </c>
      <c r="B258" s="2064" t="s">
        <v>296</v>
      </c>
      <c r="C258" s="653"/>
      <c r="D258" s="2746"/>
      <c r="E258" s="2488"/>
      <c r="F258" s="2667" t="str">
        <f>INDEX(PT_DIFFERENTIATION_VTAR,MATCH(A258,PT_DIFFERENTIATION_VTAR_ID,0))</f>
        <v>Тариф на транспортировку воды</v>
      </c>
      <c r="G258" s="2711" t="str">
        <f>INDEX(PT_DIFFERENTIATION_NTAR,MATCH(B258,PT_DIFFERENTIATION_NTAR_ID,0))</f>
        <v/>
      </c>
      <c r="H258" s="2146"/>
      <c r="I258" s="2023"/>
      <c r="J258" s="2057"/>
      <c r="K258" s="2062"/>
      <c r="L258" s="2146" t="s">
        <v>366</v>
      </c>
      <c r="M258" s="625"/>
      <c r="N258" s="618"/>
      <c r="O258" s="1908"/>
      <c r="P258" s="1908"/>
      <c r="AH258" s="1915">
        <v>0</v>
      </c>
    </row>
    <row s="30541" customFormat="1" customHeight="1" ht="18.75" hidden="1">
      <c r="A259" s="2064"/>
      <c r="B259" s="2064"/>
      <c r="C259" s="653" t="s">
        <v>1230</v>
      </c>
      <c r="D259" s="2746"/>
      <c r="E259" s="2488"/>
      <c r="F259" s="2667"/>
      <c r="G259" s="2711"/>
      <c r="H259" s="1784"/>
      <c r="I259" s="935" t="s">
        <v>1229</v>
      </c>
      <c r="J259" s="855"/>
      <c r="K259" s="1784"/>
      <c r="L259" s="498"/>
      <c r="M259" s="625"/>
      <c r="N259" s="618"/>
      <c r="O259" s="1908"/>
      <c r="P259" s="1908"/>
      <c r="AH259" s="1915">
        <v>0</v>
      </c>
    </row>
    <row s="30541" customFormat="1" customHeight="1" ht="0.75" hidden="1">
      <c r="A260" s="2064"/>
      <c r="B260" s="2064"/>
      <c r="C260" s="653" t="s">
        <v>1238</v>
      </c>
      <c r="D260" s="2746"/>
      <c r="E260" s="2488"/>
      <c r="F260" s="2667"/>
      <c r="G260" s="684"/>
      <c r="H260" s="1784"/>
      <c r="I260" s="935"/>
      <c r="J260" s="855"/>
      <c r="K260" s="1784"/>
      <c r="L260" s="498"/>
      <c r="M260" s="625"/>
      <c r="N260" s="618"/>
      <c r="O260" s="1908"/>
      <c r="P260" s="1908"/>
      <c r="AH260" s="1915">
        <v>0</v>
      </c>
    </row>
    <row s="30541" customFormat="1" customHeight="1" ht="18.75" hidden="1">
      <c r="A261" s="2064" t="s">
        <v>300</v>
      </c>
      <c r="B261" s="2064" t="s">
        <v>301</v>
      </c>
      <c r="C261" s="653"/>
      <c r="D261" s="2746"/>
      <c r="E261" s="2488"/>
      <c r="F261" s="2667" t="str">
        <f>INDEX(PT_DIFFERENTIATION_VTAR,MATCH(A261,PT_DIFFERENTIATION_VTAR_ID,0))</f>
        <v>Тариф на подвоз воды</v>
      </c>
      <c r="G261" s="2711" t="str">
        <f>INDEX(PT_DIFFERENTIATION_NTAR,MATCH(B261,PT_DIFFERENTIATION_NTAR_ID,0))</f>
        <v/>
      </c>
      <c r="H261" s="2146"/>
      <c r="I261" s="2023"/>
      <c r="J261" s="2057"/>
      <c r="K261" s="2062"/>
      <c r="L261" s="2146" t="s">
        <v>366</v>
      </c>
      <c r="M261" s="625"/>
      <c r="N261" s="618"/>
      <c r="O261" s="1908"/>
      <c r="P261" s="1908"/>
      <c r="AH261" s="1915">
        <v>0</v>
      </c>
    </row>
    <row s="30541" customFormat="1" customHeight="1" ht="18.75" hidden="1">
      <c r="A262" s="2064"/>
      <c r="B262" s="2064"/>
      <c r="C262" s="653" t="s">
        <v>1230</v>
      </c>
      <c r="D262" s="2746"/>
      <c r="E262" s="2488"/>
      <c r="F262" s="2667"/>
      <c r="G262" s="2711"/>
      <c r="H262" s="1784"/>
      <c r="I262" s="935" t="s">
        <v>1229</v>
      </c>
      <c r="J262" s="855"/>
      <c r="K262" s="1784"/>
      <c r="L262" s="498"/>
      <c r="M262" s="625"/>
      <c r="N262" s="618"/>
      <c r="O262" s="1908"/>
      <c r="P262" s="1908"/>
      <c r="AH262" s="1915">
        <v>0</v>
      </c>
    </row>
    <row s="30541" customFormat="1" customHeight="1" ht="0.75" hidden="1">
      <c r="A263" s="2064"/>
      <c r="B263" s="2064"/>
      <c r="C263" s="653" t="s">
        <v>1238</v>
      </c>
      <c r="D263" s="2746"/>
      <c r="E263" s="2488"/>
      <c r="F263" s="2667"/>
      <c r="G263" s="684"/>
      <c r="H263" s="1784"/>
      <c r="I263" s="935"/>
      <c r="J263" s="855"/>
      <c r="K263" s="1784"/>
      <c r="L263" s="498"/>
      <c r="M263" s="625"/>
      <c r="N263" s="618"/>
      <c r="O263" s="1908"/>
      <c r="P263" s="1908"/>
      <c r="AH263" s="1915">
        <v>0</v>
      </c>
    </row>
    <row s="30541" customFormat="1" customHeight="1" ht="18.75" hidden="1">
      <c r="A264" s="2064" t="s">
        <v>305</v>
      </c>
      <c r="B264" s="2064" t="s">
        <v>306</v>
      </c>
      <c r="C264" s="653"/>
      <c r="D264" s="2746"/>
      <c r="E264" s="2488"/>
      <c r="F264" s="2667" t="str">
        <f>INDEX(PT_DIFFERENTIATION_VTAR,MATCH(A264,PT_DIFFERENTIATION_VTAR_ID,0))</f>
        <v>Тариф на подключение (технологическое присоединение) к централизованной системе холодного водоснабжения</v>
      </c>
      <c r="G264" s="2711" t="str">
        <f>INDEX(PT_DIFFERENTIATION_NTAR,MATCH(B264,PT_DIFFERENTIATION_NTAR_ID,0))</f>
        <v/>
      </c>
      <c r="H264" s="2146"/>
      <c r="I264" s="2023"/>
      <c r="J264" s="2057"/>
      <c r="K264" s="2062"/>
      <c r="L264" s="2146" t="s">
        <v>366</v>
      </c>
      <c r="M264" s="625"/>
      <c r="N264" s="618"/>
      <c r="O264" s="1908"/>
      <c r="P264" s="1908"/>
      <c r="AH264" s="1915">
        <v>0</v>
      </c>
    </row>
    <row s="30541" customFormat="1" customHeight="1" ht="18.75" hidden="1">
      <c r="A265" s="2064"/>
      <c r="B265" s="2064"/>
      <c r="C265" s="653" t="s">
        <v>1230</v>
      </c>
      <c r="D265" s="2746"/>
      <c r="E265" s="2488"/>
      <c r="F265" s="2667"/>
      <c r="G265" s="2711"/>
      <c r="H265" s="1784"/>
      <c r="I265" s="935" t="s">
        <v>1229</v>
      </c>
      <c r="J265" s="855"/>
      <c r="K265" s="1784"/>
      <c r="L265" s="498"/>
      <c r="M265" s="625"/>
      <c r="N265" s="618"/>
      <c r="O265" s="1908"/>
      <c r="P265" s="1908"/>
      <c r="AH265" s="1915">
        <v>0</v>
      </c>
    </row>
    <row s="30541" customFormat="1" customHeight="1" ht="0.75" hidden="1">
      <c r="A266" s="2064"/>
      <c r="B266" s="2064"/>
      <c r="C266" s="653" t="s">
        <v>1238</v>
      </c>
      <c r="D266" s="2746"/>
      <c r="E266" s="2488"/>
      <c r="F266" s="2667"/>
      <c r="G266" s="684"/>
      <c r="H266" s="1784"/>
      <c r="I266" s="935"/>
      <c r="J266" s="855"/>
      <c r="K266" s="1784"/>
      <c r="L266" s="498"/>
      <c r="M266" s="625"/>
      <c r="N266" s="618"/>
      <c r="O266" s="1908"/>
      <c r="P266" s="1908"/>
      <c r="AH266" s="1915">
        <v>0</v>
      </c>
    </row>
    <row s="30541" customFormat="1" customHeight="1" ht="18.75" hidden="1">
      <c r="A267" s="2064" t="s">
        <v>310</v>
      </c>
      <c r="B267" s="2064" t="s">
        <v>311</v>
      </c>
      <c r="C267" s="653"/>
      <c r="D267" s="2746"/>
      <c r="E267" s="2488"/>
      <c r="F267" s="2667" t="str">
        <f>INDEX(PT_DIFFERENTIATION_VTAR,MATCH(A267,PT_DIFFERENTIATION_VTAR_ID,0))</f>
        <v>Тариф на горячую воду (горячее водоснабжение)</v>
      </c>
      <c r="G267" s="2711" t="str">
        <f>INDEX(PT_DIFFERENTIATION_NTAR,MATCH(B267,PT_DIFFERENTIATION_NTAR_ID,0))</f>
        <v/>
      </c>
      <c r="H267" s="2146"/>
      <c r="I267" s="2023"/>
      <c r="J267" s="2057"/>
      <c r="K267" s="2062"/>
      <c r="L267" s="2146" t="s">
        <v>366</v>
      </c>
      <c r="M267" s="625"/>
      <c r="N267" s="618"/>
      <c r="O267" s="1908"/>
      <c r="P267" s="1908"/>
      <c r="AH267" s="1915">
        <v>0</v>
      </c>
    </row>
    <row s="30541" customFormat="1" customHeight="1" ht="18.75" hidden="1">
      <c r="A268" s="2064"/>
      <c r="B268" s="2064"/>
      <c r="C268" s="653" t="s">
        <v>1230</v>
      </c>
      <c r="D268" s="2746"/>
      <c r="E268" s="2488"/>
      <c r="F268" s="2667"/>
      <c r="G268" s="2711"/>
      <c r="H268" s="1784"/>
      <c r="I268" s="935" t="s">
        <v>1229</v>
      </c>
      <c r="J268" s="855"/>
      <c r="K268" s="1784"/>
      <c r="L268" s="498"/>
      <c r="M268" s="625"/>
      <c r="N268" s="618"/>
      <c r="O268" s="1908"/>
      <c r="P268" s="1908"/>
      <c r="AH268" s="1915">
        <v>0</v>
      </c>
    </row>
    <row s="30541" customFormat="1" customHeight="1" ht="0.75" hidden="1">
      <c r="A269" s="2064"/>
      <c r="B269" s="2064"/>
      <c r="C269" s="653" t="s">
        <v>1238</v>
      </c>
      <c r="D269" s="2746"/>
      <c r="E269" s="2488"/>
      <c r="F269" s="2667"/>
      <c r="G269" s="684"/>
      <c r="H269" s="1784"/>
      <c r="I269" s="935"/>
      <c r="J269" s="855"/>
      <c r="K269" s="1784"/>
      <c r="L269" s="498"/>
      <c r="M269" s="625"/>
      <c r="N269" s="618"/>
      <c r="O269" s="1908"/>
      <c r="P269" s="1908"/>
      <c r="AH269" s="1915">
        <v>0</v>
      </c>
    </row>
    <row s="30541" customFormat="1" customHeight="1" ht="18.75" hidden="1">
      <c r="A270" s="2064" t="s">
        <v>315</v>
      </c>
      <c r="B270" s="2064" t="s">
        <v>316</v>
      </c>
      <c r="C270" s="653"/>
      <c r="D270" s="2746"/>
      <c r="E270" s="2488"/>
      <c r="F270" s="2667" t="str">
        <f>INDEX(PT_DIFFERENTIATION_VTAR,MATCH(A270,PT_DIFFERENTIATION_VTAR_ID,0))</f>
        <v>Тариф на транспортировку горячей воды</v>
      </c>
      <c r="G270" s="2711" t="str">
        <f>INDEX(PT_DIFFERENTIATION_NTAR,MATCH(B270,PT_DIFFERENTIATION_NTAR_ID,0))</f>
        <v/>
      </c>
      <c r="H270" s="2146"/>
      <c r="I270" s="2023"/>
      <c r="J270" s="2057"/>
      <c r="K270" s="2062"/>
      <c r="L270" s="2146" t="s">
        <v>366</v>
      </c>
      <c r="M270" s="625"/>
      <c r="N270" s="618"/>
      <c r="O270" s="1908"/>
      <c r="P270" s="1908"/>
      <c r="AH270" s="1915">
        <v>0</v>
      </c>
    </row>
    <row s="30541" customFormat="1" customHeight="1" ht="18.75" hidden="1">
      <c r="A271" s="2064"/>
      <c r="B271" s="2064"/>
      <c r="C271" s="653" t="s">
        <v>1230</v>
      </c>
      <c r="D271" s="2746"/>
      <c r="E271" s="2488"/>
      <c r="F271" s="2667"/>
      <c r="G271" s="2711"/>
      <c r="H271" s="1784"/>
      <c r="I271" s="935" t="s">
        <v>1229</v>
      </c>
      <c r="J271" s="855"/>
      <c r="K271" s="1784"/>
      <c r="L271" s="498"/>
      <c r="M271" s="625"/>
      <c r="N271" s="618"/>
      <c r="O271" s="1908"/>
      <c r="P271" s="1908"/>
      <c r="AH271" s="1915">
        <v>0</v>
      </c>
    </row>
    <row s="30541" customFormat="1" customHeight="1" ht="0.75" hidden="1">
      <c r="A272" s="2064"/>
      <c r="B272" s="2064"/>
      <c r="C272" s="653" t="s">
        <v>1238</v>
      </c>
      <c r="D272" s="2746"/>
      <c r="E272" s="2488"/>
      <c r="F272" s="2667"/>
      <c r="G272" s="684"/>
      <c r="H272" s="1784"/>
      <c r="I272" s="935"/>
      <c r="J272" s="855"/>
      <c r="K272" s="1784"/>
      <c r="L272" s="498"/>
      <c r="M272" s="625"/>
      <c r="N272" s="618"/>
      <c r="O272" s="1908"/>
      <c r="P272" s="1908"/>
      <c r="AH272" s="1915">
        <v>0</v>
      </c>
    </row>
    <row s="30541" customFormat="1" customHeight="1" ht="18.75" hidden="1">
      <c r="A273" s="2064" t="s">
        <v>320</v>
      </c>
      <c r="B273" s="2064" t="s">
        <v>321</v>
      </c>
      <c r="C273" s="653"/>
      <c r="D273" s="2746"/>
      <c r="E273" s="2488"/>
      <c r="F273" s="2667" t="str">
        <f>INDEX(PT_DIFFERENTIATION_VTAR,MATCH(A273,PT_DIFFERENTIATION_VTAR_ID,0))</f>
        <v>Тариф на подключение (технологическое присоединение) к централизованной системе горячего водоснабжения</v>
      </c>
      <c r="G273" s="2711" t="str">
        <f>INDEX(PT_DIFFERENTIATION_NTAR,MATCH(B273,PT_DIFFERENTIATION_NTAR_ID,0))</f>
        <v/>
      </c>
      <c r="H273" s="2146"/>
      <c r="I273" s="2023"/>
      <c r="J273" s="2057"/>
      <c r="K273" s="2062"/>
      <c r="L273" s="2146" t="s">
        <v>366</v>
      </c>
      <c r="M273" s="625"/>
      <c r="N273" s="618"/>
      <c r="O273" s="1908"/>
      <c r="P273" s="1908"/>
      <c r="AH273" s="1915">
        <v>0</v>
      </c>
    </row>
    <row s="30541" customFormat="1" customHeight="1" ht="18.75" hidden="1">
      <c r="A274" s="2064"/>
      <c r="B274" s="2064"/>
      <c r="C274" s="653" t="s">
        <v>1230</v>
      </c>
      <c r="D274" s="2746"/>
      <c r="E274" s="2488"/>
      <c r="F274" s="2667"/>
      <c r="G274" s="2711"/>
      <c r="H274" s="1784"/>
      <c r="I274" s="935" t="s">
        <v>1229</v>
      </c>
      <c r="J274" s="855"/>
      <c r="K274" s="1784"/>
      <c r="L274" s="498"/>
      <c r="M274" s="625"/>
      <c r="N274" s="618"/>
      <c r="O274" s="1908"/>
      <c r="P274" s="1908"/>
      <c r="AH274" s="1915">
        <v>0</v>
      </c>
    </row>
    <row s="30541" customFormat="1" customHeight="1" ht="0.75" hidden="1">
      <c r="A275" s="2064"/>
      <c r="B275" s="2064"/>
      <c r="C275" s="653" t="s">
        <v>1238</v>
      </c>
      <c r="D275" s="2746"/>
      <c r="E275" s="2488"/>
      <c r="F275" s="2667"/>
      <c r="G275" s="684"/>
      <c r="H275" s="1784"/>
      <c r="I275" s="935"/>
      <c r="J275" s="855"/>
      <c r="K275" s="1784"/>
      <c r="L275" s="498"/>
      <c r="M275" s="625"/>
      <c r="N275" s="618"/>
      <c r="O275" s="1908"/>
      <c r="P275" s="1908"/>
      <c r="AH275" s="1915">
        <v>0</v>
      </c>
    </row>
    <row s="30541" customFormat="1" customHeight="1" ht="18.75" hidden="1">
      <c r="A276" s="2064" t="s">
        <v>325</v>
      </c>
      <c r="B276" s="2064" t="s">
        <v>326</v>
      </c>
      <c r="C276" s="653"/>
      <c r="D276" s="2746"/>
      <c r="E276" s="2488"/>
      <c r="F276" s="2667" t="str">
        <f>INDEX(PT_DIFFERENTIATION_VTAR,MATCH(A276,PT_DIFFERENTIATION_VTAR_ID,0))</f>
        <v>Тариф на водоотведение</v>
      </c>
      <c r="G276" s="2711" t="str">
        <f>INDEX(PT_DIFFERENTIATION_NTAR,MATCH(B276,PT_DIFFERENTIATION_NTAR_ID,0))</f>
        <v/>
      </c>
      <c r="H276" s="2146"/>
      <c r="I276" s="2023"/>
      <c r="J276" s="2057"/>
      <c r="K276" s="2062"/>
      <c r="L276" s="2146" t="s">
        <v>366</v>
      </c>
      <c r="M276" s="625"/>
      <c r="N276" s="618"/>
      <c r="O276" s="1908"/>
      <c r="P276" s="1908"/>
      <c r="AH276" s="1915">
        <v>0</v>
      </c>
    </row>
    <row s="30541" customFormat="1" customHeight="1" ht="18.75" hidden="1">
      <c r="A277" s="2064"/>
      <c r="B277" s="2064"/>
      <c r="C277" s="653" t="s">
        <v>1230</v>
      </c>
      <c r="D277" s="2746"/>
      <c r="E277" s="2488"/>
      <c r="F277" s="2667"/>
      <c r="G277" s="2711"/>
      <c r="H277" s="1784"/>
      <c r="I277" s="935" t="s">
        <v>1229</v>
      </c>
      <c r="J277" s="855"/>
      <c r="K277" s="1784"/>
      <c r="L277" s="498"/>
      <c r="M277" s="625"/>
      <c r="N277" s="618"/>
      <c r="O277" s="1908"/>
      <c r="P277" s="1908"/>
      <c r="AH277" s="1915">
        <v>0</v>
      </c>
    </row>
    <row s="30541" customFormat="1" customHeight="1" ht="0.75" hidden="1">
      <c r="A278" s="2064"/>
      <c r="B278" s="2064"/>
      <c r="C278" s="653" t="s">
        <v>1238</v>
      </c>
      <c r="D278" s="2746"/>
      <c r="E278" s="2488"/>
      <c r="F278" s="2667"/>
      <c r="G278" s="684"/>
      <c r="H278" s="1784"/>
      <c r="I278" s="935"/>
      <c r="J278" s="855"/>
      <c r="K278" s="1784"/>
      <c r="L278" s="498"/>
      <c r="M278" s="625"/>
      <c r="N278" s="618"/>
      <c r="O278" s="1908"/>
      <c r="P278" s="1908"/>
      <c r="AH278" s="1915">
        <v>0</v>
      </c>
    </row>
    <row s="30541" customFormat="1" customHeight="1" ht="18.75" hidden="1">
      <c r="A279" s="2064" t="s">
        <v>330</v>
      </c>
      <c r="B279" s="2064" t="s">
        <v>331</v>
      </c>
      <c r="C279" s="653"/>
      <c r="D279" s="2746"/>
      <c r="E279" s="2488"/>
      <c r="F279" s="2667" t="str">
        <f>INDEX(PT_DIFFERENTIATION_VTAR,MATCH(A279,PT_DIFFERENTIATION_VTAR_ID,0))</f>
        <v>Тариф на транспортировку сточных вод</v>
      </c>
      <c r="G279" s="2711" t="str">
        <f>INDEX(PT_DIFFERENTIATION_NTAR,MATCH(B279,PT_DIFFERENTIATION_NTAR_ID,0))</f>
        <v/>
      </c>
      <c r="H279" s="2146"/>
      <c r="I279" s="2023"/>
      <c r="J279" s="2057"/>
      <c r="K279" s="2062"/>
      <c r="L279" s="2146" t="s">
        <v>366</v>
      </c>
      <c r="M279" s="625"/>
      <c r="N279" s="618"/>
      <c r="O279" s="1908"/>
      <c r="P279" s="1908"/>
      <c r="AH279" s="1915">
        <v>0</v>
      </c>
    </row>
    <row s="30541" customFormat="1" customHeight="1" ht="18.75" hidden="1">
      <c r="A280" s="2064"/>
      <c r="B280" s="2064"/>
      <c r="C280" s="653" t="s">
        <v>1230</v>
      </c>
      <c r="D280" s="2746"/>
      <c r="E280" s="2488"/>
      <c r="F280" s="2667"/>
      <c r="G280" s="2711"/>
      <c r="H280" s="1784"/>
      <c r="I280" s="935" t="s">
        <v>1229</v>
      </c>
      <c r="J280" s="855"/>
      <c r="K280" s="1784"/>
      <c r="L280" s="498"/>
      <c r="M280" s="625"/>
      <c r="N280" s="618"/>
      <c r="O280" s="1908"/>
      <c r="P280" s="1908"/>
      <c r="AH280" s="1915">
        <v>0</v>
      </c>
    </row>
    <row s="30541" customFormat="1" customHeight="1" ht="0.75" hidden="1">
      <c r="A281" s="2064"/>
      <c r="B281" s="2064"/>
      <c r="C281" s="653" t="s">
        <v>1238</v>
      </c>
      <c r="D281" s="2746"/>
      <c r="E281" s="2488"/>
      <c r="F281" s="2667"/>
      <c r="G281" s="684"/>
      <c r="H281" s="1784"/>
      <c r="I281" s="935"/>
      <c r="J281" s="855"/>
      <c r="K281" s="1784"/>
      <c r="L281" s="498"/>
      <c r="M281" s="625"/>
      <c r="N281" s="618"/>
      <c r="O281" s="1908"/>
      <c r="P281" s="1908"/>
      <c r="AH281" s="1915">
        <v>0</v>
      </c>
    </row>
    <row s="30541" customFormat="1" customHeight="1" ht="18.75" hidden="1">
      <c r="A282" s="2064" t="s">
        <v>335</v>
      </c>
      <c r="B282" s="2064" t="s">
        <v>336</v>
      </c>
      <c r="C282" s="653"/>
      <c r="D282" s="2746"/>
      <c r="E282" s="2488"/>
      <c r="F282" s="2667" t="str">
        <f>INDEX(PT_DIFFERENTIATION_VTAR,MATCH(A282,PT_DIFFERENTIATION_VTAR_ID,0))</f>
        <v>Тариф на подключение (технологическое присоединение) к централизованной системе водоотведения</v>
      </c>
      <c r="G282" s="2711" t="str">
        <f>INDEX(PT_DIFFERENTIATION_NTAR,MATCH(B282,PT_DIFFERENTIATION_NTAR_ID,0))</f>
        <v/>
      </c>
      <c r="H282" s="2146"/>
      <c r="I282" s="2023"/>
      <c r="J282" s="2057"/>
      <c r="K282" s="2062"/>
      <c r="L282" s="2146" t="s">
        <v>366</v>
      </c>
      <c r="M282" s="625"/>
      <c r="N282" s="618"/>
      <c r="O282" s="1908"/>
      <c r="P282" s="1908"/>
      <c r="AH282" s="1915">
        <v>0</v>
      </c>
    </row>
    <row s="30541" customFormat="1" customHeight="1" ht="18.75" hidden="1">
      <c r="A283" s="2064"/>
      <c r="B283" s="2064"/>
      <c r="C283" s="653" t="s">
        <v>1230</v>
      </c>
      <c r="D283" s="2746"/>
      <c r="E283" s="2488"/>
      <c r="F283" s="2667"/>
      <c r="G283" s="2711"/>
      <c r="H283" s="1784"/>
      <c r="I283" s="935" t="s">
        <v>1229</v>
      </c>
      <c r="J283" s="855"/>
      <c r="K283" s="1784"/>
      <c r="L283" s="498"/>
      <c r="M283" s="625"/>
      <c r="N283" s="618"/>
      <c r="O283" s="1908"/>
      <c r="P283" s="1908"/>
      <c r="AH283" s="1915">
        <v>0</v>
      </c>
    </row>
    <row s="30541" customFormat="1" customHeight="1" ht="1.05">
      <c r="A284" s="2064"/>
      <c r="B284" s="2064"/>
      <c r="C284" s="653" t="s">
        <v>1238</v>
      </c>
      <c r="D284" s="2746"/>
      <c r="E284" s="2488"/>
      <c r="F284" s="2667"/>
      <c r="G284" s="684"/>
      <c r="H284" s="1784"/>
      <c r="I284" s="935"/>
      <c r="J284" s="855"/>
      <c r="K284" s="1784"/>
      <c r="L284" s="498"/>
      <c r="M284" s="625"/>
      <c r="N284" s="618"/>
      <c r="O284" s="1908"/>
      <c r="P284" s="1908"/>
      <c r="AH284" s="1915">
        <v>1</v>
      </c>
    </row>
    <row customHeight="1" ht="27.299999999999997">
      <c r="A285" s="2064"/>
      <c r="B285" s="2064"/>
      <c r="D285" s="660"/>
      <c r="E285" s="431" t="s">
        <v>95</v>
      </c>
      <c r="F285" s="274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5" s="2744"/>
      <c r="H285" s="2744"/>
      <c r="I285" s="2744"/>
      <c r="J285" s="2744"/>
      <c r="K285" s="2744"/>
      <c r="L285" s="2744"/>
      <c r="M285" s="581"/>
      <c r="N285" s="618"/>
      <c r="AH285" s="658">
        <v>26</v>
      </c>
    </row>
    <row s="30541" customFormat="1" customHeight="1" ht="60.75" hidden="1">
      <c r="A286" s="2064" t="s">
        <v>185</v>
      </c>
      <c r="B286" s="2064" t="s">
        <v>186</v>
      </c>
      <c r="C286" s="653"/>
      <c r="D286" s="2746"/>
      <c r="E286" s="2488"/>
      <c r="F286" s="2667" t="str">
        <f>INDEX(PT_DIFFERENTIATION_VTAR,MATCH(A286,PT_DIFFERENTIATION_VTAR_ID,0))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6" s="2711" t="str">
        <f>INDEX(PT_DIFFERENTIATION_NTAR,MATCH(B286,PT_DIFFERENTIATION_NTAR_ID,0))</f>
        <v/>
      </c>
      <c r="H286" s="2146"/>
      <c r="I286" s="2023"/>
      <c r="J286" s="2057"/>
      <c r="K286" s="2062"/>
      <c r="L286" s="2146" t="s">
        <v>366</v>
      </c>
      <c r="M286" s="245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6" s="618"/>
      <c r="O286" s="1908"/>
      <c r="P286" s="1908"/>
      <c r="AH286" s="1915">
        <v>0</v>
      </c>
    </row>
    <row s="30541" customFormat="1" customHeight="1" ht="18.75" hidden="1">
      <c r="A287" s="2064"/>
      <c r="B287" s="2064"/>
      <c r="C287" s="653" t="s">
        <v>1230</v>
      </c>
      <c r="D287" s="2746"/>
      <c r="E287" s="2488"/>
      <c r="F287" s="2667"/>
      <c r="G287" s="2711"/>
      <c r="H287" s="1784"/>
      <c r="I287" s="935" t="s">
        <v>1229</v>
      </c>
      <c r="J287" s="855"/>
      <c r="K287" s="1784"/>
      <c r="L287" s="498"/>
      <c r="M287" s="2454"/>
      <c r="N287" s="618"/>
      <c r="O287" s="1908"/>
      <c r="P287" s="1908"/>
      <c r="AH287" s="1915">
        <v>0</v>
      </c>
    </row>
    <row s="30541" customFormat="1" customHeight="1" ht="0.75" hidden="1">
      <c r="A288" s="2064"/>
      <c r="B288" s="2064"/>
      <c r="C288" s="653" t="s">
        <v>1238</v>
      </c>
      <c r="D288" s="2746"/>
      <c r="E288" s="2488"/>
      <c r="F288" s="2667"/>
      <c r="G288" s="684"/>
      <c r="H288" s="1784"/>
      <c r="I288" s="935"/>
      <c r="J288" s="855"/>
      <c r="K288" s="1784"/>
      <c r="L288" s="498"/>
      <c r="M288" s="2454"/>
      <c r="N288" s="618"/>
      <c r="O288" s="1908"/>
      <c r="P288" s="1908"/>
      <c r="AH288" s="1915">
        <v>0</v>
      </c>
    </row>
    <row s="30541" customFormat="1" customHeight="1" ht="45" hidden="1">
      <c r="A289" s="2064" t="s">
        <v>191</v>
      </c>
      <c r="B289" s="2064" t="s">
        <v>192</v>
      </c>
      <c r="C289" s="653"/>
      <c r="D289" s="2746"/>
      <c r="E289" s="2488"/>
      <c r="F289" s="2667" t="str">
        <f>INDEX(PT_DIFFERENTIATION_VTAR,MATCH(A289,PT_DIFFERENTIATION_VTAR_ID,0))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9" s="2711" t="str">
        <f>INDEX(PT_DIFFERENTIATION_NTAR,MATCH(B289,PT_DIFFERENTIATION_NTAR_ID,0))</f>
        <v/>
      </c>
      <c r="H289" s="2146"/>
      <c r="I289" s="2023"/>
      <c r="J289" s="2057"/>
      <c r="K289" s="2062"/>
      <c r="L289" s="2146" t="s">
        <v>366</v>
      </c>
      <c r="M289" s="2455"/>
      <c r="N289" s="618"/>
      <c r="O289" s="1908"/>
      <c r="P289" s="1908"/>
      <c r="AH289" s="1915">
        <v>0</v>
      </c>
    </row>
    <row s="30541" customFormat="1" customHeight="1" ht="18.75" hidden="1">
      <c r="A290" s="2064"/>
      <c r="B290" s="2064"/>
      <c r="C290" s="653" t="s">
        <v>1230</v>
      </c>
      <c r="D290" s="2746"/>
      <c r="E290" s="2488"/>
      <c r="F290" s="2667"/>
      <c r="G290" s="2711"/>
      <c r="H290" s="1784"/>
      <c r="I290" s="935" t="s">
        <v>1229</v>
      </c>
      <c r="J290" s="855"/>
      <c r="K290" s="1784"/>
      <c r="L290" s="498"/>
      <c r="M290" s="2145"/>
      <c r="N290" s="618"/>
      <c r="O290" s="1908"/>
      <c r="P290" s="1908"/>
      <c r="AH290" s="1915">
        <v>0</v>
      </c>
    </row>
    <row s="30541" customFormat="1" customHeight="1" ht="0.75" hidden="1">
      <c r="A291" s="2064"/>
      <c r="B291" s="2064"/>
      <c r="C291" s="653" t="s">
        <v>1238</v>
      </c>
      <c r="D291" s="2746"/>
      <c r="E291" s="2488"/>
      <c r="F291" s="2667"/>
      <c r="G291" s="684"/>
      <c r="H291" s="1784"/>
      <c r="I291" s="935"/>
      <c r="J291" s="855"/>
      <c r="K291" s="1784"/>
      <c r="L291" s="498"/>
      <c r="M291" s="625"/>
      <c r="N291" s="618"/>
      <c r="O291" s="1908"/>
      <c r="P291" s="1908"/>
      <c r="AH291" s="1915">
        <v>0</v>
      </c>
    </row>
    <row s="30541" customFormat="1" customHeight="1" ht="45" hidden="1">
      <c r="A292" s="2064" t="s">
        <v>197</v>
      </c>
      <c r="B292" s="2064" t="s">
        <v>198</v>
      </c>
      <c r="C292" s="653"/>
      <c r="D292" s="2746"/>
      <c r="E292" s="2488"/>
      <c r="F292" s="2667" t="str">
        <f>INDEX(PT_DIFFERENTIATION_VTAR,MATCH(A292,PT_DIFFERENTIATION_VTAR_ID,0))</f>
        <v>Тарифы на теплоноситель, поставляемый теплоснабжающими организациями потребителям, другим теплоснабжающим организациям</v>
      </c>
      <c r="G292" s="2711" t="str">
        <f>INDEX(PT_DIFFERENTIATION_NTAR,MATCH(B292,PT_DIFFERENTIATION_NTAR_ID,0))</f>
        <v/>
      </c>
      <c r="H292" s="2146"/>
      <c r="I292" s="2023"/>
      <c r="J292" s="2057"/>
      <c r="K292" s="2062"/>
      <c r="L292" s="2146" t="s">
        <v>366</v>
      </c>
      <c r="M292" s="625"/>
      <c r="N292" s="618"/>
      <c r="O292" s="1908"/>
      <c r="P292" s="1908"/>
      <c r="AH292" s="1915">
        <v>0</v>
      </c>
    </row>
    <row s="30541" customFormat="1" customHeight="1" ht="18.75" hidden="1">
      <c r="A293" s="2064"/>
      <c r="B293" s="2064"/>
      <c r="C293" s="653" t="s">
        <v>1230</v>
      </c>
      <c r="D293" s="2746"/>
      <c r="E293" s="2488"/>
      <c r="F293" s="2667"/>
      <c r="G293" s="2711"/>
      <c r="H293" s="1784"/>
      <c r="I293" s="935" t="s">
        <v>1229</v>
      </c>
      <c r="J293" s="855"/>
      <c r="K293" s="1784"/>
      <c r="L293" s="498"/>
      <c r="M293" s="625"/>
      <c r="N293" s="618"/>
      <c r="O293" s="1908"/>
      <c r="P293" s="1908"/>
      <c r="AH293" s="1915">
        <v>0</v>
      </c>
    </row>
    <row s="38090" customFormat="1" customHeight="1" ht="18.75">
      <c r="A294" s="4729" t="s">
        <v>197</v>
      </c>
      <c r="B294" s="4729" t="s">
        <v>1235</v>
      </c>
      <c r="C294" s="7199"/>
      <c r="D294" s="7200"/>
      <c r="E294" s="7201"/>
      <c r="F294" s="7201"/>
      <c r="G294" s="7202">
        <f>INDEX(PT_DIFFERENTIATION_NTAR,MATCH(B294,PT_DIFFERENTIATION_NTAR_ID,0))</f>
      </c>
      <c r="H294" s="4160"/>
      <c r="I294" s="7203"/>
      <c r="J294" s="7204"/>
      <c r="K294" s="7216"/>
      <c r="L294" s="4160" t="s">
        <v>366</v>
      </c>
      <c r="M294" s="7206"/>
      <c r="N294" s="7207"/>
      <c r="O294" s="4251"/>
      <c r="P294" s="4251"/>
      <c r="Q294" s="3961"/>
      <c r="R294" s="3961"/>
      <c r="S294" s="3961"/>
      <c r="T294" s="3961"/>
      <c r="U294" s="3961"/>
      <c r="V294" s="3961"/>
      <c r="W294" s="3961"/>
      <c r="X294" s="3961"/>
      <c r="Y294" s="3961"/>
      <c r="Z294" s="3961"/>
      <c r="AA294" s="3961"/>
      <c r="AB294" s="3961"/>
      <c r="AC294" s="3961"/>
      <c r="AD294" s="3961"/>
      <c r="AE294" s="3961"/>
      <c r="AF294" s="3961"/>
      <c r="AG294" s="3961"/>
      <c r="AH294" s="3961">
        <v>0</v>
      </c>
    </row>
    <row s="38090" customFormat="1" customHeight="1" ht="18.75">
      <c r="A295" s="4729"/>
      <c r="B295" s="4729"/>
      <c r="C295" s="7199" t="s">
        <v>1230</v>
      </c>
      <c r="D295" s="7200"/>
      <c r="E295" s="7201"/>
      <c r="F295" s="7201"/>
      <c r="G295" s="7202"/>
      <c r="H295" s="7232"/>
      <c r="I295" s="7233" t="s">
        <v>1229</v>
      </c>
      <c r="J295" s="7234"/>
      <c r="K295" s="7235"/>
      <c r="L295" s="7236"/>
      <c r="M295" s="7206"/>
      <c r="N295" s="7207"/>
      <c r="O295" s="4251"/>
      <c r="P295" s="4251"/>
      <c r="Q295" s="3961"/>
      <c r="R295" s="3961"/>
      <c r="S295" s="3961"/>
      <c r="T295" s="3961"/>
      <c r="U295" s="3961"/>
      <c r="V295" s="3961"/>
      <c r="W295" s="3961"/>
      <c r="X295" s="3961"/>
      <c r="Y295" s="3961"/>
      <c r="Z295" s="3961"/>
      <c r="AA295" s="3961"/>
      <c r="AB295" s="3961"/>
      <c r="AC295" s="3961"/>
      <c r="AD295" s="3961"/>
      <c r="AE295" s="3961"/>
      <c r="AF295" s="3961"/>
      <c r="AG295" s="3961"/>
      <c r="AH295" s="3961">
        <v>0</v>
      </c>
    </row>
    <row s="30541" customFormat="1" customHeight="1" ht="0.75" hidden="1">
      <c r="A296" s="2064"/>
      <c r="B296" s="2064"/>
      <c r="C296" s="653" t="s">
        <v>1238</v>
      </c>
      <c r="D296" s="2746"/>
      <c r="E296" s="2488"/>
      <c r="F296" s="2667"/>
      <c r="G296" s="684"/>
      <c r="H296" s="1784"/>
      <c r="I296" s="935"/>
      <c r="J296" s="855"/>
      <c r="K296" s="1784"/>
      <c r="L296" s="498"/>
      <c r="M296" s="625"/>
      <c r="N296" s="618"/>
      <c r="O296" s="1908"/>
      <c r="P296" s="1908"/>
      <c r="AH296" s="1915">
        <v>0</v>
      </c>
    </row>
    <row s="30541" customFormat="1" customHeight="1" ht="45" hidden="1">
      <c r="A297" s="2064" t="s">
        <v>208</v>
      </c>
      <c r="B297" s="2064" t="s">
        <v>209</v>
      </c>
      <c r="C297" s="653"/>
      <c r="D297" s="2746"/>
      <c r="E297" s="2488"/>
      <c r="F297" s="2667" t="str">
        <f>INDEX(PT_DIFFERENTIATION_VTAR,MATCH(A297,PT_DIFFERENTIATION_VTAR_ID,0))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7" s="2711" t="str">
        <f>INDEX(PT_DIFFERENTIATION_NTAR,MATCH(B297,PT_DIFFERENTIATION_NTAR_ID,0))</f>
        <v>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v>
      </c>
      <c r="H297" s="2146"/>
      <c r="I297" s="2023"/>
      <c r="J297" s="2057"/>
      <c r="K297" s="2062"/>
      <c r="L297" s="2146" t="s">
        <v>366</v>
      </c>
      <c r="M297" s="625"/>
      <c r="N297" s="618"/>
      <c r="O297" s="1908"/>
      <c r="P297" s="1908"/>
      <c r="AH297" s="1915">
        <v>0</v>
      </c>
    </row>
    <row s="30541" customFormat="1" customHeight="1" ht="18.75" hidden="1">
      <c r="A298" s="2064"/>
      <c r="B298" s="2064"/>
      <c r="C298" s="653" t="s">
        <v>1230</v>
      </c>
      <c r="D298" s="2746"/>
      <c r="E298" s="2488"/>
      <c r="F298" s="2667"/>
      <c r="G298" s="2711"/>
      <c r="H298" s="1784"/>
      <c r="I298" s="935" t="s">
        <v>1229</v>
      </c>
      <c r="J298" s="855"/>
      <c r="K298" s="1784"/>
      <c r="L298" s="498"/>
      <c r="M298" s="625"/>
      <c r="N298" s="618"/>
      <c r="O298" s="1908"/>
      <c r="P298" s="1908"/>
      <c r="AH298" s="1915">
        <v>0</v>
      </c>
    </row>
    <row s="38105" customFormat="1" customHeight="1" ht="18.75">
      <c r="A299" s="11582" t="s">
        <v>208</v>
      </c>
      <c r="B299" s="11582" t="s">
        <v>232</v>
      </c>
      <c r="C299" s="12907"/>
      <c r="D299" s="12908"/>
      <c r="E299" s="12909"/>
      <c r="F299" s="12909"/>
      <c r="G299" s="12910" t="str">
        <f>INDEX(PT_DIFFERENTIATION_NTAR,MATCH(B299,PT_DIFFERENTIATION_NTAR_ID,0))</f>
        <v>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(для потребителей, получающих тепловую энергию на коллекторах производителей).</v>
      </c>
      <c r="H299" s="12911"/>
      <c r="I299" s="12912"/>
      <c r="J299" s="12913"/>
      <c r="K299" s="12931"/>
      <c r="L299" s="12911" t="s">
        <v>366</v>
      </c>
      <c r="M299" s="12915"/>
      <c r="N299" s="12916"/>
      <c r="O299" s="11472"/>
      <c r="P299" s="11472"/>
      <c r="Q299" s="11462"/>
      <c r="R299" s="11462"/>
      <c r="S299" s="11462"/>
      <c r="T299" s="11462"/>
      <c r="U299" s="11462"/>
      <c r="V299" s="11462"/>
      <c r="W299" s="11462"/>
      <c r="X299" s="11462"/>
      <c r="Y299" s="11462"/>
      <c r="Z299" s="11462"/>
      <c r="AA299" s="11462"/>
      <c r="AB299" s="11462"/>
      <c r="AC299" s="11462"/>
      <c r="AD299" s="11462"/>
      <c r="AE299" s="11462"/>
      <c r="AF299" s="11462"/>
      <c r="AG299" s="11462"/>
      <c r="AH299" s="11462">
        <v>0</v>
      </c>
    </row>
    <row s="38105" customFormat="1" customHeight="1" ht="18.75">
      <c r="A300" s="11582"/>
      <c r="B300" s="11582"/>
      <c r="C300" s="12907" t="s">
        <v>1230</v>
      </c>
      <c r="D300" s="12908"/>
      <c r="E300" s="12909"/>
      <c r="F300" s="12909"/>
      <c r="G300" s="12910"/>
      <c r="H300" s="12962"/>
      <c r="I300" s="12963" t="s">
        <v>1229</v>
      </c>
      <c r="J300" s="12964"/>
      <c r="K300" s="12965"/>
      <c r="L300" s="12966"/>
      <c r="M300" s="12915"/>
      <c r="N300" s="12916"/>
      <c r="O300" s="11472"/>
      <c r="P300" s="11472"/>
      <c r="Q300" s="11462"/>
      <c r="R300" s="11462"/>
      <c r="S300" s="11462"/>
      <c r="T300" s="11462"/>
      <c r="U300" s="11462"/>
      <c r="V300" s="11462"/>
      <c r="W300" s="11462"/>
      <c r="X300" s="11462"/>
      <c r="Y300" s="11462"/>
      <c r="Z300" s="11462"/>
      <c r="AA300" s="11462"/>
      <c r="AB300" s="11462"/>
      <c r="AC300" s="11462"/>
      <c r="AD300" s="11462"/>
      <c r="AE300" s="11462"/>
      <c r="AF300" s="11462"/>
      <c r="AG300" s="11462"/>
      <c r="AH300" s="11462">
        <v>0</v>
      </c>
    </row>
    <row s="30541" customFormat="1" customHeight="1" ht="0.75" hidden="1">
      <c r="A301" s="2064"/>
      <c r="B301" s="2064"/>
      <c r="C301" s="653" t="s">
        <v>1238</v>
      </c>
      <c r="D301" s="2746"/>
      <c r="E301" s="2488"/>
      <c r="F301" s="2667"/>
      <c r="G301" s="684"/>
      <c r="H301" s="1784"/>
      <c r="I301" s="935"/>
      <c r="J301" s="855"/>
      <c r="K301" s="1784"/>
      <c r="L301" s="498"/>
      <c r="M301" s="625"/>
      <c r="N301" s="618"/>
      <c r="O301" s="1908"/>
      <c r="P301" s="1908"/>
      <c r="AH301" s="1915">
        <v>0</v>
      </c>
    </row>
    <row s="30541" customFormat="1" customHeight="1" ht="18.75" hidden="1">
      <c r="A302" s="2064" t="s">
        <v>241</v>
      </c>
      <c r="B302" s="2064" t="s">
        <v>242</v>
      </c>
      <c r="C302" s="653"/>
      <c r="D302" s="2746"/>
      <c r="E302" s="2488"/>
      <c r="F302" s="2667" t="str">
        <f>INDEX(PT_DIFFERENTIATION_VTAR,MATCH(A302,PT_DIFFERENTIATION_VTAR_ID,0))</f>
        <v>Тарифы на услуги по передаче тепловой энергии</v>
      </c>
      <c r="G302" s="2711" t="str">
        <f>INDEX(PT_DIFFERENTIATION_NTAR,MATCH(B302,PT_DIFFERENTIATION_NTAR_ID,0))</f>
        <v/>
      </c>
      <c r="H302" s="2146"/>
      <c r="I302" s="2023"/>
      <c r="J302" s="2057"/>
      <c r="K302" s="2062"/>
      <c r="L302" s="2146" t="s">
        <v>366</v>
      </c>
      <c r="M302" s="625"/>
      <c r="N302" s="618"/>
      <c r="O302" s="1908"/>
      <c r="P302" s="1908"/>
      <c r="AH302" s="1915">
        <v>0</v>
      </c>
    </row>
    <row s="30541" customFormat="1" customHeight="1" ht="18.75" hidden="1">
      <c r="A303" s="2064"/>
      <c r="B303" s="2064"/>
      <c r="C303" s="653" t="s">
        <v>1230</v>
      </c>
      <c r="D303" s="2746"/>
      <c r="E303" s="2488"/>
      <c r="F303" s="2667"/>
      <c r="G303" s="2711"/>
      <c r="H303" s="1784"/>
      <c r="I303" s="935" t="s">
        <v>1229</v>
      </c>
      <c r="J303" s="855"/>
      <c r="K303" s="1784"/>
      <c r="L303" s="498"/>
      <c r="M303" s="625"/>
      <c r="N303" s="618"/>
      <c r="O303" s="1908"/>
      <c r="P303" s="1908"/>
      <c r="AH303" s="1915">
        <v>0</v>
      </c>
    </row>
    <row s="30541" customFormat="1" customHeight="1" ht="0.75" hidden="1">
      <c r="A304" s="2064"/>
      <c r="B304" s="2064"/>
      <c r="C304" s="653" t="s">
        <v>1238</v>
      </c>
      <c r="D304" s="2746"/>
      <c r="E304" s="2488"/>
      <c r="F304" s="2667"/>
      <c r="G304" s="684"/>
      <c r="H304" s="1784"/>
      <c r="I304" s="935"/>
      <c r="J304" s="855"/>
      <c r="K304" s="1784"/>
      <c r="L304" s="498"/>
      <c r="M304" s="625"/>
      <c r="N304" s="618"/>
      <c r="O304" s="1908"/>
      <c r="P304" s="1908"/>
      <c r="AH304" s="1915">
        <v>0</v>
      </c>
    </row>
    <row s="30541" customFormat="1" customHeight="1" ht="18.75" hidden="1">
      <c r="A305" s="2064" t="s">
        <v>247</v>
      </c>
      <c r="B305" s="2064" t="s">
        <v>248</v>
      </c>
      <c r="C305" s="653"/>
      <c r="D305" s="2746"/>
      <c r="E305" s="2488"/>
      <c r="F305" s="2667" t="str">
        <f>INDEX(PT_DIFFERENTIATION_VTAR,MATCH(A305,PT_DIFFERENTIATION_VTAR_ID,0))</f>
        <v>Тарифы на услуги по передаче теплоносителя</v>
      </c>
      <c r="G305" s="2711" t="str">
        <f>INDEX(PT_DIFFERENTIATION_NTAR,MATCH(B305,PT_DIFFERENTIATION_NTAR_ID,0))</f>
        <v/>
      </c>
      <c r="H305" s="2146"/>
      <c r="I305" s="2023"/>
      <c r="J305" s="2057"/>
      <c r="K305" s="2062"/>
      <c r="L305" s="2146" t="s">
        <v>366</v>
      </c>
      <c r="M305" s="625"/>
      <c r="N305" s="618"/>
      <c r="O305" s="1908"/>
      <c r="P305" s="1908"/>
      <c r="AH305" s="1915">
        <v>0</v>
      </c>
    </row>
    <row s="30541" customFormat="1" customHeight="1" ht="18.75" hidden="1">
      <c r="A306" s="2064"/>
      <c r="B306" s="2064"/>
      <c r="C306" s="653" t="s">
        <v>1230</v>
      </c>
      <c r="D306" s="2746"/>
      <c r="E306" s="2488"/>
      <c r="F306" s="2667"/>
      <c r="G306" s="2711"/>
      <c r="H306" s="1784"/>
      <c r="I306" s="935" t="s">
        <v>1229</v>
      </c>
      <c r="J306" s="855"/>
      <c r="K306" s="1784"/>
      <c r="L306" s="498"/>
      <c r="M306" s="625"/>
      <c r="N306" s="618"/>
      <c r="O306" s="1908"/>
      <c r="P306" s="1908"/>
      <c r="AH306" s="1915">
        <v>0</v>
      </c>
    </row>
    <row s="30541" customFormat="1" customHeight="1" ht="0.75" hidden="1">
      <c r="A307" s="2064"/>
      <c r="B307" s="2064"/>
      <c r="C307" s="653" t="s">
        <v>1238</v>
      </c>
      <c r="D307" s="2746"/>
      <c r="E307" s="2488"/>
      <c r="F307" s="2667"/>
      <c r="G307" s="684"/>
      <c r="H307" s="1784"/>
      <c r="I307" s="935"/>
      <c r="J307" s="855"/>
      <c r="K307" s="1784"/>
      <c r="L307" s="498"/>
      <c r="M307" s="625"/>
      <c r="N307" s="618"/>
      <c r="O307" s="1908"/>
      <c r="P307" s="1908"/>
      <c r="AH307" s="1915">
        <v>0</v>
      </c>
    </row>
    <row s="30541" customFormat="1" customHeight="1" ht="18.75" hidden="1">
      <c r="A308" s="2064" t="s">
        <v>253</v>
      </c>
      <c r="B308" s="2064" t="s">
        <v>254</v>
      </c>
      <c r="C308" s="653"/>
      <c r="D308" s="2746"/>
      <c r="E308" s="2488"/>
      <c r="F308" s="2667" t="str">
        <f>INDEX(PT_DIFFERENTIATION_VTAR,MATCH(A308,PT_DIFFERENTIATION_VTAR_ID,0))</f>
        <v>Плата за услуги по поддержанию резервной тепловой мощности при отсутствии потребления тепловой энергии</v>
      </c>
      <c r="G308" s="2711" t="str">
        <f>INDEX(PT_DIFFERENTIATION_NTAR,MATCH(B308,PT_DIFFERENTIATION_NTAR_ID,0))</f>
        <v/>
      </c>
      <c r="H308" s="2146"/>
      <c r="I308" s="2023"/>
      <c r="J308" s="2057"/>
      <c r="K308" s="2062"/>
      <c r="L308" s="2146" t="s">
        <v>366</v>
      </c>
      <c r="M308" s="625"/>
      <c r="N308" s="618"/>
      <c r="O308" s="1908"/>
      <c r="P308" s="1908"/>
      <c r="AH308" s="1915">
        <v>0</v>
      </c>
    </row>
    <row s="30541" customFormat="1" customHeight="1" ht="18.75" hidden="1">
      <c r="A309" s="2064"/>
      <c r="B309" s="2064"/>
      <c r="C309" s="653" t="s">
        <v>1230</v>
      </c>
      <c r="D309" s="2746"/>
      <c r="E309" s="2488"/>
      <c r="F309" s="2667"/>
      <c r="G309" s="2711"/>
      <c r="H309" s="1784"/>
      <c r="I309" s="935" t="s">
        <v>1229</v>
      </c>
      <c r="J309" s="855"/>
      <c r="K309" s="1784"/>
      <c r="L309" s="498"/>
      <c r="M309" s="625"/>
      <c r="N309" s="618"/>
      <c r="O309" s="1908"/>
      <c r="P309" s="1908"/>
      <c r="AH309" s="1915">
        <v>0</v>
      </c>
    </row>
    <row s="30541" customFormat="1" customHeight="1" ht="0.75" hidden="1">
      <c r="A310" s="2064"/>
      <c r="B310" s="2064"/>
      <c r="C310" s="653" t="s">
        <v>1238</v>
      </c>
      <c r="D310" s="2746"/>
      <c r="E310" s="2488"/>
      <c r="F310" s="2667"/>
      <c r="G310" s="684"/>
      <c r="H310" s="1784"/>
      <c r="I310" s="935"/>
      <c r="J310" s="855"/>
      <c r="K310" s="1784"/>
      <c r="L310" s="498"/>
      <c r="M310" s="625"/>
      <c r="N310" s="618"/>
      <c r="O310" s="1908"/>
      <c r="P310" s="1908"/>
      <c r="AH310" s="1915">
        <v>0</v>
      </c>
    </row>
    <row s="30541" customFormat="1" customHeight="1" ht="18.75" hidden="1">
      <c r="A311" s="2064" t="s">
        <v>259</v>
      </c>
      <c r="B311" s="2064" t="s">
        <v>260</v>
      </c>
      <c r="C311" s="653"/>
      <c r="D311" s="2746"/>
      <c r="E311" s="2488"/>
      <c r="F311" s="2667" t="str">
        <f>INDEX(PT_DIFFERENTIATION_VTAR,MATCH(A311,PT_DIFFERENTIATION_VTAR_ID,0))</f>
        <v>Плата за подключение (технологическое присоединение) к системе теплоснабжения</v>
      </c>
      <c r="G311" s="2711" t="str">
        <f>INDEX(PT_DIFFERENTIATION_NTAR,MATCH(B311,PT_DIFFERENTIATION_NTAR_ID,0))</f>
        <v/>
      </c>
      <c r="H311" s="2146"/>
      <c r="I311" s="2023"/>
      <c r="J311" s="2057"/>
      <c r="K311" s="2062"/>
      <c r="L311" s="2146" t="s">
        <v>366</v>
      </c>
      <c r="M311" s="625"/>
      <c r="N311" s="618"/>
      <c r="O311" s="1908"/>
      <c r="P311" s="1908"/>
      <c r="AH311" s="1915">
        <v>0</v>
      </c>
    </row>
    <row s="30541" customFormat="1" customHeight="1" ht="18.75" hidden="1">
      <c r="A312" s="2064"/>
      <c r="B312" s="2064"/>
      <c r="C312" s="653" t="s">
        <v>1230</v>
      </c>
      <c r="D312" s="2746"/>
      <c r="E312" s="2488"/>
      <c r="F312" s="2667"/>
      <c r="G312" s="2711"/>
      <c r="H312" s="1784"/>
      <c r="I312" s="935" t="s">
        <v>1229</v>
      </c>
      <c r="J312" s="855"/>
      <c r="K312" s="1784"/>
      <c r="L312" s="498"/>
      <c r="M312" s="625"/>
      <c r="N312" s="618"/>
      <c r="O312" s="1908"/>
      <c r="P312" s="1908"/>
      <c r="AH312" s="1915">
        <v>0</v>
      </c>
    </row>
    <row s="30541" customFormat="1" customHeight="1" ht="0.75" hidden="1">
      <c r="A313" s="2064"/>
      <c r="B313" s="2064"/>
      <c r="C313" s="653" t="s">
        <v>1238</v>
      </c>
      <c r="D313" s="2746"/>
      <c r="E313" s="2488"/>
      <c r="F313" s="2667"/>
      <c r="G313" s="684"/>
      <c r="H313" s="1784"/>
      <c r="I313" s="935"/>
      <c r="J313" s="855"/>
      <c r="K313" s="1784"/>
      <c r="L313" s="498"/>
      <c r="M313" s="625"/>
      <c r="N313" s="618"/>
      <c r="O313" s="1908"/>
      <c r="P313" s="1908"/>
      <c r="AH313" s="1915">
        <v>0</v>
      </c>
    </row>
    <row s="30541" customFormat="1" customHeight="1" ht="18.75" hidden="1">
      <c r="A314" s="2064" t="s">
        <v>265</v>
      </c>
      <c r="B314" s="2064" t="s">
        <v>266</v>
      </c>
      <c r="C314" s="653"/>
      <c r="D314" s="2746"/>
      <c r="E314" s="2488"/>
      <c r="F314" s="2667" t="str">
        <f>INDEX(PT_DIFFERENTIATION_VTAR,MATCH(A314,PT_DIFFERENTIATION_VTAR_ID,0))</f>
        <v>Плата за подключение (технологическое присоединение) к системе теплоснабжения (индивидуальная)</v>
      </c>
      <c r="G314" s="2711" t="str">
        <f>INDEX(PT_DIFFERENTIATION_NTAR,MATCH(B314,PT_DIFFERENTIATION_NTAR_ID,0))</f>
        <v/>
      </c>
      <c r="H314" s="2273"/>
      <c r="I314" s="2023"/>
      <c r="J314" s="2057"/>
      <c r="K314" s="2062"/>
      <c r="L314" s="2273" t="s">
        <v>366</v>
      </c>
      <c r="M314" s="625"/>
      <c r="N314" s="618"/>
      <c r="O314" s="1908"/>
      <c r="P314" s="1908"/>
      <c r="AH314" s="1915">
        <v>0</v>
      </c>
    </row>
    <row s="30541" customFormat="1" customHeight="1" ht="18.75" hidden="1">
      <c r="A315" s="2064"/>
      <c r="B315" s="2064"/>
      <c r="C315" s="653" t="s">
        <v>1230</v>
      </c>
      <c r="D315" s="2746"/>
      <c r="E315" s="2488"/>
      <c r="F315" s="2667"/>
      <c r="G315" s="2711"/>
      <c r="H315" s="1784"/>
      <c r="I315" s="935" t="s">
        <v>1229</v>
      </c>
      <c r="J315" s="855"/>
      <c r="K315" s="1784"/>
      <c r="L315" s="498"/>
      <c r="M315" s="625"/>
      <c r="N315" s="618"/>
      <c r="O315" s="1908"/>
      <c r="P315" s="1908"/>
      <c r="AH315" s="1915">
        <v>0</v>
      </c>
    </row>
    <row s="30541" customFormat="1" customHeight="1" ht="0.75" hidden="1">
      <c r="A316" s="2064"/>
      <c r="B316" s="2064"/>
      <c r="C316" s="653" t="s">
        <v>1238</v>
      </c>
      <c r="D316" s="2746"/>
      <c r="E316" s="2488"/>
      <c r="F316" s="2667"/>
      <c r="G316" s="684"/>
      <c r="H316" s="1784"/>
      <c r="I316" s="935"/>
      <c r="J316" s="855"/>
      <c r="K316" s="1784"/>
      <c r="L316" s="498"/>
      <c r="M316" s="625"/>
      <c r="N316" s="618"/>
      <c r="O316" s="1908"/>
      <c r="P316" s="1908"/>
      <c r="AH316" s="1915">
        <v>0</v>
      </c>
    </row>
    <row s="30541" customFormat="1" customHeight="1" ht="18.75" hidden="1">
      <c r="A317" s="2064" t="s">
        <v>285</v>
      </c>
      <c r="B317" s="2064" t="s">
        <v>286</v>
      </c>
      <c r="C317" s="653"/>
      <c r="D317" s="2746"/>
      <c r="E317" s="2488"/>
      <c r="F317" s="2667" t="str">
        <f>INDEX(PT_DIFFERENTIATION_VTAR,MATCH(A317,PT_DIFFERENTIATION_VTAR_ID,0))</f>
        <v>Тариф на питьевую воду (питьевое водоснабжение)</v>
      </c>
      <c r="G317" s="2711" t="str">
        <f>INDEX(PT_DIFFERENTIATION_NTAR,MATCH(B317,PT_DIFFERENTIATION_NTAR_ID,0))</f>
        <v/>
      </c>
      <c r="H317" s="2146"/>
      <c r="I317" s="2023"/>
      <c r="J317" s="2057"/>
      <c r="K317" s="2062"/>
      <c r="L317" s="2146" t="s">
        <v>366</v>
      </c>
      <c r="M317" s="625"/>
      <c r="N317" s="618"/>
      <c r="O317" s="1908"/>
      <c r="P317" s="1908"/>
      <c r="AH317" s="1915">
        <v>0</v>
      </c>
    </row>
    <row s="30541" customFormat="1" customHeight="1" ht="18.75" hidden="1">
      <c r="A318" s="2064"/>
      <c r="B318" s="2064"/>
      <c r="C318" s="653" t="s">
        <v>1230</v>
      </c>
      <c r="D318" s="2746"/>
      <c r="E318" s="2488"/>
      <c r="F318" s="2667"/>
      <c r="G318" s="2711"/>
      <c r="H318" s="1784"/>
      <c r="I318" s="935" t="s">
        <v>1229</v>
      </c>
      <c r="J318" s="855"/>
      <c r="K318" s="1784"/>
      <c r="L318" s="498"/>
      <c r="M318" s="625"/>
      <c r="N318" s="618"/>
      <c r="O318" s="1908"/>
      <c r="P318" s="1908"/>
      <c r="AH318" s="1915">
        <v>0</v>
      </c>
    </row>
    <row s="30541" customFormat="1" customHeight="1" ht="0.75" hidden="1">
      <c r="A319" s="2064"/>
      <c r="B319" s="2064"/>
      <c r="C319" s="653" t="s">
        <v>1238</v>
      </c>
      <c r="D319" s="2746"/>
      <c r="E319" s="2488"/>
      <c r="F319" s="2667"/>
      <c r="G319" s="684"/>
      <c r="H319" s="1784"/>
      <c r="I319" s="935"/>
      <c r="J319" s="855"/>
      <c r="K319" s="1784"/>
      <c r="L319" s="498"/>
      <c r="M319" s="625"/>
      <c r="N319" s="618"/>
      <c r="O319" s="1908"/>
      <c r="P319" s="1908"/>
      <c r="AH319" s="1915">
        <v>0</v>
      </c>
    </row>
    <row s="30541" customFormat="1" customHeight="1" ht="18.75" hidden="1">
      <c r="A320" s="2064" t="s">
        <v>290</v>
      </c>
      <c r="B320" s="2064" t="s">
        <v>291</v>
      </c>
      <c r="C320" s="653"/>
      <c r="D320" s="2746"/>
      <c r="E320" s="2488"/>
      <c r="F320" s="2667" t="str">
        <f>INDEX(PT_DIFFERENTIATION_VTAR,MATCH(A320,PT_DIFFERENTIATION_VTAR_ID,0))</f>
        <v>Тариф на техническую воду</v>
      </c>
      <c r="G320" s="2711" t="str">
        <f>INDEX(PT_DIFFERENTIATION_NTAR,MATCH(B320,PT_DIFFERENTIATION_NTAR_ID,0))</f>
        <v/>
      </c>
      <c r="H320" s="2146"/>
      <c r="I320" s="2023"/>
      <c r="J320" s="2057"/>
      <c r="K320" s="2062"/>
      <c r="L320" s="2146" t="s">
        <v>366</v>
      </c>
      <c r="M320" s="625"/>
      <c r="N320" s="618"/>
      <c r="O320" s="1908"/>
      <c r="P320" s="1908"/>
      <c r="AH320" s="1915">
        <v>0</v>
      </c>
    </row>
    <row s="30541" customFormat="1" customHeight="1" ht="18.75" hidden="1">
      <c r="A321" s="2064"/>
      <c r="B321" s="2064"/>
      <c r="C321" s="653" t="s">
        <v>1230</v>
      </c>
      <c r="D321" s="2746"/>
      <c r="E321" s="2488"/>
      <c r="F321" s="2667"/>
      <c r="G321" s="2711"/>
      <c r="H321" s="1784"/>
      <c r="I321" s="935" t="s">
        <v>1229</v>
      </c>
      <c r="J321" s="855"/>
      <c r="K321" s="1784"/>
      <c r="L321" s="498"/>
      <c r="M321" s="625"/>
      <c r="N321" s="618"/>
      <c r="O321" s="1908"/>
      <c r="P321" s="1908"/>
      <c r="AH321" s="1915">
        <v>0</v>
      </c>
    </row>
    <row s="30541" customFormat="1" customHeight="1" ht="0.75" hidden="1">
      <c r="A322" s="2064"/>
      <c r="B322" s="2064"/>
      <c r="C322" s="653" t="s">
        <v>1238</v>
      </c>
      <c r="D322" s="2746"/>
      <c r="E322" s="2488"/>
      <c r="F322" s="2667"/>
      <c r="G322" s="684"/>
      <c r="H322" s="1784"/>
      <c r="I322" s="935"/>
      <c r="J322" s="855"/>
      <c r="K322" s="1784"/>
      <c r="L322" s="498"/>
      <c r="M322" s="625"/>
      <c r="N322" s="618"/>
      <c r="O322" s="1908"/>
      <c r="P322" s="1908"/>
      <c r="AH322" s="1915">
        <v>0</v>
      </c>
    </row>
    <row s="30541" customFormat="1" customHeight="1" ht="18.75" hidden="1">
      <c r="A323" s="2064" t="s">
        <v>295</v>
      </c>
      <c r="B323" s="2064" t="s">
        <v>296</v>
      </c>
      <c r="C323" s="653"/>
      <c r="D323" s="2746"/>
      <c r="E323" s="2488"/>
      <c r="F323" s="2667" t="str">
        <f>INDEX(PT_DIFFERENTIATION_VTAR,MATCH(A323,PT_DIFFERENTIATION_VTAR_ID,0))</f>
        <v>Тариф на транспортировку воды</v>
      </c>
      <c r="G323" s="2711" t="str">
        <f>INDEX(PT_DIFFERENTIATION_NTAR,MATCH(B323,PT_DIFFERENTIATION_NTAR_ID,0))</f>
        <v/>
      </c>
      <c r="H323" s="2146"/>
      <c r="I323" s="2023"/>
      <c r="J323" s="2057"/>
      <c r="K323" s="2062"/>
      <c r="L323" s="2146" t="s">
        <v>366</v>
      </c>
      <c r="M323" s="625"/>
      <c r="N323" s="618"/>
      <c r="O323" s="1908"/>
      <c r="P323" s="1908"/>
      <c r="AH323" s="1915">
        <v>0</v>
      </c>
    </row>
    <row s="30541" customFormat="1" customHeight="1" ht="18.75" hidden="1">
      <c r="A324" s="2064"/>
      <c r="B324" s="2064"/>
      <c r="C324" s="653" t="s">
        <v>1230</v>
      </c>
      <c r="D324" s="2746"/>
      <c r="E324" s="2488"/>
      <c r="F324" s="2667"/>
      <c r="G324" s="2711"/>
      <c r="H324" s="1784"/>
      <c r="I324" s="935" t="s">
        <v>1229</v>
      </c>
      <c r="J324" s="855"/>
      <c r="K324" s="1784"/>
      <c r="L324" s="498"/>
      <c r="M324" s="625"/>
      <c r="N324" s="618"/>
      <c r="O324" s="1908"/>
      <c r="P324" s="1908"/>
      <c r="AH324" s="1915">
        <v>0</v>
      </c>
    </row>
    <row s="30541" customFormat="1" customHeight="1" ht="0.75" hidden="1">
      <c r="A325" s="2064"/>
      <c r="B325" s="2064"/>
      <c r="C325" s="653" t="s">
        <v>1238</v>
      </c>
      <c r="D325" s="2746"/>
      <c r="E325" s="2488"/>
      <c r="F325" s="2667"/>
      <c r="G325" s="684"/>
      <c r="H325" s="1784"/>
      <c r="I325" s="935"/>
      <c r="J325" s="855"/>
      <c r="K325" s="1784"/>
      <c r="L325" s="498"/>
      <c r="M325" s="625"/>
      <c r="N325" s="618"/>
      <c r="O325" s="1908"/>
      <c r="P325" s="1908"/>
      <c r="AH325" s="1915">
        <v>0</v>
      </c>
    </row>
    <row s="30541" customFormat="1" customHeight="1" ht="18.75" hidden="1">
      <c r="A326" s="2064" t="s">
        <v>300</v>
      </c>
      <c r="B326" s="2064" t="s">
        <v>301</v>
      </c>
      <c r="C326" s="653"/>
      <c r="D326" s="2746"/>
      <c r="E326" s="2488"/>
      <c r="F326" s="2667" t="str">
        <f>INDEX(PT_DIFFERENTIATION_VTAR,MATCH(A326,PT_DIFFERENTIATION_VTAR_ID,0))</f>
        <v>Тариф на подвоз воды</v>
      </c>
      <c r="G326" s="2711" t="str">
        <f>INDEX(PT_DIFFERENTIATION_NTAR,MATCH(B326,PT_DIFFERENTIATION_NTAR_ID,0))</f>
        <v/>
      </c>
      <c r="H326" s="2146"/>
      <c r="I326" s="2023"/>
      <c r="J326" s="2057"/>
      <c r="K326" s="2062"/>
      <c r="L326" s="2146" t="s">
        <v>366</v>
      </c>
      <c r="M326" s="625"/>
      <c r="N326" s="618"/>
      <c r="O326" s="1908"/>
      <c r="P326" s="1908"/>
      <c r="AH326" s="1915">
        <v>0</v>
      </c>
    </row>
    <row s="30541" customFormat="1" customHeight="1" ht="18.75" hidden="1">
      <c r="A327" s="2064"/>
      <c r="B327" s="2064"/>
      <c r="C327" s="653" t="s">
        <v>1230</v>
      </c>
      <c r="D327" s="2746"/>
      <c r="E327" s="2488"/>
      <c r="F327" s="2667"/>
      <c r="G327" s="2711"/>
      <c r="H327" s="1784"/>
      <c r="I327" s="935" t="s">
        <v>1229</v>
      </c>
      <c r="J327" s="855"/>
      <c r="K327" s="1784"/>
      <c r="L327" s="498"/>
      <c r="M327" s="625"/>
      <c r="N327" s="618"/>
      <c r="O327" s="1908"/>
      <c r="P327" s="1908"/>
      <c r="AH327" s="1915">
        <v>0</v>
      </c>
    </row>
    <row s="30541" customFormat="1" customHeight="1" ht="0.75" hidden="1">
      <c r="A328" s="2064"/>
      <c r="B328" s="2064"/>
      <c r="C328" s="653" t="s">
        <v>1238</v>
      </c>
      <c r="D328" s="2746"/>
      <c r="E328" s="2488"/>
      <c r="F328" s="2667"/>
      <c r="G328" s="684"/>
      <c r="H328" s="1784"/>
      <c r="I328" s="935"/>
      <c r="J328" s="855"/>
      <c r="K328" s="1784"/>
      <c r="L328" s="498"/>
      <c r="M328" s="625"/>
      <c r="N328" s="618"/>
      <c r="O328" s="1908"/>
      <c r="P328" s="1908"/>
      <c r="AH328" s="1915">
        <v>0</v>
      </c>
    </row>
    <row s="30541" customFormat="1" customHeight="1" ht="18.75" hidden="1">
      <c r="A329" s="2064" t="s">
        <v>305</v>
      </c>
      <c r="B329" s="2064" t="s">
        <v>306</v>
      </c>
      <c r="C329" s="653"/>
      <c r="D329" s="2746"/>
      <c r="E329" s="2488"/>
      <c r="F329" s="2667" t="str">
        <f>INDEX(PT_DIFFERENTIATION_VTAR,MATCH(A329,PT_DIFFERENTIATION_VTAR_ID,0))</f>
        <v>Тариф на подключение (технологическое присоединение) к централизованной системе холодного водоснабжения</v>
      </c>
      <c r="G329" s="2711" t="str">
        <f>INDEX(PT_DIFFERENTIATION_NTAR,MATCH(B329,PT_DIFFERENTIATION_NTAR_ID,0))</f>
        <v/>
      </c>
      <c r="H329" s="2146"/>
      <c r="I329" s="2023"/>
      <c r="J329" s="2057"/>
      <c r="K329" s="2062"/>
      <c r="L329" s="2146" t="s">
        <v>366</v>
      </c>
      <c r="M329" s="625"/>
      <c r="N329" s="618"/>
      <c r="O329" s="1908"/>
      <c r="P329" s="1908"/>
      <c r="AH329" s="1915">
        <v>0</v>
      </c>
    </row>
    <row s="30541" customFormat="1" customHeight="1" ht="18.75" hidden="1">
      <c r="A330" s="2064"/>
      <c r="B330" s="2064"/>
      <c r="C330" s="653" t="s">
        <v>1230</v>
      </c>
      <c r="D330" s="2746"/>
      <c r="E330" s="2488"/>
      <c r="F330" s="2667"/>
      <c r="G330" s="2711"/>
      <c r="H330" s="1784"/>
      <c r="I330" s="935" t="s">
        <v>1229</v>
      </c>
      <c r="J330" s="855"/>
      <c r="K330" s="1784"/>
      <c r="L330" s="498"/>
      <c r="M330" s="625"/>
      <c r="N330" s="618"/>
      <c r="O330" s="1908"/>
      <c r="P330" s="1908"/>
      <c r="AH330" s="1915">
        <v>0</v>
      </c>
    </row>
    <row s="30541" customFormat="1" customHeight="1" ht="0.75" hidden="1">
      <c r="A331" s="2064"/>
      <c r="B331" s="2064"/>
      <c r="C331" s="653" t="s">
        <v>1238</v>
      </c>
      <c r="D331" s="2746"/>
      <c r="E331" s="2488"/>
      <c r="F331" s="2667"/>
      <c r="G331" s="684"/>
      <c r="H331" s="1784"/>
      <c r="I331" s="935"/>
      <c r="J331" s="855"/>
      <c r="K331" s="1784"/>
      <c r="L331" s="498"/>
      <c r="M331" s="625"/>
      <c r="N331" s="618"/>
      <c r="O331" s="1908"/>
      <c r="P331" s="1908"/>
      <c r="AH331" s="1915">
        <v>0</v>
      </c>
    </row>
    <row s="30541" customFormat="1" customHeight="1" ht="18.75" hidden="1">
      <c r="A332" s="2064" t="s">
        <v>310</v>
      </c>
      <c r="B332" s="2064" t="s">
        <v>311</v>
      </c>
      <c r="C332" s="653"/>
      <c r="D332" s="2746"/>
      <c r="E332" s="2488"/>
      <c r="F332" s="2667" t="str">
        <f>INDEX(PT_DIFFERENTIATION_VTAR,MATCH(A332,PT_DIFFERENTIATION_VTAR_ID,0))</f>
        <v>Тариф на горячую воду (горячее водоснабжение)</v>
      </c>
      <c r="G332" s="2711" t="str">
        <f>INDEX(PT_DIFFERENTIATION_NTAR,MATCH(B332,PT_DIFFERENTIATION_NTAR_ID,0))</f>
        <v/>
      </c>
      <c r="H332" s="2146"/>
      <c r="I332" s="2023"/>
      <c r="J332" s="2057"/>
      <c r="K332" s="2062"/>
      <c r="L332" s="2146" t="s">
        <v>366</v>
      </c>
      <c r="M332" s="625"/>
      <c r="N332" s="618"/>
      <c r="O332" s="1908"/>
      <c r="P332" s="1908"/>
      <c r="AH332" s="1915">
        <v>0</v>
      </c>
    </row>
    <row s="30541" customFormat="1" customHeight="1" ht="18.75" hidden="1">
      <c r="A333" s="2064"/>
      <c r="B333" s="2064"/>
      <c r="C333" s="653" t="s">
        <v>1230</v>
      </c>
      <c r="D333" s="2746"/>
      <c r="E333" s="2488"/>
      <c r="F333" s="2667"/>
      <c r="G333" s="2711"/>
      <c r="H333" s="1784"/>
      <c r="I333" s="935" t="s">
        <v>1229</v>
      </c>
      <c r="J333" s="855"/>
      <c r="K333" s="1784"/>
      <c r="L333" s="498"/>
      <c r="M333" s="625"/>
      <c r="N333" s="618"/>
      <c r="O333" s="1908"/>
      <c r="P333" s="1908"/>
      <c r="AH333" s="1915">
        <v>0</v>
      </c>
    </row>
    <row s="30541" customFormat="1" customHeight="1" ht="0.75" hidden="1">
      <c r="A334" s="2064"/>
      <c r="B334" s="2064"/>
      <c r="C334" s="653" t="s">
        <v>1238</v>
      </c>
      <c r="D334" s="2746"/>
      <c r="E334" s="2488"/>
      <c r="F334" s="2667"/>
      <c r="G334" s="684"/>
      <c r="H334" s="1784"/>
      <c r="I334" s="935"/>
      <c r="J334" s="855"/>
      <c r="K334" s="1784"/>
      <c r="L334" s="498"/>
      <c r="M334" s="625"/>
      <c r="N334" s="618"/>
      <c r="O334" s="1908"/>
      <c r="P334" s="1908"/>
      <c r="AH334" s="1915">
        <v>0</v>
      </c>
    </row>
    <row s="30541" customFormat="1" customHeight="1" ht="18.75" hidden="1">
      <c r="A335" s="2064" t="s">
        <v>315</v>
      </c>
      <c r="B335" s="2064" t="s">
        <v>316</v>
      </c>
      <c r="C335" s="653"/>
      <c r="D335" s="2746"/>
      <c r="E335" s="2488"/>
      <c r="F335" s="2667" t="str">
        <f>INDEX(PT_DIFFERENTIATION_VTAR,MATCH(A335,PT_DIFFERENTIATION_VTAR_ID,0))</f>
        <v>Тариф на транспортировку горячей воды</v>
      </c>
      <c r="G335" s="2711" t="str">
        <f>INDEX(PT_DIFFERENTIATION_NTAR,MATCH(B335,PT_DIFFERENTIATION_NTAR_ID,0))</f>
        <v/>
      </c>
      <c r="H335" s="2146"/>
      <c r="I335" s="2023"/>
      <c r="J335" s="2057"/>
      <c r="K335" s="2062"/>
      <c r="L335" s="2146" t="s">
        <v>366</v>
      </c>
      <c r="M335" s="625"/>
      <c r="N335" s="618"/>
      <c r="O335" s="1908"/>
      <c r="P335" s="1908"/>
      <c r="AH335" s="1915">
        <v>0</v>
      </c>
    </row>
    <row s="30541" customFormat="1" customHeight="1" ht="18.75" hidden="1">
      <c r="A336" s="2064"/>
      <c r="B336" s="2064"/>
      <c r="C336" s="653" t="s">
        <v>1230</v>
      </c>
      <c r="D336" s="2746"/>
      <c r="E336" s="2488"/>
      <c r="F336" s="2667"/>
      <c r="G336" s="2711"/>
      <c r="H336" s="1784"/>
      <c r="I336" s="935" t="s">
        <v>1229</v>
      </c>
      <c r="J336" s="855"/>
      <c r="K336" s="1784"/>
      <c r="L336" s="498"/>
      <c r="M336" s="625"/>
      <c r="N336" s="618"/>
      <c r="O336" s="1908"/>
      <c r="P336" s="1908"/>
      <c r="AH336" s="1915">
        <v>0</v>
      </c>
    </row>
    <row s="30541" customFormat="1" customHeight="1" ht="0.75" hidden="1">
      <c r="A337" s="2064"/>
      <c r="B337" s="2064"/>
      <c r="C337" s="653" t="s">
        <v>1238</v>
      </c>
      <c r="D337" s="2746"/>
      <c r="E337" s="2488"/>
      <c r="F337" s="2667"/>
      <c r="G337" s="684"/>
      <c r="H337" s="1784"/>
      <c r="I337" s="935"/>
      <c r="J337" s="855"/>
      <c r="K337" s="1784"/>
      <c r="L337" s="498"/>
      <c r="M337" s="625"/>
      <c r="N337" s="618"/>
      <c r="O337" s="1908"/>
      <c r="P337" s="1908"/>
      <c r="AH337" s="1915">
        <v>0</v>
      </c>
    </row>
    <row s="30541" customFormat="1" customHeight="1" ht="18.75" hidden="1">
      <c r="A338" s="2064" t="s">
        <v>320</v>
      </c>
      <c r="B338" s="2064" t="s">
        <v>321</v>
      </c>
      <c r="C338" s="653"/>
      <c r="D338" s="2746"/>
      <c r="E338" s="2488"/>
      <c r="F338" s="2667" t="str">
        <f>INDEX(PT_DIFFERENTIATION_VTAR,MATCH(A338,PT_DIFFERENTIATION_VTAR_ID,0))</f>
        <v>Тариф на подключение (технологическое присоединение) к централизованной системе горячего водоснабжения</v>
      </c>
      <c r="G338" s="2711" t="str">
        <f>INDEX(PT_DIFFERENTIATION_NTAR,MATCH(B338,PT_DIFFERENTIATION_NTAR_ID,0))</f>
        <v/>
      </c>
      <c r="H338" s="2146"/>
      <c r="I338" s="2023"/>
      <c r="J338" s="2057"/>
      <c r="K338" s="2062"/>
      <c r="L338" s="2146" t="s">
        <v>366</v>
      </c>
      <c r="M338" s="625"/>
      <c r="N338" s="618"/>
      <c r="O338" s="1908"/>
      <c r="P338" s="1908"/>
      <c r="AH338" s="1915">
        <v>0</v>
      </c>
    </row>
    <row s="30541" customFormat="1" customHeight="1" ht="18.75" hidden="1">
      <c r="A339" s="2064"/>
      <c r="B339" s="2064"/>
      <c r="C339" s="653" t="s">
        <v>1230</v>
      </c>
      <c r="D339" s="2746"/>
      <c r="E339" s="2488"/>
      <c r="F339" s="2667"/>
      <c r="G339" s="2711"/>
      <c r="H339" s="1784"/>
      <c r="I339" s="935" t="s">
        <v>1229</v>
      </c>
      <c r="J339" s="855"/>
      <c r="K339" s="1784"/>
      <c r="L339" s="498"/>
      <c r="M339" s="625"/>
      <c r="N339" s="618"/>
      <c r="O339" s="1908"/>
      <c r="P339" s="1908"/>
      <c r="AH339" s="1915">
        <v>0</v>
      </c>
    </row>
    <row s="30541" customFormat="1" customHeight="1" ht="0.75" hidden="1">
      <c r="A340" s="2064"/>
      <c r="B340" s="2064"/>
      <c r="C340" s="653" t="s">
        <v>1238</v>
      </c>
      <c r="D340" s="2746"/>
      <c r="E340" s="2488"/>
      <c r="F340" s="2667"/>
      <c r="G340" s="684"/>
      <c r="H340" s="1784"/>
      <c r="I340" s="935"/>
      <c r="J340" s="855"/>
      <c r="K340" s="1784"/>
      <c r="L340" s="498"/>
      <c r="M340" s="625"/>
      <c r="N340" s="618"/>
      <c r="O340" s="1908"/>
      <c r="P340" s="1908"/>
      <c r="AH340" s="1915">
        <v>0</v>
      </c>
    </row>
    <row s="30541" customFormat="1" customHeight="1" ht="18.75" hidden="1">
      <c r="A341" s="2064" t="s">
        <v>325</v>
      </c>
      <c r="B341" s="2064" t="s">
        <v>326</v>
      </c>
      <c r="C341" s="653"/>
      <c r="D341" s="2746"/>
      <c r="E341" s="2488"/>
      <c r="F341" s="2667" t="str">
        <f>INDEX(PT_DIFFERENTIATION_VTAR,MATCH(A341,PT_DIFFERENTIATION_VTAR_ID,0))</f>
        <v>Тариф на водоотведение</v>
      </c>
      <c r="G341" s="2711" t="str">
        <f>INDEX(PT_DIFFERENTIATION_NTAR,MATCH(B341,PT_DIFFERENTIATION_NTAR_ID,0))</f>
        <v/>
      </c>
      <c r="H341" s="2146"/>
      <c r="I341" s="2023"/>
      <c r="J341" s="2057"/>
      <c r="K341" s="2062"/>
      <c r="L341" s="2146" t="s">
        <v>366</v>
      </c>
      <c r="M341" s="625"/>
      <c r="N341" s="618"/>
      <c r="O341" s="1908"/>
      <c r="P341" s="1908"/>
      <c r="AH341" s="1915">
        <v>0</v>
      </c>
    </row>
    <row s="30541" customFormat="1" customHeight="1" ht="18.75" hidden="1">
      <c r="A342" s="2064"/>
      <c r="B342" s="2064"/>
      <c r="C342" s="653" t="s">
        <v>1230</v>
      </c>
      <c r="D342" s="2746"/>
      <c r="E342" s="2488"/>
      <c r="F342" s="2667"/>
      <c r="G342" s="2711"/>
      <c r="H342" s="1784"/>
      <c r="I342" s="935" t="s">
        <v>1229</v>
      </c>
      <c r="J342" s="855"/>
      <c r="K342" s="1784"/>
      <c r="L342" s="498"/>
      <c r="M342" s="625"/>
      <c r="N342" s="618"/>
      <c r="O342" s="1908"/>
      <c r="P342" s="1908"/>
      <c r="AH342" s="1915">
        <v>0</v>
      </c>
    </row>
    <row s="30541" customFormat="1" customHeight="1" ht="0.75" hidden="1">
      <c r="A343" s="2064"/>
      <c r="B343" s="2064"/>
      <c r="C343" s="653" t="s">
        <v>1238</v>
      </c>
      <c r="D343" s="2746"/>
      <c r="E343" s="2488"/>
      <c r="F343" s="2667"/>
      <c r="G343" s="684"/>
      <c r="H343" s="1784"/>
      <c r="I343" s="935"/>
      <c r="J343" s="855"/>
      <c r="K343" s="1784"/>
      <c r="L343" s="498"/>
      <c r="M343" s="625"/>
      <c r="N343" s="618"/>
      <c r="O343" s="1908"/>
      <c r="P343" s="1908"/>
      <c r="AH343" s="1915">
        <v>0</v>
      </c>
    </row>
    <row s="30541" customFormat="1" customHeight="1" ht="18.75" hidden="1">
      <c r="A344" s="2064" t="s">
        <v>330</v>
      </c>
      <c r="B344" s="2064" t="s">
        <v>331</v>
      </c>
      <c r="C344" s="653"/>
      <c r="D344" s="2746"/>
      <c r="E344" s="2488"/>
      <c r="F344" s="2667" t="str">
        <f>INDEX(PT_DIFFERENTIATION_VTAR,MATCH(A344,PT_DIFFERENTIATION_VTAR_ID,0))</f>
        <v>Тариф на транспортировку сточных вод</v>
      </c>
      <c r="G344" s="2711" t="str">
        <f>INDEX(PT_DIFFERENTIATION_NTAR,MATCH(B344,PT_DIFFERENTIATION_NTAR_ID,0))</f>
        <v/>
      </c>
      <c r="H344" s="2146"/>
      <c r="I344" s="2023"/>
      <c r="J344" s="2057"/>
      <c r="K344" s="2062"/>
      <c r="L344" s="2146" t="s">
        <v>366</v>
      </c>
      <c r="M344" s="625"/>
      <c r="N344" s="618"/>
      <c r="O344" s="1908"/>
      <c r="P344" s="1908"/>
      <c r="AH344" s="1915">
        <v>0</v>
      </c>
    </row>
    <row s="30541" customFormat="1" customHeight="1" ht="18.75" hidden="1">
      <c r="A345" s="2064"/>
      <c r="B345" s="2064"/>
      <c r="C345" s="653" t="s">
        <v>1230</v>
      </c>
      <c r="D345" s="2746"/>
      <c r="E345" s="2488"/>
      <c r="F345" s="2667"/>
      <c r="G345" s="2711"/>
      <c r="H345" s="1784"/>
      <c r="I345" s="935" t="s">
        <v>1229</v>
      </c>
      <c r="J345" s="855"/>
      <c r="K345" s="1784"/>
      <c r="L345" s="498"/>
      <c r="M345" s="625"/>
      <c r="N345" s="618"/>
      <c r="O345" s="1908"/>
      <c r="P345" s="1908"/>
      <c r="AH345" s="1915">
        <v>0</v>
      </c>
    </row>
    <row s="30541" customFormat="1" customHeight="1" ht="0.75" hidden="1">
      <c r="A346" s="2064"/>
      <c r="B346" s="2064"/>
      <c r="C346" s="653" t="s">
        <v>1238</v>
      </c>
      <c r="D346" s="2746"/>
      <c r="E346" s="2488"/>
      <c r="F346" s="2667"/>
      <c r="G346" s="684"/>
      <c r="H346" s="1784"/>
      <c r="I346" s="935"/>
      <c r="J346" s="855"/>
      <c r="K346" s="1784"/>
      <c r="L346" s="498"/>
      <c r="M346" s="625"/>
      <c r="N346" s="618"/>
      <c r="O346" s="1908"/>
      <c r="P346" s="1908"/>
      <c r="AH346" s="1915">
        <v>0</v>
      </c>
    </row>
    <row s="30541" customFormat="1" customHeight="1" ht="18.75" hidden="1">
      <c r="A347" s="2064" t="s">
        <v>335</v>
      </c>
      <c r="B347" s="2064" t="s">
        <v>336</v>
      </c>
      <c r="C347" s="653"/>
      <c r="D347" s="2746"/>
      <c r="E347" s="2488"/>
      <c r="F347" s="2667" t="str">
        <f>INDEX(PT_DIFFERENTIATION_VTAR,MATCH(A347,PT_DIFFERENTIATION_VTAR_ID,0))</f>
        <v>Тариф на подключение (технологическое присоединение) к централизованной системе водоотведения</v>
      </c>
      <c r="G347" s="2711" t="str">
        <f>INDEX(PT_DIFFERENTIATION_NTAR,MATCH(B347,PT_DIFFERENTIATION_NTAR_ID,0))</f>
        <v/>
      </c>
      <c r="H347" s="2146"/>
      <c r="I347" s="2023"/>
      <c r="J347" s="2057"/>
      <c r="K347" s="2062"/>
      <c r="L347" s="2146" t="s">
        <v>366</v>
      </c>
      <c r="M347" s="625"/>
      <c r="N347" s="618"/>
      <c r="O347" s="1908"/>
      <c r="P347" s="1908"/>
      <c r="AH347" s="1915">
        <v>0</v>
      </c>
    </row>
    <row s="30541" customFormat="1" customHeight="1" ht="18.75" hidden="1">
      <c r="A348" s="2064"/>
      <c r="B348" s="2064"/>
      <c r="C348" s="653" t="s">
        <v>1230</v>
      </c>
      <c r="D348" s="2746"/>
      <c r="E348" s="2488"/>
      <c r="F348" s="2667"/>
      <c r="G348" s="2711"/>
      <c r="H348" s="1784"/>
      <c r="I348" s="935" t="s">
        <v>1229</v>
      </c>
      <c r="J348" s="855"/>
      <c r="K348" s="1784"/>
      <c r="L348" s="498"/>
      <c r="M348" s="625"/>
      <c r="N348" s="618"/>
      <c r="O348" s="1908"/>
      <c r="P348" s="1908"/>
      <c r="AH348" s="1915">
        <v>0</v>
      </c>
    </row>
    <row s="30541" customFormat="1" customHeight="1" ht="1.05">
      <c r="A349" s="2064"/>
      <c r="B349" s="2064"/>
      <c r="C349" s="653" t="s">
        <v>1238</v>
      </c>
      <c r="D349" s="2746"/>
      <c r="E349" s="2488"/>
      <c r="F349" s="2667"/>
      <c r="G349" s="684"/>
      <c r="H349" s="1784"/>
      <c r="I349" s="935"/>
      <c r="J349" s="855"/>
      <c r="K349" s="1784"/>
      <c r="L349" s="498"/>
      <c r="M349" s="625"/>
      <c r="N349" s="618"/>
      <c r="O349" s="1908"/>
      <c r="P349" s="1908"/>
      <c r="AH349" s="1915">
        <v>1</v>
      </c>
    </row>
    <row s="38057" customFormat="1" customHeight="1" ht="3">
      <c r="A350" s="2064"/>
      <c r="B350" s="2064"/>
      <c r="C350" s="2065"/>
      <c r="E350" s="686"/>
      <c r="F350" s="686"/>
      <c r="G350" s="686"/>
      <c r="H350" s="686"/>
      <c r="I350" s="686"/>
      <c r="J350" s="686"/>
      <c r="K350" s="686"/>
      <c r="L350" s="686"/>
      <c r="M350" s="686"/>
      <c r="O350" s="480"/>
      <c r="P350" s="480"/>
      <c r="AH350" s="424">
        <v>3</v>
      </c>
    </row>
    <row customHeight="1" ht="26.25">
      <c r="E351" s="486"/>
      <c r="F351" s="2569"/>
      <c r="G351" s="2569"/>
      <c r="H351" s="2569"/>
      <c r="I351" s="2569"/>
      <c r="J351" s="2569"/>
      <c r="K351" s="2569"/>
      <c r="L351" s="2569"/>
      <c r="M351" s="2569"/>
      <c r="AH351" s="658">
        <v>25</v>
      </c>
    </row>
    <row customHeight="1" ht="14.25" hidden="1">
      <c r="A352" s="2063" t="s">
        <v>85</v>
      </c>
      <c r="B352" s="2063">
        <v>0</v>
      </c>
      <c r="C352" s="653">
        <v>0</v>
      </c>
      <c r="D352" s="628">
        <v>3</v>
      </c>
      <c r="E352" s="658">
        <v>6</v>
      </c>
      <c r="F352" s="658">
        <v>46</v>
      </c>
      <c r="G352" s="658">
        <v>35</v>
      </c>
      <c r="H352" s="658">
        <v>3</v>
      </c>
      <c r="I352" s="658">
        <v>11</v>
      </c>
      <c r="J352" s="658">
        <v>11</v>
      </c>
      <c r="K352" s="658">
        <v>35</v>
      </c>
      <c r="L352" s="658">
        <v>35</v>
      </c>
      <c r="M352" s="658">
        <v>84</v>
      </c>
      <c r="N352" s="658">
        <v>10</v>
      </c>
      <c r="O352" s="634">
        <v>10</v>
      </c>
      <c r="P352" s="634">
        <v>10</v>
      </c>
      <c r="Q352" s="658">
        <v>10</v>
      </c>
      <c r="R352" s="658">
        <v>10</v>
      </c>
      <c r="S352" s="658">
        <v>10</v>
      </c>
      <c r="T352" s="658">
        <v>10</v>
      </c>
      <c r="U352" s="658">
        <v>10</v>
      </c>
      <c r="V352" s="658">
        <v>10</v>
      </c>
      <c r="W352" s="658">
        <v>10</v>
      </c>
      <c r="X352" s="658">
        <v>10</v>
      </c>
      <c r="Y352" s="658">
        <v>10</v>
      </c>
      <c r="Z352" s="658">
        <v>10</v>
      </c>
      <c r="AA352" s="658">
        <v>10</v>
      </c>
      <c r="AB352" s="658">
        <v>10</v>
      </c>
      <c r="AC352" s="658">
        <v>10</v>
      </c>
      <c r="AD352" s="658">
        <v>10</v>
      </c>
      <c r="AE352" s="658">
        <v>10</v>
      </c>
      <c r="AF352" s="658">
        <v>10</v>
      </c>
      <c r="AG352" s="658">
        <v>10</v>
      </c>
      <c r="AH352" s="658">
        <v>14</v>
      </c>
    </row>
  </sheetData>
  <sheetProtection sheet="1" formatColumns="0" formatRows="0" autoFilter="0" sort="1" insertRows="1" insertColumns="1" deleteRows="1" deleteColumns="1"/>
  <mergeCells count="438">
    <mergeCell ref="G52:G53"/>
    <mergeCell ref="D119:D121"/>
    <mergeCell ref="E119:E121"/>
    <mergeCell ref="F119:F121"/>
    <mergeCell ref="G119:G120"/>
    <mergeCell ref="D184:D186"/>
    <mergeCell ref="E184:E186"/>
    <mergeCell ref="F184:F186"/>
    <mergeCell ref="G184:G185"/>
    <mergeCell ref="D73:D75"/>
    <mergeCell ref="E73:E75"/>
    <mergeCell ref="F73:F75"/>
    <mergeCell ref="D94:D96"/>
    <mergeCell ref="E94:E96"/>
    <mergeCell ref="D76:D78"/>
    <mergeCell ref="E76:E78"/>
    <mergeCell ref="F76:F78"/>
    <mergeCell ref="G167:G168"/>
    <mergeCell ref="G172:G173"/>
    <mergeCell ref="E52:E54"/>
    <mergeCell ref="F52:F54"/>
    <mergeCell ref="G102:G103"/>
    <mergeCell ref="G107:G108"/>
    <mergeCell ref="D79:D81"/>
    <mergeCell ref="F43:F45"/>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26:F328"/>
    <mergeCell ref="G323:G324"/>
    <mergeCell ref="D46:D48"/>
    <mergeCell ref="E46:E48"/>
    <mergeCell ref="F46:F48"/>
    <mergeCell ref="D27:D29"/>
    <mergeCell ref="E27:E29"/>
    <mergeCell ref="F27:F29"/>
    <mergeCell ref="D30:D34"/>
    <mergeCell ref="E30:E34"/>
    <mergeCell ref="F30:F34"/>
    <mergeCell ref="D35:D39"/>
    <mergeCell ref="E35:E39"/>
    <mergeCell ref="F35:F39"/>
    <mergeCell ref="G27:G28"/>
    <mergeCell ref="G30:G31"/>
    <mergeCell ref="G35:G36"/>
    <mergeCell ref="G40:G41"/>
    <mergeCell ref="G43:G44"/>
    <mergeCell ref="D40:D42"/>
    <mergeCell ref="E40:E42"/>
    <mergeCell ref="F40:F42"/>
    <mergeCell ref="D43:D45"/>
    <mergeCell ref="E43:E45"/>
    <mergeCell ref="F351:M351"/>
    <mergeCell ref="F285:L285"/>
    <mergeCell ref="D286:D288"/>
    <mergeCell ref="E286:E288"/>
    <mergeCell ref="F286:F288"/>
    <mergeCell ref="D289:D291"/>
    <mergeCell ref="E289:E291"/>
    <mergeCell ref="F289:F291"/>
    <mergeCell ref="D292:D296"/>
    <mergeCell ref="D302:D304"/>
    <mergeCell ref="E302:E304"/>
    <mergeCell ref="F302:F304"/>
    <mergeCell ref="D305:D307"/>
    <mergeCell ref="E305:E307"/>
    <mergeCell ref="F305:F307"/>
    <mergeCell ref="E292:E296"/>
    <mergeCell ref="F292:F296"/>
    <mergeCell ref="D297:D301"/>
    <mergeCell ref="E297:E301"/>
    <mergeCell ref="F323:F325"/>
    <mergeCell ref="D326:D328"/>
    <mergeCell ref="E326:E328"/>
    <mergeCell ref="D347:D349"/>
    <mergeCell ref="E347:E349"/>
    <mergeCell ref="G49:G50"/>
    <mergeCell ref="G55:G56"/>
    <mergeCell ref="G58:G59"/>
    <mergeCell ref="G61:G62"/>
    <mergeCell ref="M221:M224"/>
    <mergeCell ref="M91:M94"/>
    <mergeCell ref="F155:L155"/>
    <mergeCell ref="M156:M159"/>
    <mergeCell ref="F220:L220"/>
    <mergeCell ref="F55:F57"/>
    <mergeCell ref="F58:F60"/>
    <mergeCell ref="F79:F81"/>
    <mergeCell ref="F82:F84"/>
    <mergeCell ref="F94:F96"/>
    <mergeCell ref="F97:F101"/>
    <mergeCell ref="M24:M87"/>
    <mergeCell ref="G46:G47"/>
    <mergeCell ref="G137:G138"/>
    <mergeCell ref="G140:G141"/>
    <mergeCell ref="G143:G144"/>
    <mergeCell ref="G146:G147"/>
    <mergeCell ref="G162:G163"/>
    <mergeCell ref="G94:G95"/>
    <mergeCell ref="G97:G98"/>
    <mergeCell ref="D49:D51"/>
    <mergeCell ref="E49:E51"/>
    <mergeCell ref="F49:F51"/>
    <mergeCell ref="D67:D69"/>
    <mergeCell ref="E67:E69"/>
    <mergeCell ref="F67:F69"/>
    <mergeCell ref="D70:D72"/>
    <mergeCell ref="E70:E72"/>
    <mergeCell ref="F70:F72"/>
    <mergeCell ref="D61:D63"/>
    <mergeCell ref="E61:E63"/>
    <mergeCell ref="F61:F63"/>
    <mergeCell ref="D64:D66"/>
    <mergeCell ref="E64:E66"/>
    <mergeCell ref="F64:F66"/>
    <mergeCell ref="D55:D57"/>
    <mergeCell ref="E55:E57"/>
    <mergeCell ref="D58:D60"/>
    <mergeCell ref="E58:E60"/>
    <mergeCell ref="D52:D54"/>
    <mergeCell ref="E79:E81"/>
    <mergeCell ref="D82:D84"/>
    <mergeCell ref="E82:E84"/>
    <mergeCell ref="D97:D101"/>
    <mergeCell ref="E97:E101"/>
    <mergeCell ref="D116:D118"/>
    <mergeCell ref="E116:E118"/>
    <mergeCell ref="F116:F118"/>
    <mergeCell ref="F102:F106"/>
    <mergeCell ref="D107:D109"/>
    <mergeCell ref="E107:E109"/>
    <mergeCell ref="F107:F109"/>
    <mergeCell ref="D85:D87"/>
    <mergeCell ref="E85:E87"/>
    <mergeCell ref="F85:F87"/>
    <mergeCell ref="D91:D93"/>
    <mergeCell ref="E91:E93"/>
    <mergeCell ref="F91:F93"/>
    <mergeCell ref="D102:D106"/>
    <mergeCell ref="E102:E106"/>
    <mergeCell ref="F88:L88"/>
    <mergeCell ref="H89:I89"/>
    <mergeCell ref="F90:L90"/>
    <mergeCell ref="G110:G111"/>
    <mergeCell ref="D122:D124"/>
    <mergeCell ref="E122:E124"/>
    <mergeCell ref="F122:F124"/>
    <mergeCell ref="D110:D112"/>
    <mergeCell ref="E110:E112"/>
    <mergeCell ref="F110:F112"/>
    <mergeCell ref="D113:D115"/>
    <mergeCell ref="E113:E115"/>
    <mergeCell ref="F113:F115"/>
    <mergeCell ref="D125:D127"/>
    <mergeCell ref="E125:E127"/>
    <mergeCell ref="F125:F127"/>
    <mergeCell ref="D128:D130"/>
    <mergeCell ref="E128:E130"/>
    <mergeCell ref="F128:F130"/>
    <mergeCell ref="G128:G129"/>
    <mergeCell ref="G131:G132"/>
    <mergeCell ref="G134:G135"/>
    <mergeCell ref="D131:D133"/>
    <mergeCell ref="E131:E133"/>
    <mergeCell ref="F131:F133"/>
    <mergeCell ref="D134:D136"/>
    <mergeCell ref="E134:E136"/>
    <mergeCell ref="F134:F136"/>
    <mergeCell ref="D143:D145"/>
    <mergeCell ref="E143:E145"/>
    <mergeCell ref="F143:F145"/>
    <mergeCell ref="D146:D148"/>
    <mergeCell ref="E146:E148"/>
    <mergeCell ref="F146:F148"/>
    <mergeCell ref="D137:D139"/>
    <mergeCell ref="E137:E139"/>
    <mergeCell ref="F137:F139"/>
    <mergeCell ref="D140:D142"/>
    <mergeCell ref="E140:E142"/>
    <mergeCell ref="F140:F142"/>
    <mergeCell ref="G149:G150"/>
    <mergeCell ref="G152:G153"/>
    <mergeCell ref="G156:G157"/>
    <mergeCell ref="G159:G160"/>
    <mergeCell ref="D172:D174"/>
    <mergeCell ref="E172:E174"/>
    <mergeCell ref="F172:F174"/>
    <mergeCell ref="D175:D177"/>
    <mergeCell ref="E175:E177"/>
    <mergeCell ref="F175:F177"/>
    <mergeCell ref="D162:D166"/>
    <mergeCell ref="D159:D161"/>
    <mergeCell ref="E159:E161"/>
    <mergeCell ref="F159:F161"/>
    <mergeCell ref="D149:D151"/>
    <mergeCell ref="E149:E151"/>
    <mergeCell ref="F149:F151"/>
    <mergeCell ref="D152:D154"/>
    <mergeCell ref="E152:E154"/>
    <mergeCell ref="F152:F154"/>
    <mergeCell ref="D156:D158"/>
    <mergeCell ref="E156:E158"/>
    <mergeCell ref="F156:F158"/>
    <mergeCell ref="E162:E166"/>
    <mergeCell ref="F162:F166"/>
    <mergeCell ref="D167:D171"/>
    <mergeCell ref="E167:E171"/>
    <mergeCell ref="F167:F171"/>
    <mergeCell ref="D178:D180"/>
    <mergeCell ref="E178:E180"/>
    <mergeCell ref="F178:F180"/>
    <mergeCell ref="D181:D183"/>
    <mergeCell ref="E181:E183"/>
    <mergeCell ref="F181:F183"/>
    <mergeCell ref="D202:D204"/>
    <mergeCell ref="E202:E204"/>
    <mergeCell ref="F202:F204"/>
    <mergeCell ref="D193:D195"/>
    <mergeCell ref="E193:E195"/>
    <mergeCell ref="F193:F195"/>
    <mergeCell ref="D196:D198"/>
    <mergeCell ref="E196:E198"/>
    <mergeCell ref="F196:F198"/>
    <mergeCell ref="D187:D189"/>
    <mergeCell ref="E187:E189"/>
    <mergeCell ref="F187:F189"/>
    <mergeCell ref="D190:D192"/>
    <mergeCell ref="E190:E192"/>
    <mergeCell ref="F190:F192"/>
    <mergeCell ref="G190:G191"/>
    <mergeCell ref="D199:D201"/>
    <mergeCell ref="E199:E201"/>
    <mergeCell ref="F199:F201"/>
    <mergeCell ref="D205:D207"/>
    <mergeCell ref="E205:E207"/>
    <mergeCell ref="F205:F207"/>
    <mergeCell ref="D208:D210"/>
    <mergeCell ref="E208:E210"/>
    <mergeCell ref="F208:F210"/>
    <mergeCell ref="G205:G206"/>
    <mergeCell ref="G208:G209"/>
    <mergeCell ref="D227:D231"/>
    <mergeCell ref="E227:E231"/>
    <mergeCell ref="F227:F231"/>
    <mergeCell ref="D217:D219"/>
    <mergeCell ref="E217:E219"/>
    <mergeCell ref="F217:F219"/>
    <mergeCell ref="D221:D223"/>
    <mergeCell ref="E221:E223"/>
    <mergeCell ref="F221:F223"/>
    <mergeCell ref="D211:D213"/>
    <mergeCell ref="E211:E213"/>
    <mergeCell ref="F211:F213"/>
    <mergeCell ref="D214:D216"/>
    <mergeCell ref="E214:E216"/>
    <mergeCell ref="F214:F216"/>
    <mergeCell ref="G214:G215"/>
    <mergeCell ref="D240:D242"/>
    <mergeCell ref="E240:E242"/>
    <mergeCell ref="F240:F242"/>
    <mergeCell ref="D243:D245"/>
    <mergeCell ref="E243:E245"/>
    <mergeCell ref="F243:F245"/>
    <mergeCell ref="G243:G244"/>
    <mergeCell ref="D224:D226"/>
    <mergeCell ref="E224:E226"/>
    <mergeCell ref="F224:F226"/>
    <mergeCell ref="D232:D236"/>
    <mergeCell ref="E232:E236"/>
    <mergeCell ref="F232:F236"/>
    <mergeCell ref="D237:D239"/>
    <mergeCell ref="E237:E239"/>
    <mergeCell ref="F237:F239"/>
    <mergeCell ref="D255:D257"/>
    <mergeCell ref="E255:E257"/>
    <mergeCell ref="F255:F257"/>
    <mergeCell ref="G249:G250"/>
    <mergeCell ref="D261:D263"/>
    <mergeCell ref="E261:E263"/>
    <mergeCell ref="F261:F263"/>
    <mergeCell ref="D258:D260"/>
    <mergeCell ref="E258:E260"/>
    <mergeCell ref="F258:F260"/>
    <mergeCell ref="D246:D248"/>
    <mergeCell ref="E246:E248"/>
    <mergeCell ref="F246:F248"/>
    <mergeCell ref="D252:D254"/>
    <mergeCell ref="E252:E254"/>
    <mergeCell ref="F252:F254"/>
    <mergeCell ref="D249:D251"/>
    <mergeCell ref="E249:E251"/>
    <mergeCell ref="F249:F251"/>
    <mergeCell ref="D264:D266"/>
    <mergeCell ref="E264:E266"/>
    <mergeCell ref="F264:F266"/>
    <mergeCell ref="G261:G262"/>
    <mergeCell ref="G264:G265"/>
    <mergeCell ref="G267:G268"/>
    <mergeCell ref="D282:D284"/>
    <mergeCell ref="E282:E284"/>
    <mergeCell ref="F282:F284"/>
    <mergeCell ref="D273:D275"/>
    <mergeCell ref="E273:E275"/>
    <mergeCell ref="F273:F275"/>
    <mergeCell ref="D276:D278"/>
    <mergeCell ref="E276:E278"/>
    <mergeCell ref="F276:F278"/>
    <mergeCell ref="D267:D269"/>
    <mergeCell ref="E267:E269"/>
    <mergeCell ref="F267:F269"/>
    <mergeCell ref="D270:D272"/>
    <mergeCell ref="E270:E272"/>
    <mergeCell ref="F270:F272"/>
    <mergeCell ref="G270:G271"/>
    <mergeCell ref="D279:D281"/>
    <mergeCell ref="E279:E281"/>
    <mergeCell ref="F279:F281"/>
    <mergeCell ref="F297:F301"/>
    <mergeCell ref="D317:D319"/>
    <mergeCell ref="E317:E319"/>
    <mergeCell ref="F317:F319"/>
    <mergeCell ref="D320:D322"/>
    <mergeCell ref="E320:E322"/>
    <mergeCell ref="F320:F322"/>
    <mergeCell ref="D308:D310"/>
    <mergeCell ref="E308:E310"/>
    <mergeCell ref="F308:F310"/>
    <mergeCell ref="D311:D313"/>
    <mergeCell ref="E311:E313"/>
    <mergeCell ref="F311:F313"/>
    <mergeCell ref="D314:D316"/>
    <mergeCell ref="E314:E316"/>
    <mergeCell ref="F314:F316"/>
    <mergeCell ref="F347:F349"/>
    <mergeCell ref="M286:M289"/>
    <mergeCell ref="D341:D343"/>
    <mergeCell ref="E341:E343"/>
    <mergeCell ref="F341:F343"/>
    <mergeCell ref="D344:D346"/>
    <mergeCell ref="E344:E346"/>
    <mergeCell ref="F344:F346"/>
    <mergeCell ref="D335:D337"/>
    <mergeCell ref="E335:E337"/>
    <mergeCell ref="F335:F337"/>
    <mergeCell ref="D338:D340"/>
    <mergeCell ref="E338:E340"/>
    <mergeCell ref="F338:F340"/>
    <mergeCell ref="D329:D331"/>
    <mergeCell ref="E329:E331"/>
    <mergeCell ref="F329:F331"/>
    <mergeCell ref="D332:D334"/>
    <mergeCell ref="E332:E334"/>
    <mergeCell ref="F332:F334"/>
    <mergeCell ref="D323:D325"/>
    <mergeCell ref="E323:E325"/>
    <mergeCell ref="G347:G348"/>
    <mergeCell ref="G289:G290"/>
    <mergeCell ref="G64:G65"/>
    <mergeCell ref="G67:G68"/>
    <mergeCell ref="G70:G71"/>
    <mergeCell ref="G73:G74"/>
    <mergeCell ref="G76:G77"/>
    <mergeCell ref="G79:G80"/>
    <mergeCell ref="G82:G83"/>
    <mergeCell ref="G85:G86"/>
    <mergeCell ref="G91:G92"/>
    <mergeCell ref="G335:G336"/>
    <mergeCell ref="G338:G339"/>
    <mergeCell ref="G341:G342"/>
    <mergeCell ref="G344:G345"/>
    <mergeCell ref="G326:G327"/>
    <mergeCell ref="G329:G330"/>
    <mergeCell ref="G332:G333"/>
    <mergeCell ref="G320:G321"/>
    <mergeCell ref="G273:G274"/>
    <mergeCell ref="G276:G277"/>
    <mergeCell ref="G279:G280"/>
    <mergeCell ref="G282:G283"/>
    <mergeCell ref="G286:G287"/>
    <mergeCell ref="G292:G293"/>
    <mergeCell ref="G297:G298"/>
    <mergeCell ref="G302:G303"/>
    <mergeCell ref="G305:G306"/>
    <mergeCell ref="G308:G309"/>
    <mergeCell ref="G311:G312"/>
    <mergeCell ref="G317:G318"/>
    <mergeCell ref="G314:G315"/>
    <mergeCell ref="G113:G114"/>
    <mergeCell ref="G116:G117"/>
    <mergeCell ref="G122:G123"/>
    <mergeCell ref="G125:G126"/>
    <mergeCell ref="G246:G247"/>
    <mergeCell ref="G252:G253"/>
    <mergeCell ref="G255:G256"/>
    <mergeCell ref="G258:G259"/>
    <mergeCell ref="G211:G212"/>
    <mergeCell ref="G217:G218"/>
    <mergeCell ref="G221:G222"/>
    <mergeCell ref="G224:G225"/>
    <mergeCell ref="G227:G228"/>
    <mergeCell ref="G178:G179"/>
    <mergeCell ref="G181:G182"/>
    <mergeCell ref="G187:G188"/>
    <mergeCell ref="G232:G233"/>
    <mergeCell ref="G237:G238"/>
    <mergeCell ref="G240:G241"/>
    <mergeCell ref="G193:G194"/>
    <mergeCell ref="G196:G197"/>
    <mergeCell ref="G199:G200"/>
    <mergeCell ref="G202:G203"/>
    <mergeCell ref="G175:G176"/>
    <mergeCell ref="G32:G33"/>
    <mergeCell ref="G99:G100"/>
    <mergeCell ref="G164:G165"/>
    <mergeCell ref="G229:G230"/>
    <mergeCell ref="G294:G295"/>
    <mergeCell ref="G37:G38"/>
    <mergeCell ref="G104:G105"/>
    <mergeCell ref="G169:G170"/>
    <mergeCell ref="G234:G235"/>
    <mergeCell ref="G299:G30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3:J43 I24:J24 I27:J27 I30:J30 I35:J35 I40:J40 I46:J46 I49:J49 I55:J55 I58:J58 I61:J61 I64:J64 I67:J67 I70:J70 I73:J73 I76:J76 I79:J79 I82:J82 I221:J221 I224:J224 I227:J227 I232:J232 I237:J237 I240:J240 I243:J243 I246:J246 I252:J252 I255:J255 I258:J258 I261:J261 I264:J264 I267:J267 I270:J270 I273:J273 I276:J276 I8:J8 I85:J85 I152:J152 I94:J94 I97:J97 I102:J102 I107:J107 I110:J110 I113:J113 I116:J116 I122:J122 I125:J125 I128:J128 I131:J131 I134:J134 I137:J137 I140:J140 I143:J143 I146:J146 I149:J149 I156:J156 I91:J91 I159:J159 I162:J162 I167:J167 I172:J172 I175:J175 I178:J178 I181:J181 I187:J187 I190:J190 I193:J193 I196:J196 I199:J199 I205:J205 I208:J208 I211:J211 I214:J214 I217:J217 I202:J202 I279:J279 I282:J282 I286:J286 I289:J289 I292:J292 I297:J297 I302:J302 I305:J305 I308:J308 I311:J311 I317:J317 I320:J320 I323:J323 I326:J326 I329:J329 I332:J332 I335:J335 I338:J338 I341:J341 I344:J344 I347:J347 I2:J2 I5:J5 I52:J52 I119:J119 I184:J184 I249:J249 I314:J314 I32 J32 I99 J99 I164 J164 I229 J229 I294 J294 I37 J37 I104 J104 I169 J169 I234 J234 I299 J299"/>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9">
      <formula1>900</formula1>
    </dataValidation>
    <dataValidation type="textLength" operator="lessThanOrEqual" allowBlank="1" showInputMessage="1" showErrorMessage="1" errorTitle="Ошибка" error="Допускается ввод не более 900 символов!" sqref="M156:M157 M221:M222 M23 M91:M92 M286:M287">
      <formula1>900</formula1>
    </dataValidation>
    <dataValidation type="decimal" allowBlank="1" showErrorMessage="1" errorTitle="Ошибка" error="Допускается ввод только действительных чисел!" sqref="K221 K224 K227 K232 K237 K240 K243 K246 K252 K255 K258 K261 K264 K267 K270 K273 K276 K279 K10 K91 K149 K146 K143 K140 K137 K134 K131 K128 K125 K122 K116 K113 K110 K107 K102 K97 K94 K156 K152 K159 K162 K167 K172 K175 K178 K181 K187 K190 K193 K196 K199 K205 K208 K211 K214 K217 K202 K282 K286 K289 K292 K297 K302 K305 K308 K311 K317 K320 K323 K326 K329 K332 K335 K338 K341 K344 K347 K5 K119 K184 K249 K314 K99 K164 K229 K294 K104 K169 K234 K299">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DD2676-060F-79C1-018A-BB03B57E34E4}"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31504" width="9.140625" hidden="1" customWidth="1"/>
    <col min="2" max="2" style="30620" width="9.140625" hidden="1" customWidth="1"/>
    <col min="3" max="3" style="31505" width="3.00390625" customWidth="1"/>
    <col min="4" max="4" style="30541" width="6.00390625" customWidth="1"/>
    <col min="5" max="5" style="30541" width="53.00390625" customWidth="1"/>
    <col min="6" max="7" style="30541" width="35.00390625" customWidth="1"/>
    <col min="8" max="8" style="30541" width="89.00390625" customWidth="1"/>
    <col min="9" max="9" style="30541" width="10.00390625" customWidth="1"/>
    <col min="10" max="11" style="30727" width="10.00390625" customWidth="1"/>
    <col min="12" max="17" style="30541" width="10.00390625" customWidth="1"/>
    <col min="18" max="18" style="30541" width="10.57421875" hidden="1"/>
  </cols>
  <sheetData>
    <row customHeight="1" ht="22.5" hidden="1">
      <c r="N1" s="539"/>
      <c r="O1" s="539"/>
      <c r="Q1" s="539"/>
      <c r="R1" s="658" t="s">
        <v>14</v>
      </c>
    </row>
    <row s="30541" customFormat="1" customHeight="1" ht="18.75" hidden="1">
      <c r="A2" s="386"/>
      <c r="B2" s="1444"/>
      <c r="C2" s="2014" t="s">
        <v>106</v>
      </c>
      <c r="D2" s="1957"/>
      <c r="E2" s="1966"/>
      <c r="F2" s="541"/>
      <c r="G2" s="1445"/>
      <c r="H2" s="658"/>
      <c r="I2" s="1908"/>
      <c r="J2" s="1908"/>
      <c r="R2" s="1915">
        <v>0</v>
      </c>
    </row>
    <row customHeight="1" ht="14.25" hidden="1">
      <c r="R3" s="658">
        <v>0</v>
      </c>
    </row>
    <row customHeight="1" ht="6.3">
      <c r="C4" s="660"/>
      <c r="D4" s="647"/>
      <c r="E4" s="647"/>
      <c r="F4" s="647"/>
      <c r="G4" s="369"/>
      <c r="H4" s="369"/>
      <c r="R4" s="658">
        <v>6</v>
      </c>
    </row>
    <row customHeight="1" ht="34.5">
      <c r="C5" s="660"/>
      <c r="D5" s="273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739"/>
      <c r="F5" s="2739"/>
      <c r="G5" s="2740"/>
      <c r="H5" s="550"/>
      <c r="R5" s="658">
        <v>33</v>
      </c>
    </row>
    <row s="30541" customFormat="1" customHeight="1" ht="18">
      <c r="A6" s="1953"/>
      <c r="B6" s="1444"/>
      <c r="C6" s="660"/>
      <c r="D6" s="2741" t="str">
        <f>IF(org=0,"Не определено",org)</f>
        <v>АО "ДГК"</v>
      </c>
      <c r="E6" s="2742"/>
      <c r="F6" s="2742"/>
      <c r="G6" s="2743"/>
      <c r="H6" s="550"/>
      <c r="J6" s="1908"/>
      <c r="K6" s="1908"/>
      <c r="R6" s="1915">
        <v>17</v>
      </c>
    </row>
    <row customHeight="1" ht="14.699999999999998">
      <c r="C7" s="660"/>
      <c r="D7" s="647"/>
      <c r="E7" s="673"/>
      <c r="F7" s="673"/>
      <c r="G7" s="1036"/>
      <c r="H7" s="477"/>
      <c r="R7" s="658">
        <v>14</v>
      </c>
    </row>
    <row customHeight="1" ht="14.699999999999998">
      <c r="C8" s="660"/>
      <c r="D8" s="2493" t="s">
        <v>360</v>
      </c>
      <c r="E8" s="2493"/>
      <c r="F8" s="2493"/>
      <c r="G8" s="2493"/>
      <c r="H8" s="2673" t="s">
        <v>361</v>
      </c>
      <c r="R8" s="658">
        <v>14</v>
      </c>
    </row>
    <row customHeight="1" ht="24">
      <c r="C9" s="660"/>
      <c r="D9" s="670" t="s">
        <v>91</v>
      </c>
      <c r="E9" s="392" t="s">
        <v>362</v>
      </c>
      <c r="F9" s="392" t="s">
        <v>363</v>
      </c>
      <c r="G9" s="392" t="s">
        <v>450</v>
      </c>
      <c r="H9" s="2673"/>
      <c r="R9" s="658">
        <v>23</v>
      </c>
    </row>
    <row customHeight="1" ht="14.699999999999998">
      <c r="A10" s="627"/>
      <c r="C10" s="660"/>
      <c r="D10" s="431" t="s">
        <v>141</v>
      </c>
      <c r="E10" s="217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541"/>
      <c r="G10" s="497"/>
      <c r="H10" s="2453" t="s">
        <v>1239</v>
      </c>
      <c r="R10" s="658">
        <v>14</v>
      </c>
    </row>
    <row customHeight="1" ht="14.699999999999998">
      <c r="A11" s="627"/>
      <c r="C11" s="660"/>
      <c r="D11" s="431" t="s">
        <v>105</v>
      </c>
      <c r="E11" s="217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541"/>
      <c r="G11" s="497"/>
      <c r="H11" s="2454"/>
      <c r="R11" s="658">
        <v>14</v>
      </c>
    </row>
    <row customHeight="1" ht="14.699999999999998">
      <c r="A12" s="386"/>
      <c r="C12" s="671"/>
      <c r="D12" s="431" t="s">
        <v>93</v>
      </c>
      <c r="E12" s="672" t="str">
        <f>"Сведения о планировании закупочных процедур"&amp;IF(TEMPLATE_SPHERE="TKO"," &lt;1&gt;","")</f>
        <v>Сведения о планировании закупочных процедур</v>
      </c>
      <c r="F12" s="541"/>
      <c r="G12" s="497"/>
      <c r="H12" s="245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634"/>
      <c r="K12" s="658"/>
      <c r="R12" s="658">
        <v>14</v>
      </c>
    </row>
    <row customHeight="1" ht="14.699999999999998">
      <c r="A13" s="386"/>
      <c r="C13" s="671"/>
      <c r="D13" s="431" t="s">
        <v>94</v>
      </c>
      <c r="E13" s="672" t="str">
        <f>"Сведения о результатах проведения закупочных процедур"&amp;IF(TEMPLATE_SPHERE="TKO"," &lt;1&gt;","")</f>
        <v>Сведения о результатах проведения закупочных процедур</v>
      </c>
      <c r="F13" s="541"/>
      <c r="G13" s="497"/>
      <c r="H13" s="2454"/>
      <c r="I13" s="634"/>
      <c r="K13" s="658"/>
      <c r="R13" s="658">
        <v>14</v>
      </c>
    </row>
    <row customHeight="1" ht="14.699999999999998">
      <c r="A14" s="627"/>
      <c r="C14" s="660"/>
      <c r="D14" s="631"/>
      <c r="E14" s="679" t="s">
        <v>382</v>
      </c>
      <c r="F14" s="633"/>
      <c r="G14" s="485"/>
      <c r="H14" s="2455"/>
      <c r="R14" s="658">
        <v>14</v>
      </c>
    </row>
    <row s="30541" customFormat="1" customHeight="1" ht="14.699999999999998">
      <c r="A15" s="627"/>
      <c r="B15" s="1444"/>
      <c r="C15" s="660"/>
      <c r="D15" s="680"/>
      <c r="E15" s="1961"/>
      <c r="F15" s="1962"/>
      <c r="G15" s="1963"/>
      <c r="H15" s="1964"/>
      <c r="J15" s="1908"/>
      <c r="K15" s="1908"/>
      <c r="R15" s="1915">
        <v>14</v>
      </c>
    </row>
    <row customHeight="1" ht="14.699999999999998">
      <c r="D16" s="1965"/>
      <c r="E16" s="2669"/>
      <c r="F16" s="2669"/>
      <c r="G16" s="2669"/>
      <c r="H16" s="2669"/>
      <c r="R16" s="658">
        <v>14</v>
      </c>
    </row>
    <row customHeight="1" ht="22.5" hidden="1">
      <c r="A17" s="648" t="s">
        <v>85</v>
      </c>
      <c r="B17" s="430">
        <v>0</v>
      </c>
      <c r="C17" s="628">
        <v>3</v>
      </c>
      <c r="D17" s="658">
        <v>6</v>
      </c>
      <c r="E17" s="658">
        <v>53</v>
      </c>
      <c r="F17" s="658">
        <v>35</v>
      </c>
      <c r="G17" s="658">
        <v>35</v>
      </c>
      <c r="H17" s="658">
        <v>89</v>
      </c>
      <c r="I17" s="658">
        <v>10</v>
      </c>
      <c r="J17" s="634">
        <v>10</v>
      </c>
      <c r="K17" s="634">
        <v>10</v>
      </c>
      <c r="L17" s="658">
        <v>10</v>
      </c>
      <c r="M17" s="658">
        <v>10</v>
      </c>
      <c r="N17" s="658">
        <v>10</v>
      </c>
      <c r="O17" s="658">
        <v>10</v>
      </c>
      <c r="P17" s="658">
        <v>10</v>
      </c>
      <c r="Q17" s="658">
        <v>10</v>
      </c>
      <c r="R17" s="658">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B463CE-1305-B795-C73E-1B2FF166F48F}" mc:Ignorable="x14ac xr xr2 xr3">
  <sheetPr>
    <tabColor rgb="FFCCCCFF"/>
  </sheetPr>
  <dimension ref="A1:AR168"/>
  <sheetViews>
    <sheetView showGridLines="0" zoomScale="80" workbookViewId="0">
      <pane xSplit="6" ySplit="12" topLeftCell="G16" activePane="bottomRight" state="frozen"/>
      <selection pane="bottomLeft" activeCell="A13" sqref="A13"/>
      <selection pane="topRight" activeCell="G1" sqref="G1"/>
      <selection pane="bottomRight" activeCell="J60" sqref="J60:J63"/>
    </sheetView>
  </sheetViews>
  <sheetFormatPr defaultColWidth="9.140625" customHeight="1" defaultRowHeight="11.25"/>
  <cols>
    <col min="1" max="2" style="30727" width="3.7109375" hidden="1" customWidth="1"/>
    <col min="3" max="3" style="30764" width="3.00390625" customWidth="1"/>
    <col min="4" max="4" style="30764" width="6.00390625" customWidth="1"/>
    <col min="5" max="5" style="30764" width="42.00390625" customWidth="1"/>
    <col min="6" max="6" style="30764" width="15.00390625" customWidth="1"/>
    <col min="7" max="7" style="30764" width="42.00390625" customWidth="1"/>
    <col min="8" max="8" style="30764" width="3.00390625" customWidth="1"/>
    <col min="9" max="9" style="30764" width="5.00390625" customWidth="1"/>
    <col min="10" max="10" style="30764" width="47.00390625" customWidth="1"/>
    <col min="11" max="12" style="30764" width="3.00390625" customWidth="1"/>
    <col min="13" max="13" style="30764" width="5.00390625" customWidth="1"/>
    <col min="14" max="14" style="30764" width="28.00390625" customWidth="1"/>
    <col min="15" max="16" style="30764" width="3.00390625" customWidth="1"/>
    <col min="17" max="17" style="30764" width="5.00390625" customWidth="1"/>
    <col min="18" max="18" style="30764" width="34.00390625" customWidth="1"/>
    <col min="19" max="20" style="30764" width="3.7109375" customWidth="1"/>
    <col min="21" max="21" style="30764" width="5.7109375" customWidth="1"/>
    <col min="22" max="22" style="30764" width="34.421875" customWidth="1"/>
    <col min="23" max="23" style="30764" width="30.00390625" customWidth="1"/>
    <col min="24" max="24" style="30764" width="3.00390625" customWidth="1"/>
    <col min="25" max="28" style="30816" width="9.8515625" hidden="1" customWidth="1"/>
    <col min="29" max="29" style="30816" width="27.00390625" hidden="1" customWidth="1"/>
    <col min="30" max="30" style="30816" width="10.57421875" hidden="1" customWidth="1"/>
    <col min="31" max="31" style="30816" width="10.7109375" hidden="1" customWidth="1"/>
    <col min="32" max="32" style="30816" width="10.00390625" hidden="1" customWidth="1"/>
    <col min="33" max="33" style="30816" width="12.8515625" hidden="1" customWidth="1"/>
    <col min="34" max="34" style="30816" width="24.421875" hidden="1" customWidth="1"/>
    <col min="35" max="35" style="30816" width="15.8515625" hidden="1" customWidth="1"/>
    <col min="36" max="36" style="30816" width="19.421875" hidden="1" customWidth="1"/>
    <col min="37" max="37" style="30816" width="11.00390625" hidden="1" customWidth="1"/>
    <col min="38" max="38" style="30816" width="23.57421875" hidden="1" customWidth="1"/>
    <col min="39" max="39" style="30816" width="23.8515625" hidden="1" customWidth="1"/>
    <col min="40" max="40" style="30816" width="25.28125" hidden="1" customWidth="1"/>
    <col min="41" max="41" style="30816" width="16.8515625" hidden="1" customWidth="1"/>
    <col min="42" max="42" style="30816" width="29.57421875" hidden="1" customWidth="1"/>
    <col min="43" max="43" style="30816" width="29.8515625" hidden="1" customWidth="1"/>
    <col min="44" max="44" style="30764" width="9.140625" hidden="1"/>
  </cols>
  <sheetData>
    <row customHeight="1" ht="11.25" hidden="1">
      <c r="A1" s="440"/>
      <c r="AR1" s="388" t="s">
        <v>14</v>
      </c>
    </row>
    <row customHeight="1" ht="11.25" hidden="1">
      <c r="AR2" s="388">
        <v>0</v>
      </c>
    </row>
    <row customHeight="1" ht="11.25" hidden="1">
      <c r="AR3" s="388">
        <v>0</v>
      </c>
    </row>
    <row customHeight="1" ht="3">
      <c r="AR4" s="388">
        <v>3</v>
      </c>
    </row>
    <row s="30735" customFormat="1" customHeight="1" ht="30.45">
      <c r="A5" s="438"/>
      <c r="B5" s="438"/>
      <c r="D5" s="244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42"/>
      <c r="F5" s="2442"/>
      <c r="G5" s="2442"/>
      <c r="H5" s="2442"/>
      <c r="I5" s="2442"/>
      <c r="J5" s="2443"/>
      <c r="K5" s="549"/>
      <c r="L5" s="426"/>
      <c r="M5" s="426"/>
      <c r="N5" s="426"/>
      <c r="O5" s="426"/>
      <c r="P5" s="426"/>
      <c r="Q5" s="426"/>
      <c r="R5" s="426"/>
      <c r="S5" s="574"/>
      <c r="T5" s="574"/>
      <c r="U5" s="574"/>
      <c r="V5" s="574"/>
      <c r="W5" s="426"/>
      <c r="Y5" s="1544"/>
      <c r="Z5" s="1544"/>
      <c r="AA5" s="1544"/>
      <c r="AB5" s="1544"/>
      <c r="AC5" s="1544"/>
      <c r="AD5" s="1544"/>
      <c r="AE5" s="1544"/>
      <c r="AF5" s="1544"/>
      <c r="AG5" s="1544"/>
      <c r="AH5" s="1544"/>
      <c r="AI5" s="1544"/>
      <c r="AJ5" s="1544"/>
      <c r="AK5" s="1544"/>
      <c r="AL5" s="1544"/>
      <c r="AM5" s="1544"/>
      <c r="AN5" s="1544"/>
      <c r="AO5" s="1544"/>
      <c r="AP5" s="1544"/>
      <c r="AQ5" s="1544"/>
      <c r="AR5" s="395">
        <v>29</v>
      </c>
    </row>
    <row s="30735" customFormat="1" customHeight="1" ht="14.699999999999998">
      <c r="A6" s="869"/>
      <c r="B6" s="869"/>
      <c r="C6" s="869"/>
      <c r="D6" s="2447" t="str">
        <f>IF(org=0,"Не определено",org)</f>
        <v>АО "ДГК"</v>
      </c>
      <c r="E6" s="2447"/>
      <c r="F6" s="2447"/>
      <c r="G6" s="2447"/>
      <c r="H6" s="2447"/>
      <c r="I6" s="2447"/>
      <c r="J6" s="2447"/>
      <c r="K6" s="870"/>
      <c r="L6" s="870"/>
      <c r="M6" s="870"/>
      <c r="N6" s="870"/>
      <c r="O6" s="1154"/>
      <c r="P6" s="1154"/>
      <c r="Q6" s="1154"/>
      <c r="R6" s="1154"/>
      <c r="S6" s="1154"/>
      <c r="T6" s="1154"/>
      <c r="U6" s="1154"/>
      <c r="V6" s="1154"/>
      <c r="W6" s="1154"/>
      <c r="X6" s="870"/>
      <c r="Y6" s="1545"/>
      <c r="Z6" s="1545"/>
      <c r="AA6" s="1545"/>
      <c r="AB6" s="1545"/>
      <c r="AC6" s="1545"/>
      <c r="AD6" s="1545"/>
      <c r="AE6" s="1545"/>
      <c r="AF6" s="1545"/>
      <c r="AG6" s="1545"/>
      <c r="AH6" s="1545"/>
      <c r="AI6" s="1545"/>
      <c r="AJ6" s="1545"/>
      <c r="AK6" s="1545"/>
      <c r="AL6" s="1545"/>
      <c r="AM6" s="1545"/>
      <c r="AN6" s="1545"/>
      <c r="AO6" s="1545"/>
      <c r="AP6" s="1545"/>
      <c r="AQ6" s="1545"/>
      <c r="AR6" s="871">
        <v>14</v>
      </c>
    </row>
    <row s="30829" customFormat="1" customHeight="1" ht="11.549999999999999">
      <c r="A7" s="495"/>
      <c r="B7" s="495"/>
      <c r="D7" s="2444"/>
      <c r="E7" s="2445"/>
      <c r="F7" s="2445"/>
      <c r="G7" s="2445"/>
      <c r="H7" s="2445"/>
      <c r="I7" s="2445"/>
      <c r="J7" s="2446"/>
      <c r="S7" s="583"/>
      <c r="T7" s="583"/>
      <c r="U7" s="583"/>
      <c r="V7" s="583"/>
      <c r="Y7" s="1546"/>
      <c r="Z7" s="1546"/>
      <c r="AA7" s="1546"/>
      <c r="AB7" s="1546"/>
      <c r="AC7" s="1546"/>
      <c r="AD7" s="1546"/>
      <c r="AE7" s="1546"/>
      <c r="AF7" s="1546"/>
      <c r="AG7" s="1546"/>
      <c r="AH7" s="1546"/>
      <c r="AI7" s="1546"/>
      <c r="AJ7" s="1546"/>
      <c r="AK7" s="1546"/>
      <c r="AL7" s="1546"/>
      <c r="AM7" s="1546"/>
      <c r="AN7" s="1546"/>
      <c r="AO7" s="1546"/>
      <c r="AP7" s="1546"/>
      <c r="AQ7" s="1546"/>
      <c r="AR7" s="560">
        <v>11</v>
      </c>
    </row>
    <row s="30735" customFormat="1" customHeight="1" ht="1.05">
      <c r="A8" s="438"/>
      <c r="B8" s="438"/>
      <c r="D8" s="496"/>
      <c r="E8" s="496"/>
      <c r="F8" s="496"/>
      <c r="G8" s="496"/>
      <c r="H8" s="496"/>
      <c r="I8" s="496"/>
      <c r="J8" s="496"/>
      <c r="K8" s="496"/>
      <c r="L8" s="496"/>
      <c r="M8" s="496"/>
      <c r="N8" s="496"/>
      <c r="O8" s="496"/>
      <c r="P8" s="496"/>
      <c r="Q8" s="496"/>
      <c r="R8" s="496"/>
      <c r="S8" s="496"/>
      <c r="T8" s="496"/>
      <c r="U8" s="496"/>
      <c r="V8" s="496"/>
      <c r="W8" s="496"/>
      <c r="X8" s="416"/>
      <c r="Y8" s="1544"/>
      <c r="Z8" s="1544"/>
      <c r="AA8" s="1544"/>
      <c r="AB8" s="1544"/>
      <c r="AC8" s="1544"/>
      <c r="AD8" s="1544"/>
      <c r="AE8" s="1544"/>
      <c r="AF8" s="1544"/>
      <c r="AG8" s="1544"/>
      <c r="AH8" s="1544"/>
      <c r="AI8" s="1544"/>
      <c r="AJ8" s="1544"/>
      <c r="AK8" s="1544"/>
      <c r="AL8" s="1544"/>
      <c r="AM8" s="1544"/>
      <c r="AN8" s="1544"/>
      <c r="AO8" s="1544"/>
      <c r="AP8" s="1544"/>
      <c r="AQ8" s="1544"/>
      <c r="AR8" s="395">
        <v>1</v>
      </c>
    </row>
    <row customHeight="1" ht="28.5">
      <c r="D9" s="2411" t="s">
        <v>91</v>
      </c>
      <c r="E9" s="2385" t="s">
        <v>152</v>
      </c>
      <c r="F9" s="2387"/>
      <c r="G9" s="2411" t="s">
        <v>137</v>
      </c>
      <c r="H9" s="2411" t="s">
        <v>91</v>
      </c>
      <c r="I9" s="2411"/>
      <c r="J9" s="2411" t="s">
        <v>153</v>
      </c>
      <c r="K9" s="2439" t="s">
        <v>154</v>
      </c>
      <c r="L9" s="2439"/>
      <c r="M9" s="2439"/>
      <c r="N9" s="2439"/>
      <c r="O9" s="2439" t="s">
        <v>155</v>
      </c>
      <c r="P9" s="2439"/>
      <c r="Q9" s="2439"/>
      <c r="R9" s="2439"/>
      <c r="S9" s="2439" t="s">
        <v>156</v>
      </c>
      <c r="T9" s="2439"/>
      <c r="U9" s="2439"/>
      <c r="V9" s="2439"/>
      <c r="W9" s="2411" t="s">
        <v>157</v>
      </c>
      <c r="AR9" s="388">
        <v>27</v>
      </c>
    </row>
    <row customHeight="1" ht="31.5">
      <c r="D10" s="2411"/>
      <c r="E10" s="1568" t="s">
        <v>92</v>
      </c>
      <c r="F10" s="1568" t="s">
        <v>158</v>
      </c>
      <c r="G10" s="2411"/>
      <c r="H10" s="2411"/>
      <c r="I10" s="2411"/>
      <c r="J10" s="2411"/>
      <c r="K10" s="394" t="s">
        <v>140</v>
      </c>
      <c r="L10" s="2411" t="s">
        <v>91</v>
      </c>
      <c r="M10" s="2411"/>
      <c r="N10" s="394" t="s">
        <v>159</v>
      </c>
      <c r="O10" s="394" t="s">
        <v>140</v>
      </c>
      <c r="P10" s="2411" t="s">
        <v>91</v>
      </c>
      <c r="Q10" s="2411"/>
      <c r="R10" s="394" t="s">
        <v>159</v>
      </c>
      <c r="S10" s="567" t="s">
        <v>140</v>
      </c>
      <c r="T10" s="2411" t="s">
        <v>91</v>
      </c>
      <c r="U10" s="2411"/>
      <c r="V10" s="567" t="s">
        <v>92</v>
      </c>
      <c r="W10" s="2411"/>
      <c r="Z10" s="1543" t="s">
        <v>160</v>
      </c>
      <c r="AA10" s="1543" t="s">
        <v>161</v>
      </c>
      <c r="AB10" s="1543" t="s">
        <v>162</v>
      </c>
      <c r="AC10" s="1543" t="s">
        <v>163</v>
      </c>
      <c r="AD10" s="1543" t="s">
        <v>164</v>
      </c>
      <c r="AE10" s="1543" t="s">
        <v>165</v>
      </c>
      <c r="AF10" s="1543" t="s">
        <v>166</v>
      </c>
      <c r="AG10" s="1543" t="s">
        <v>167</v>
      </c>
      <c r="AH10" s="1543" t="s">
        <v>168</v>
      </c>
      <c r="AI10" s="1543" t="s">
        <v>169</v>
      </c>
      <c r="AJ10" s="1543" t="s">
        <v>170</v>
      </c>
      <c r="AK10" s="1543" t="s">
        <v>171</v>
      </c>
      <c r="AL10" s="1543" t="s">
        <v>172</v>
      </c>
      <c r="AM10" s="1543" t="s">
        <v>173</v>
      </c>
      <c r="AN10" s="1543" t="s">
        <v>174</v>
      </c>
      <c r="AO10" s="1543" t="s">
        <v>175</v>
      </c>
      <c r="AP10" s="1543" t="s">
        <v>176</v>
      </c>
      <c r="AQ10" s="1543" t="s">
        <v>177</v>
      </c>
      <c r="AR10" s="388">
        <v>30</v>
      </c>
    </row>
    <row s="30727" customFormat="1" customHeight="1" ht="12" hidden="1">
      <c r="D11" s="1533" t="s">
        <v>141</v>
      </c>
      <c r="E11" s="1533" t="s">
        <v>105</v>
      </c>
      <c r="F11" s="1533"/>
      <c r="G11" s="1533" t="s">
        <v>93</v>
      </c>
      <c r="H11" s="2440" t="s">
        <v>124</v>
      </c>
      <c r="I11" s="2440"/>
      <c r="J11" s="1533" t="s">
        <v>95</v>
      </c>
      <c r="K11" s="1533" t="s">
        <v>96</v>
      </c>
      <c r="L11" s="2440" t="s">
        <v>142</v>
      </c>
      <c r="M11" s="2440"/>
      <c r="N11" s="1533" t="s">
        <v>178</v>
      </c>
      <c r="O11" s="1533" t="s">
        <v>179</v>
      </c>
      <c r="P11" s="2440" t="s">
        <v>180</v>
      </c>
      <c r="Q11" s="2440"/>
      <c r="R11" s="1533" t="s">
        <v>181</v>
      </c>
      <c r="S11" s="1533" t="s">
        <v>180</v>
      </c>
      <c r="T11" s="2440" t="s">
        <v>181</v>
      </c>
      <c r="U11" s="2440"/>
      <c r="V11" s="1533" t="s">
        <v>182</v>
      </c>
      <c r="W11" s="1533" t="s">
        <v>183</v>
      </c>
      <c r="Y11" s="1543"/>
      <c r="Z11" s="1543"/>
      <c r="AA11" s="1543"/>
      <c r="AB11" s="1543"/>
      <c r="AC11" s="1543"/>
      <c r="AD11" s="1543"/>
      <c r="AE11" s="1543"/>
      <c r="AF11" s="1543"/>
      <c r="AG11" s="1543"/>
      <c r="AH11" s="1543"/>
      <c r="AI11" s="1543"/>
      <c r="AJ11" s="1543"/>
      <c r="AK11" s="1543"/>
      <c r="AL11" s="1543"/>
      <c r="AM11" s="1543"/>
      <c r="AN11" s="1543"/>
      <c r="AO11" s="1543"/>
      <c r="AP11" s="1543"/>
      <c r="AQ11" s="1543"/>
      <c r="AR11" s="561">
        <v>0</v>
      </c>
    </row>
    <row customHeight="1" ht="14.25" hidden="1">
      <c r="C12" s="493"/>
      <c r="D12" s="1566">
        <v>0</v>
      </c>
      <c r="E12" s="534"/>
      <c r="F12" s="534"/>
      <c r="G12" s="534"/>
      <c r="H12" s="535"/>
      <c r="I12" s="535"/>
      <c r="J12" s="442"/>
      <c r="K12" s="396"/>
      <c r="L12" s="442"/>
      <c r="M12" s="442"/>
      <c r="N12" s="536"/>
      <c r="O12" s="396"/>
      <c r="P12" s="442"/>
      <c r="Q12" s="442"/>
      <c r="R12" s="537"/>
      <c r="S12" s="568"/>
      <c r="T12" s="576"/>
      <c r="U12" s="576"/>
      <c r="V12" s="580"/>
      <c r="W12" s="396"/>
      <c r="X12" s="425"/>
      <c r="AR12" s="388">
        <v>0</v>
      </c>
    </row>
    <row s="30764" customFormat="1" customHeight="1" ht="17.25">
      <c r="A13" s="605"/>
      <c r="C13" s="493"/>
      <c r="D13" s="2419">
        <v>1</v>
      </c>
      <c r="E13" s="2427" t="s">
        <v>184</v>
      </c>
      <c r="F13" s="2429" t="s">
        <v>19</v>
      </c>
      <c r="G13" s="2427"/>
      <c r="H13" s="2432"/>
      <c r="I13" s="2434"/>
      <c r="J13" s="2436"/>
      <c r="K13" s="2421"/>
      <c r="L13" s="2421"/>
      <c r="M13" s="2421"/>
      <c r="N13" s="2423"/>
      <c r="O13" s="2421"/>
      <c r="P13" s="2421"/>
      <c r="Q13" s="2421"/>
      <c r="R13" s="2426"/>
      <c r="S13" s="2421"/>
      <c r="T13" s="1704"/>
      <c r="U13" s="1704"/>
      <c r="V13" s="1703"/>
      <c r="W13" s="1580"/>
      <c r="Y13" s="1551"/>
      <c r="Z13" s="1551"/>
      <c r="AA13" s="1551"/>
      <c r="AB13" s="1551"/>
      <c r="AC13" s="1551" t="s">
        <v>185</v>
      </c>
      <c r="AD13" s="1551" t="s">
        <v>186</v>
      </c>
      <c r="AE13" s="1551" t="s">
        <v>187</v>
      </c>
      <c r="AF13" s="1551" t="s">
        <v>188</v>
      </c>
      <c r="AG13" s="1551" t="s">
        <v>189</v>
      </c>
      <c r="AH13" s="155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551" t="str">
        <f>IF($G$13=0,"",$G$13)</f>
        <v/>
      </c>
      <c r="AJ13" s="1551" t="str">
        <f>IF($J$13=0,"",$J$13)</f>
        <v/>
      </c>
      <c r="AK13" s="1551" t="str">
        <f>IF($K$13="нет","без дифференциации",IF($N$13=0,"",$N$13))</f>
        <v/>
      </c>
      <c r="AL13" s="1551" t="str">
        <f>IF($O$13="нет","без дифференциации",IF($R$13=0,"",$R$13))</f>
        <v/>
      </c>
      <c r="AM13" s="1551" t="str">
        <f>IF($S$13="нет","без дифференциации",IF($V$13=0,"",$V$13))</f>
        <v/>
      </c>
      <c r="AN13" s="1551">
        <f>$I$13</f>
        <v>0</v>
      </c>
      <c r="AO13" s="1551" t="str">
        <f>$I$13&amp;"."&amp;$M$13</f>
        <v>.</v>
      </c>
      <c r="AP13" s="1551" t="str">
        <f>$I$13&amp;"."&amp;$M$13&amp;"."&amp;$Q$13</f>
        <v>..</v>
      </c>
      <c r="AQ13" s="1551" t="str">
        <f>$I$13&amp;"."&amp;$M$13&amp;"."&amp;$Q$13&amp;"."&amp;$U$13</f>
        <v>...</v>
      </c>
      <c r="AR13" s="1034">
        <v>0</v>
      </c>
    </row>
    <row s="30764" customFormat="1" customHeight="1" ht="17.25">
      <c r="A14" s="605"/>
      <c r="C14" s="604"/>
      <c r="D14" s="2419"/>
      <c r="E14" s="2427"/>
      <c r="F14" s="2430"/>
      <c r="G14" s="2427"/>
      <c r="H14" s="2433"/>
      <c r="I14" s="2435"/>
      <c r="J14" s="2437"/>
      <c r="K14" s="2422"/>
      <c r="L14" s="2422"/>
      <c r="M14" s="2422"/>
      <c r="N14" s="2424"/>
      <c r="O14" s="2422"/>
      <c r="P14" s="2422"/>
      <c r="Q14" s="2422"/>
      <c r="R14" s="2425"/>
      <c r="S14" s="2422"/>
      <c r="T14" s="1581"/>
      <c r="U14" s="1581"/>
      <c r="V14" s="1581"/>
      <c r="W14" s="1582"/>
      <c r="Y14" s="1543"/>
      <c r="Z14" s="1543"/>
      <c r="AA14" s="1543"/>
      <c r="AB14" s="1543"/>
      <c r="AC14" s="1543"/>
      <c r="AD14" s="1543"/>
      <c r="AE14" s="1543"/>
      <c r="AF14" s="1543"/>
      <c r="AG14" s="1543"/>
      <c r="AH14" s="1543"/>
      <c r="AI14" s="1543"/>
      <c r="AJ14" s="1543"/>
      <c r="AK14" s="1543"/>
      <c r="AL14" s="1543"/>
      <c r="AM14" s="1543"/>
      <c r="AN14" s="1543"/>
      <c r="AO14" s="1543"/>
      <c r="AP14" s="1543"/>
      <c r="AQ14" s="1543"/>
      <c r="AR14" s="1034">
        <v>0</v>
      </c>
    </row>
    <row s="30764" customFormat="1" customHeight="1" ht="17.25">
      <c r="A15" s="605"/>
      <c r="C15" s="493"/>
      <c r="D15" s="2419"/>
      <c r="E15" s="2427"/>
      <c r="F15" s="2430"/>
      <c r="G15" s="2427"/>
      <c r="H15" s="2433"/>
      <c r="I15" s="2435"/>
      <c r="J15" s="2438"/>
      <c r="K15" s="2422"/>
      <c r="L15" s="2422"/>
      <c r="M15" s="2422"/>
      <c r="N15" s="2425"/>
      <c r="O15" s="2422"/>
      <c r="P15" s="1702"/>
      <c r="Q15" s="1581"/>
      <c r="R15" s="1581"/>
      <c r="S15" s="613"/>
      <c r="T15" s="613"/>
      <c r="U15" s="613"/>
      <c r="V15" s="613"/>
      <c r="W15" s="1582"/>
      <c r="Y15" s="1551"/>
      <c r="Z15" s="1551"/>
      <c r="AA15" s="1551"/>
      <c r="AB15" s="1551"/>
      <c r="AC15" s="1551"/>
      <c r="AD15" s="1551"/>
      <c r="AE15" s="1551"/>
      <c r="AF15" s="1551"/>
      <c r="AG15" s="1551"/>
      <c r="AH15" s="1551"/>
      <c r="AI15" s="1551"/>
      <c r="AJ15" s="1551"/>
      <c r="AK15" s="1551"/>
      <c r="AL15" s="1551"/>
      <c r="AM15" s="1551"/>
      <c r="AN15" s="1551"/>
      <c r="AO15" s="1551"/>
      <c r="AP15" s="1551"/>
      <c r="AQ15" s="1551"/>
      <c r="AR15" s="1701">
        <v>0</v>
      </c>
    </row>
    <row s="30764" customFormat="1" customHeight="1" ht="17.25">
      <c r="A16" s="605"/>
      <c r="C16" s="604"/>
      <c r="D16" s="2419"/>
      <c r="E16" s="2427"/>
      <c r="F16" s="2430"/>
      <c r="G16" s="2427"/>
      <c r="H16" s="2433"/>
      <c r="I16" s="2435"/>
      <c r="J16" s="2438"/>
      <c r="K16" s="2422"/>
      <c r="L16" s="1581"/>
      <c r="M16" s="1581"/>
      <c r="N16" s="1581"/>
      <c r="O16" s="1581"/>
      <c r="P16" s="1581"/>
      <c r="Q16" s="1581"/>
      <c r="R16" s="1581"/>
      <c r="S16" s="613"/>
      <c r="T16" s="613"/>
      <c r="U16" s="613"/>
      <c r="V16" s="613"/>
      <c r="W16" s="1582"/>
      <c r="Y16" s="1543"/>
      <c r="Z16" s="1543"/>
      <c r="AA16" s="1543"/>
      <c r="AB16" s="1543"/>
      <c r="AC16" s="1543"/>
      <c r="AD16" s="1543"/>
      <c r="AE16" s="1543"/>
      <c r="AF16" s="1543"/>
      <c r="AG16" s="1543"/>
      <c r="AH16" s="1543"/>
      <c r="AI16" s="1543"/>
      <c r="AJ16" s="1543"/>
      <c r="AK16" s="1543"/>
      <c r="AL16" s="1543"/>
      <c r="AM16" s="1543"/>
      <c r="AN16" s="1543"/>
      <c r="AO16" s="1543"/>
      <c r="AP16" s="1543"/>
      <c r="AQ16" s="1543"/>
      <c r="AR16" s="1701">
        <v>0</v>
      </c>
    </row>
    <row s="30764" customFormat="1" customHeight="1" ht="17.25">
      <c r="A17" s="605"/>
      <c r="C17" s="604"/>
      <c r="D17" s="2420"/>
      <c r="E17" s="2428"/>
      <c r="F17" s="2431"/>
      <c r="G17" s="2428"/>
      <c r="H17" s="1583"/>
      <c r="I17" s="1584"/>
      <c r="J17" s="1584"/>
      <c r="K17" s="1584"/>
      <c r="L17" s="1584"/>
      <c r="M17" s="1584"/>
      <c r="N17" s="1584"/>
      <c r="O17" s="1584"/>
      <c r="P17" s="1584"/>
      <c r="Q17" s="1584"/>
      <c r="R17" s="1584"/>
      <c r="S17" s="1585"/>
      <c r="T17" s="1585"/>
      <c r="U17" s="1585"/>
      <c r="V17" s="1585"/>
      <c r="W17" s="1586"/>
      <c r="Y17" s="1543"/>
      <c r="Z17" s="1543"/>
      <c r="AA17" s="1543"/>
      <c r="AB17" s="1543"/>
      <c r="AC17" s="1543"/>
      <c r="AD17" s="1543"/>
      <c r="AE17" s="1543"/>
      <c r="AF17" s="1543"/>
      <c r="AG17" s="1543"/>
      <c r="AH17" s="1543"/>
      <c r="AI17" s="1543"/>
      <c r="AJ17" s="1543"/>
      <c r="AK17" s="1543"/>
      <c r="AL17" s="1543"/>
      <c r="AM17" s="1543"/>
      <c r="AN17" s="1543"/>
      <c r="AO17" s="1543"/>
      <c r="AP17" s="1543"/>
      <c r="AQ17" s="1543"/>
      <c r="AR17" s="1034">
        <v>0</v>
      </c>
    </row>
    <row s="30764" customFormat="1" customHeight="1" ht="17.25">
      <c r="A18" s="605"/>
      <c r="C18" s="493"/>
      <c r="D18" s="2419">
        <v>2</v>
      </c>
      <c r="E18" s="22490" t="s">
        <v>190</v>
      </c>
      <c r="F18" s="2429" t="s">
        <v>19</v>
      </c>
      <c r="G18" s="2427"/>
      <c r="H18" s="2432"/>
      <c r="I18" s="2434"/>
      <c r="J18" s="2436"/>
      <c r="K18" s="2421"/>
      <c r="L18" s="2421"/>
      <c r="M18" s="2421"/>
      <c r="N18" s="2423"/>
      <c r="O18" s="2421"/>
      <c r="P18" s="2421"/>
      <c r="Q18" s="2421"/>
      <c r="R18" s="2426"/>
      <c r="S18" s="2421"/>
      <c r="T18" s="1704"/>
      <c r="U18" s="1704"/>
      <c r="V18" s="1703"/>
      <c r="W18" s="1580"/>
      <c r="X18" s="1551"/>
      <c r="Y18" s="1551"/>
      <c r="Z18" s="1551"/>
      <c r="AA18" s="1551"/>
      <c r="AB18" s="1551"/>
      <c r="AC18" s="1551" t="s">
        <v>191</v>
      </c>
      <c r="AD18" s="1551" t="s">
        <v>192</v>
      </c>
      <c r="AE18" s="1551" t="s">
        <v>193</v>
      </c>
      <c r="AF18" s="1551" t="s">
        <v>194</v>
      </c>
      <c r="AG18" s="1551" t="s">
        <v>195</v>
      </c>
      <c r="AH18" s="1551" t="str">
        <f>IF($E$18=0,"",$E$18)</f>
        <v>Тарифы на тепловую энергию (мощность), поставляемую теплоснабжающими организациями потребителям, другим теплоснабжающим организациям</v>
      </c>
      <c r="AI18" s="1551" t="str">
        <f>IF($G$18=0,"",$G$18)</f>
        <v/>
      </c>
      <c r="AJ18" s="1551" t="str">
        <f>IF($J$18=0,"",$J$18)</f>
        <v/>
      </c>
      <c r="AK18" s="1551" t="str">
        <f>IF($K$18="нет","без дифференциации",IF($N$18=0,"",$N$18))</f>
        <v/>
      </c>
      <c r="AL18" s="1551" t="str">
        <f>IF($O$18="нет","без дифференциации",IF($R$18=0,"",$R$18))</f>
        <v/>
      </c>
      <c r="AM18" s="1551" t="str">
        <f>IF($S$18="нет","без дифференциации",IF($V$18=0,"",$V$18))</f>
        <v/>
      </c>
      <c r="AN18" s="2056">
        <f>$I$18</f>
        <v>0</v>
      </c>
      <c r="AO18" s="1551" t="str">
        <f>$I$18&amp;"."&amp;$M$18</f>
        <v>.</v>
      </c>
      <c r="AP18" s="1543" t="str">
        <f>$I$18&amp;"."&amp;$M$18&amp;"."&amp;$Q$18</f>
        <v>..</v>
      </c>
      <c r="AQ18" s="1543" t="str">
        <f>$I$18&amp;"."&amp;$M$18&amp;"."&amp;$Q$18&amp;"."&amp;$U$18</f>
        <v>...</v>
      </c>
      <c r="AR18" s="1567">
        <v>0</v>
      </c>
    </row>
    <row s="30764" customFormat="1" customHeight="1" ht="17.25">
      <c r="A19" s="605"/>
      <c r="C19" s="604"/>
      <c r="D19" s="2419"/>
      <c r="E19" s="2448"/>
      <c r="F19" s="2430"/>
      <c r="G19" s="2427"/>
      <c r="H19" s="2433"/>
      <c r="I19" s="2435"/>
      <c r="J19" s="2437"/>
      <c r="K19" s="2422"/>
      <c r="L19" s="2422"/>
      <c r="M19" s="2422"/>
      <c r="N19" s="2424"/>
      <c r="O19" s="2422"/>
      <c r="P19" s="2422"/>
      <c r="Q19" s="2422"/>
      <c r="R19" s="2425"/>
      <c r="S19" s="2422"/>
      <c r="T19" s="1581"/>
      <c r="U19" s="1581"/>
      <c r="V19" s="1581"/>
      <c r="W19" s="1582"/>
      <c r="X19" s="1543"/>
      <c r="Y19" s="1543"/>
      <c r="Z19" s="1543"/>
      <c r="AA19" s="1543"/>
      <c r="AB19" s="1543"/>
      <c r="AC19" s="1543"/>
      <c r="AD19" s="1543"/>
      <c r="AE19" s="1543"/>
      <c r="AF19" s="1543"/>
      <c r="AG19" s="1543"/>
      <c r="AH19" s="1543"/>
      <c r="AI19" s="1543"/>
      <c r="AJ19" s="1543"/>
      <c r="AK19" s="1543"/>
      <c r="AL19" s="1543"/>
      <c r="AM19" s="1543"/>
      <c r="AN19" s="1543"/>
      <c r="AO19" s="1543"/>
      <c r="AP19" s="1543"/>
      <c r="AQ19" s="1543"/>
      <c r="AR19" s="1567">
        <v>0</v>
      </c>
    </row>
    <row s="30764" customFormat="1" customHeight="1" ht="17.25">
      <c r="A20" s="605"/>
      <c r="C20" s="604"/>
      <c r="D20" s="2420"/>
      <c r="E20" s="2449"/>
      <c r="F20" s="2430"/>
      <c r="G20" s="2428"/>
      <c r="H20" s="2433"/>
      <c r="I20" s="2435"/>
      <c r="J20" s="2438"/>
      <c r="K20" s="2422"/>
      <c r="L20" s="2422"/>
      <c r="M20" s="2422"/>
      <c r="N20" s="2425"/>
      <c r="O20" s="2422"/>
      <c r="P20" s="1702"/>
      <c r="Q20" s="1581"/>
      <c r="R20" s="1581"/>
      <c r="S20" s="613"/>
      <c r="T20" s="613"/>
      <c r="U20" s="613"/>
      <c r="V20" s="613"/>
      <c r="W20" s="1582"/>
      <c r="X20" s="1543"/>
      <c r="Y20" s="1543"/>
      <c r="Z20" s="1543"/>
      <c r="AA20" s="1543"/>
      <c r="AB20" s="1543"/>
      <c r="AC20" s="1543"/>
      <c r="AD20" s="1543"/>
      <c r="AE20" s="1543"/>
      <c r="AF20" s="1543"/>
      <c r="AG20" s="1543"/>
      <c r="AH20" s="1543"/>
      <c r="AI20" s="1543"/>
      <c r="AJ20" s="1543"/>
      <c r="AK20" s="1543"/>
      <c r="AL20" s="1543"/>
      <c r="AM20" s="1543"/>
      <c r="AN20" s="1543"/>
      <c r="AO20" s="1543"/>
      <c r="AP20" s="1543"/>
      <c r="AQ20" s="1543"/>
      <c r="AR20" s="1567">
        <v>0</v>
      </c>
    </row>
    <row s="30764" customFormat="1" customHeight="1" ht="17.25">
      <c r="A21" s="605"/>
      <c r="C21" s="604"/>
      <c r="D21" s="2420"/>
      <c r="E21" s="2449"/>
      <c r="F21" s="2430"/>
      <c r="G21" s="2428"/>
      <c r="H21" s="2433"/>
      <c r="I21" s="2435"/>
      <c r="J21" s="2438"/>
      <c r="K21" s="2422"/>
      <c r="L21" s="1581"/>
      <c r="M21" s="1581"/>
      <c r="N21" s="1581"/>
      <c r="O21" s="1581"/>
      <c r="P21" s="1581"/>
      <c r="Q21" s="1581"/>
      <c r="R21" s="1581"/>
      <c r="S21" s="613"/>
      <c r="T21" s="613"/>
      <c r="U21" s="613"/>
      <c r="V21" s="613"/>
      <c r="W21" s="1582"/>
      <c r="X21" s="1543"/>
      <c r="Y21" s="1543"/>
      <c r="Z21" s="1543"/>
      <c r="AA21" s="1543"/>
      <c r="AB21" s="1543"/>
      <c r="AC21" s="1543"/>
      <c r="AD21" s="1543"/>
      <c r="AE21" s="1543"/>
      <c r="AF21" s="1543"/>
      <c r="AG21" s="1543"/>
      <c r="AH21" s="1543"/>
      <c r="AI21" s="1543"/>
      <c r="AJ21" s="1543"/>
      <c r="AK21" s="1543"/>
      <c r="AL21" s="1543"/>
      <c r="AM21" s="1543"/>
      <c r="AN21" s="1543"/>
      <c r="AO21" s="1543"/>
      <c r="AP21" s="1543"/>
      <c r="AQ21" s="1543"/>
      <c r="AR21" s="1567">
        <v>0</v>
      </c>
    </row>
    <row s="30764" customFormat="1" customHeight="1" ht="17.25">
      <c r="A22" s="605"/>
      <c r="C22" s="604"/>
      <c r="D22" s="2420"/>
      <c r="E22" s="2449"/>
      <c r="F22" s="2431"/>
      <c r="G22" s="2428"/>
      <c r="H22" s="1583"/>
      <c r="I22" s="1584"/>
      <c r="J22" s="1584"/>
      <c r="K22" s="1584"/>
      <c r="L22" s="1584"/>
      <c r="M22" s="1584"/>
      <c r="N22" s="1584"/>
      <c r="O22" s="1584"/>
      <c r="P22" s="1584"/>
      <c r="Q22" s="1584"/>
      <c r="R22" s="1584"/>
      <c r="S22" s="1585"/>
      <c r="T22" s="1585"/>
      <c r="U22" s="1585"/>
      <c r="V22" s="1585"/>
      <c r="W22" s="1586"/>
      <c r="X22" s="1543"/>
      <c r="Y22" s="1543"/>
      <c r="Z22" s="1543"/>
      <c r="AA22" s="1543"/>
      <c r="AB22" s="1543"/>
      <c r="AC22" s="1543"/>
      <c r="AD22" s="1543"/>
      <c r="AE22" s="1543"/>
      <c r="AF22" s="1543"/>
      <c r="AG22" s="1543"/>
      <c r="AH22" s="1543"/>
      <c r="AI22" s="1543"/>
      <c r="AJ22" s="1543"/>
      <c r="AK22" s="1543"/>
      <c r="AL22" s="1543"/>
      <c r="AM22" s="1543"/>
      <c r="AN22" s="1543"/>
      <c r="AO22" s="1543"/>
      <c r="AP22" s="1543"/>
      <c r="AQ22" s="1543"/>
      <c r="AR22" s="1567">
        <v>0</v>
      </c>
    </row>
    <row s="30764" customFormat="1" customHeight="1" ht="17.25" hidden="1">
      <c r="A23" s="605"/>
      <c r="C23" s="493"/>
      <c r="D23" s="2419">
        <v>2</v>
      </c>
      <c r="E23" s="2427" t="s">
        <v>190</v>
      </c>
      <c r="F23" s="2429" t="s">
        <v>19</v>
      </c>
      <c r="G23" s="2427"/>
      <c r="H23" s="2432"/>
      <c r="I23" s="2434"/>
      <c r="J23" s="2436"/>
      <c r="K23" s="2421"/>
      <c r="L23" s="2421"/>
      <c r="M23" s="2421"/>
      <c r="N23" s="2423"/>
      <c r="O23" s="2421"/>
      <c r="P23" s="2421"/>
      <c r="Q23" s="2421"/>
      <c r="R23" s="2426"/>
      <c r="S23" s="2421"/>
      <c r="T23" s="2282"/>
      <c r="U23" s="2282"/>
      <c r="V23" s="2284"/>
      <c r="W23" s="1580"/>
      <c r="X23" s="1551"/>
      <c r="Y23" s="1551"/>
      <c r="Z23" s="1551" t="s">
        <v>28</v>
      </c>
      <c r="AA23" s="1551" t="s">
        <v>28</v>
      </c>
      <c r="AB23" s="1551" t="s">
        <v>28</v>
      </c>
      <c r="AC23" s="1551" t="s">
        <v>28</v>
      </c>
      <c r="AD23" s="1551" t="s">
        <v>28</v>
      </c>
      <c r="AE23" s="1551" t="s">
        <v>28</v>
      </c>
      <c r="AF23" s="1551" t="s">
        <v>28</v>
      </c>
      <c r="AG23" s="1551" t="s">
        <v>28</v>
      </c>
      <c r="AH23" s="1551" t="s">
        <v>28</v>
      </c>
      <c r="AI23" s="1551" t="s">
        <v>28</v>
      </c>
      <c r="AJ23" s="1551" t="s">
        <v>28</v>
      </c>
      <c r="AK23" s="1551" t="s">
        <v>28</v>
      </c>
      <c r="AL23" s="1551" t="s">
        <v>28</v>
      </c>
      <c r="AM23" s="1551" t="s">
        <v>28</v>
      </c>
      <c r="AN23" s="2056" t="s">
        <v>28</v>
      </c>
      <c r="AO23" s="1551" t="s">
        <v>28</v>
      </c>
      <c r="AP23" s="1550" t="s">
        <v>28</v>
      </c>
      <c r="AQ23" s="1550" t="s">
        <v>28</v>
      </c>
      <c r="AR23" s="1751">
        <v>0</v>
      </c>
    </row>
    <row s="30764" customFormat="1" customHeight="1" ht="17.25" hidden="1">
      <c r="A24" s="605"/>
      <c r="C24" s="604"/>
      <c r="D24" s="2419"/>
      <c r="E24" s="2427"/>
      <c r="F24" s="2430"/>
      <c r="G24" s="2427"/>
      <c r="H24" s="2433"/>
      <c r="I24" s="2435"/>
      <c r="J24" s="2437"/>
      <c r="K24" s="2422"/>
      <c r="L24" s="2422"/>
      <c r="M24" s="2422"/>
      <c r="N24" s="2424"/>
      <c r="O24" s="2422"/>
      <c r="P24" s="2422"/>
      <c r="Q24" s="2422"/>
      <c r="R24" s="2425"/>
      <c r="S24" s="2422"/>
      <c r="T24" s="2287"/>
      <c r="U24" s="2287"/>
      <c r="V24" s="2287"/>
      <c r="W24" s="2288"/>
      <c r="X24" s="1550"/>
      <c r="Y24" s="1550"/>
      <c r="Z24" s="1550"/>
      <c r="AA24" s="1550"/>
      <c r="AB24" s="1550"/>
      <c r="AC24" s="1550"/>
      <c r="AD24" s="1550"/>
      <c r="AE24" s="1550"/>
      <c r="AF24" s="1550"/>
      <c r="AG24" s="1550"/>
      <c r="AH24" s="1550"/>
      <c r="AI24" s="1550"/>
      <c r="AJ24" s="1550"/>
      <c r="AK24" s="1550"/>
      <c r="AL24" s="1550"/>
      <c r="AM24" s="1550"/>
      <c r="AN24" s="1550"/>
      <c r="AO24" s="1550"/>
      <c r="AP24" s="1550"/>
      <c r="AQ24" s="1550"/>
      <c r="AR24" s="1751">
        <v>0</v>
      </c>
    </row>
    <row s="30764" customFormat="1" customHeight="1" ht="17.25" hidden="1">
      <c r="A25" s="605"/>
      <c r="C25" s="604"/>
      <c r="D25" s="2420"/>
      <c r="E25" s="2428"/>
      <c r="F25" s="2430"/>
      <c r="G25" s="2428"/>
      <c r="H25" s="2433"/>
      <c r="I25" s="2435"/>
      <c r="J25" s="2438"/>
      <c r="K25" s="2422"/>
      <c r="L25" s="2422"/>
      <c r="M25" s="2422"/>
      <c r="N25" s="2425"/>
      <c r="O25" s="2422"/>
      <c r="P25" s="2283"/>
      <c r="Q25" s="2287"/>
      <c r="R25" s="2287"/>
      <c r="S25" s="613"/>
      <c r="T25" s="613"/>
      <c r="U25" s="613"/>
      <c r="V25" s="613"/>
      <c r="W25" s="2288"/>
      <c r="X25" s="1550"/>
      <c r="Y25" s="1550"/>
      <c r="Z25" s="1550"/>
      <c r="AA25" s="1550"/>
      <c r="AB25" s="1550"/>
      <c r="AC25" s="1550"/>
      <c r="AD25" s="1550"/>
      <c r="AE25" s="1550"/>
      <c r="AF25" s="1550"/>
      <c r="AG25" s="1550"/>
      <c r="AH25" s="1550"/>
      <c r="AI25" s="1550"/>
      <c r="AJ25" s="1550"/>
      <c r="AK25" s="1550"/>
      <c r="AL25" s="1550"/>
      <c r="AM25" s="1550"/>
      <c r="AN25" s="1550"/>
      <c r="AO25" s="1550"/>
      <c r="AP25" s="1550"/>
      <c r="AQ25" s="1550"/>
      <c r="AR25" s="1751">
        <v>0</v>
      </c>
    </row>
    <row s="30764" customFormat="1" customHeight="1" ht="17.25" hidden="1">
      <c r="A26" s="605"/>
      <c r="C26" s="604"/>
      <c r="D26" s="2420"/>
      <c r="E26" s="2428"/>
      <c r="F26" s="2430"/>
      <c r="G26" s="2428"/>
      <c r="H26" s="2433"/>
      <c r="I26" s="2435"/>
      <c r="J26" s="2438"/>
      <c r="K26" s="2422"/>
      <c r="L26" s="2287"/>
      <c r="M26" s="2287"/>
      <c r="N26" s="2287"/>
      <c r="O26" s="2287"/>
      <c r="P26" s="2287"/>
      <c r="Q26" s="2287"/>
      <c r="R26" s="2287"/>
      <c r="S26" s="613"/>
      <c r="T26" s="613"/>
      <c r="U26" s="613"/>
      <c r="V26" s="613"/>
      <c r="W26" s="2288"/>
      <c r="X26" s="1550"/>
      <c r="Y26" s="1550"/>
      <c r="Z26" s="1550"/>
      <c r="AA26" s="1550"/>
      <c r="AB26" s="1550"/>
      <c r="AC26" s="1550"/>
      <c r="AD26" s="1550"/>
      <c r="AE26" s="1550"/>
      <c r="AF26" s="1550"/>
      <c r="AG26" s="1550"/>
      <c r="AH26" s="1550"/>
      <c r="AI26" s="1550"/>
      <c r="AJ26" s="1550"/>
      <c r="AK26" s="1550"/>
      <c r="AL26" s="1550"/>
      <c r="AM26" s="1550"/>
      <c r="AN26" s="1550"/>
      <c r="AO26" s="1550"/>
      <c r="AP26" s="1550"/>
      <c r="AQ26" s="1550"/>
      <c r="AR26" s="1751">
        <v>0</v>
      </c>
    </row>
    <row s="30764" customFormat="1" customHeight="1" ht="17.25" hidden="1">
      <c r="A27" s="605"/>
      <c r="C27" s="604"/>
      <c r="D27" s="2420"/>
      <c r="E27" s="2428"/>
      <c r="F27" s="2431"/>
      <c r="G27" s="2428"/>
      <c r="H27" s="1583"/>
      <c r="I27" s="2285"/>
      <c r="J27" s="2285"/>
      <c r="K27" s="2285"/>
      <c r="L27" s="2285"/>
      <c r="M27" s="2285"/>
      <c r="N27" s="2285"/>
      <c r="O27" s="2285"/>
      <c r="P27" s="2285"/>
      <c r="Q27" s="2285"/>
      <c r="R27" s="2285"/>
      <c r="S27" s="1585"/>
      <c r="T27" s="1585"/>
      <c r="U27" s="1585"/>
      <c r="V27" s="1585"/>
      <c r="W27" s="2286"/>
      <c r="X27" s="1550"/>
      <c r="Y27" s="1550"/>
      <c r="Z27" s="1550"/>
      <c r="AA27" s="1550"/>
      <c r="AB27" s="1550"/>
      <c r="AC27" s="1550"/>
      <c r="AD27" s="1550"/>
      <c r="AE27" s="1550"/>
      <c r="AF27" s="1550"/>
      <c r="AG27" s="1550"/>
      <c r="AH27" s="1550"/>
      <c r="AI27" s="1550"/>
      <c r="AJ27" s="1550"/>
      <c r="AK27" s="1550"/>
      <c r="AL27" s="1550"/>
      <c r="AM27" s="1550"/>
      <c r="AN27" s="1550"/>
      <c r="AO27" s="1550"/>
      <c r="AP27" s="1550"/>
      <c r="AQ27" s="1550"/>
      <c r="AR27" s="1751">
        <v>0</v>
      </c>
    </row>
    <row s="30764" customFormat="1" customHeight="1" ht="17.25">
      <c r="A28" s="605"/>
      <c r="C28" s="493"/>
      <c r="D28" s="2419">
        <v>3</v>
      </c>
      <c r="E28" s="2427" t="s">
        <v>196</v>
      </c>
      <c r="F28" s="2429" t="s">
        <v>19</v>
      </c>
      <c r="G28" s="14110" t="s">
        <v>28</v>
      </c>
      <c r="H28" s="14111"/>
      <c r="I28" s="14112"/>
      <c r="J28" s="14113"/>
      <c r="K28" s="14114"/>
      <c r="L28" s="14114"/>
      <c r="M28" s="14114"/>
      <c r="N28" s="14115"/>
      <c r="O28" s="14114"/>
      <c r="P28" s="14114"/>
      <c r="Q28" s="14114"/>
      <c r="R28" s="14116"/>
      <c r="S28" s="14114"/>
      <c r="T28" s="14114"/>
      <c r="U28" s="14114"/>
      <c r="V28" s="14116"/>
      <c r="W28" s="14117"/>
      <c r="X28" s="1551"/>
      <c r="Y28" s="1551"/>
      <c r="Z28" s="1551" t="s">
        <v>101</v>
      </c>
      <c r="AA28" s="1551"/>
      <c r="AB28" s="1551"/>
      <c r="AC28" s="1551" t="s">
        <v>197</v>
      </c>
      <c r="AD28" s="1551" t="s">
        <v>198</v>
      </c>
      <c r="AE28" s="1551" t="s">
        <v>199</v>
      </c>
      <c r="AF28" s="1551" t="s">
        <v>200</v>
      </c>
      <c r="AG28" s="1551" t="s">
        <v>201</v>
      </c>
      <c r="AH28" s="1551" t="str">
        <f>IF($E$28=0,"",$E$28)</f>
        <v>Тарифы на теплоноситель, поставляемый теплоснабжающими организациями потребителям, другим теплоснабжающим организациям</v>
      </c>
      <c r="AI28" s="1551" t="str">
        <f>IF($G$28=0,"",$G$28)</f>
        <v/>
      </c>
      <c r="AJ28" s="1551" t="str">
        <f>IF($J$28=0,"",$J$28)</f>
        <v/>
      </c>
      <c r="AK28" s="1551" t="str">
        <f>IF($K$28="нет","без дифференциации",IF($N$28=0,"",$N$28))</f>
        <v/>
      </c>
      <c r="AL28" s="1551" t="str">
        <f>IF($O$28="нет","без дифференциации",IF($R$28=0,"",$R$28))</f>
        <v/>
      </c>
      <c r="AM28" s="1551" t="str">
        <f>IF($S$28="нет","без дифференциации",IF($V$28=0,"",$V$28))</f>
        <v/>
      </c>
      <c r="AN28" s="2056">
        <f>$I$28</f>
        <v>0</v>
      </c>
      <c r="AO28" s="1551" t="str">
        <f>$I$28&amp;"."&amp;$M$28</f>
        <v>.</v>
      </c>
      <c r="AP28" s="1543" t="str">
        <f>$I$28&amp;"."&amp;$M$28&amp;"."&amp;$Q$28</f>
        <v>..</v>
      </c>
      <c r="AQ28" s="1543" t="str">
        <f>$I$28&amp;"."&amp;$M$28&amp;"."&amp;$Q$28&amp;"."&amp;$U$28</f>
        <v>...</v>
      </c>
      <c r="AR28" s="1567">
        <v>0</v>
      </c>
    </row>
    <row s="30764" customFormat="1" customHeight="1" ht="17.25">
      <c r="A29" s="605"/>
      <c r="C29" s="604"/>
      <c r="D29" s="2419"/>
      <c r="E29" s="2427"/>
      <c r="F29" s="2430"/>
      <c r="G29" s="14110" t="s">
        <v>28</v>
      </c>
      <c r="H29" s="14118"/>
      <c r="I29" s="14119"/>
      <c r="J29" s="14120"/>
      <c r="K29" s="14121"/>
      <c r="L29" s="14121"/>
      <c r="M29" s="14121"/>
      <c r="N29" s="14122"/>
      <c r="O29" s="14121"/>
      <c r="P29" s="14121"/>
      <c r="Q29" s="14121"/>
      <c r="R29" s="14123"/>
      <c r="S29" s="14121"/>
      <c r="T29" s="14124"/>
      <c r="U29" s="14124"/>
      <c r="V29" s="14124"/>
      <c r="W29" s="14125"/>
      <c r="X29" s="1543"/>
      <c r="Y29" s="1543"/>
      <c r="Z29" s="1543"/>
      <c r="AA29" s="1543"/>
      <c r="AB29" s="1543"/>
      <c r="AC29" s="1543"/>
      <c r="AD29" s="1543"/>
      <c r="AE29" s="1543"/>
      <c r="AF29" s="1543"/>
      <c r="AG29" s="1543"/>
      <c r="AH29" s="1543"/>
      <c r="AI29" s="1543"/>
      <c r="AJ29" s="1543"/>
      <c r="AK29" s="1543"/>
      <c r="AL29" s="1543"/>
      <c r="AM29" s="1543"/>
      <c r="AN29" s="1543"/>
      <c r="AO29" s="1543"/>
      <c r="AP29" s="1543"/>
      <c r="AQ29" s="1543"/>
      <c r="AR29" s="1567">
        <v>0</v>
      </c>
    </row>
    <row s="30764" customFormat="1" customHeight="1" ht="17.25">
      <c r="A30" s="605"/>
      <c r="C30" s="604"/>
      <c r="D30" s="2420"/>
      <c r="E30" s="2428"/>
      <c r="F30" s="2430"/>
      <c r="G30" s="14126" t="s">
        <v>28</v>
      </c>
      <c r="H30" s="14118"/>
      <c r="I30" s="14119"/>
      <c r="J30" s="14127"/>
      <c r="K30" s="14121"/>
      <c r="L30" s="14121"/>
      <c r="M30" s="14121"/>
      <c r="N30" s="14123"/>
      <c r="O30" s="14121"/>
      <c r="P30" s="14121"/>
      <c r="Q30" s="14124"/>
      <c r="R30" s="14124"/>
      <c r="S30" s="14128"/>
      <c r="T30" s="14128"/>
      <c r="U30" s="14128"/>
      <c r="V30" s="14128"/>
      <c r="W30" s="14125"/>
      <c r="X30" s="1543"/>
      <c r="Y30" s="1543"/>
      <c r="Z30" s="1543"/>
      <c r="AA30" s="1543"/>
      <c r="AB30" s="1543"/>
      <c r="AC30" s="1543"/>
      <c r="AD30" s="1543"/>
      <c r="AE30" s="1543"/>
      <c r="AF30" s="1543"/>
      <c r="AG30" s="1543"/>
      <c r="AH30" s="1543"/>
      <c r="AI30" s="1543"/>
      <c r="AJ30" s="1543"/>
      <c r="AK30" s="1543"/>
      <c r="AL30" s="1543"/>
      <c r="AM30" s="1543"/>
      <c r="AN30" s="1543"/>
      <c r="AO30" s="1543"/>
      <c r="AP30" s="1543"/>
      <c r="AQ30" s="1543"/>
      <c r="AR30" s="1567">
        <v>0</v>
      </c>
    </row>
    <row customHeight="1" ht="17.25">
      <c r="A31" s="2124"/>
      <c r="B31" s="3385"/>
      <c r="C31" s="2126"/>
      <c r="D31" s="2114"/>
      <c r="E31" s="2131"/>
      <c r="F31" s="2068"/>
      <c r="G31" s="14135" t="s">
        <v>28</v>
      </c>
      <c r="H31" s="14118"/>
      <c r="I31" s="14119"/>
      <c r="J31" s="14127"/>
      <c r="K31" s="14121"/>
      <c r="L31" s="14124"/>
      <c r="M31" s="14124"/>
      <c r="N31" s="14124"/>
      <c r="O31" s="14124"/>
      <c r="P31" s="14124"/>
      <c r="Q31" s="14124"/>
      <c r="R31" s="14124"/>
      <c r="S31" s="14128"/>
      <c r="T31" s="14128"/>
      <c r="U31" s="14128"/>
      <c r="V31" s="14128"/>
      <c r="W31" s="14125"/>
      <c r="X31" s="3385"/>
      <c r="Y31" s="1551"/>
      <c r="Z31" s="1551" t="s">
        <v>111</v>
      </c>
      <c r="AA31" s="1551"/>
      <c r="AB31" s="1551"/>
      <c r="AC31" s="3398" t="s">
        <v>197</v>
      </c>
      <c r="AD31" s="3398" t="s">
        <v>198</v>
      </c>
      <c r="AE31" s="1551" t="s">
        <v>202</v>
      </c>
      <c r="AF31" s="1551" t="s">
        <v>203</v>
      </c>
      <c r="AG31" s="1551" t="s">
        <v>204</v>
      </c>
      <c r="AH31" s="1551" t="str">
        <f>IF($E$28=0,"",$E$28)</f>
        <v>Тарифы на теплоноситель, поставляемый теплоснабжающими организациями потребителям, другим теплоснабжающим организациям</v>
      </c>
      <c r="AI31" s="1551" t="str">
        <f>IF($G$28=0,"",$G$28)</f>
        <v/>
      </c>
      <c r="AJ31" s="1551" t="str">
        <f>IF($J$28=0,"",$J$28)</f>
        <v/>
      </c>
      <c r="AK31" s="1551" t="str">
        <f>IF($K$31="нет","без дифференциации",IF($N$31=0,"",$N$31))</f>
        <v/>
      </c>
      <c r="AL31" s="2128" t="str">
        <f>IF($O$31="нет","без дифференциации",IF($R$31=0,"",$R$31))</f>
        <v/>
      </c>
      <c r="AM31" s="2128" t="str">
        <f>IF($S$31="нет","без дифференциации",IF($V$31=0,"",$V$31))</f>
        <v/>
      </c>
      <c r="AN31" s="1551">
        <f>$I$28</f>
        <v>0</v>
      </c>
      <c r="AO31" s="1551" t="str">
        <f>$I$28&amp;"."&amp;$M$31</f>
        <v>.</v>
      </c>
      <c r="AP31" s="1551" t="str">
        <f>$I$28&amp;"."&amp;$M$31&amp;"."&amp;$Q$31</f>
        <v>..</v>
      </c>
      <c r="AQ31" s="1551" t="str">
        <f>$I$28&amp;"."&amp;$M$31&amp;"."&amp;$Q$31&amp;"."&amp;$U$31</f>
        <v>...</v>
      </c>
      <c r="AR31" s="3385"/>
    </row>
    <row s="30764" customFormat="1" customHeight="1" ht="17.25">
      <c r="A32" s="605"/>
      <c r="C32" s="604"/>
      <c r="D32" s="2420"/>
      <c r="E32" s="2428"/>
      <c r="F32" s="2431"/>
      <c r="G32" s="14126" t="s">
        <v>28</v>
      </c>
      <c r="H32" s="14138"/>
      <c r="I32" s="14139"/>
      <c r="J32" s="14139"/>
      <c r="K32" s="14139"/>
      <c r="L32" s="14139"/>
      <c r="M32" s="14139"/>
      <c r="N32" s="14139"/>
      <c r="O32" s="14139"/>
      <c r="P32" s="14139"/>
      <c r="Q32" s="14139"/>
      <c r="R32" s="14139"/>
      <c r="S32" s="14140"/>
      <c r="T32" s="14140"/>
      <c r="U32" s="14140"/>
      <c r="V32" s="14140"/>
      <c r="W32" s="14141"/>
      <c r="X32" s="1543"/>
      <c r="Y32" s="1543"/>
      <c r="Z32" s="1543"/>
      <c r="AA32" s="1543"/>
      <c r="AB32" s="1543"/>
      <c r="AC32" s="1543"/>
      <c r="AD32" s="1543"/>
      <c r="AE32" s="1543"/>
      <c r="AF32" s="1543"/>
      <c r="AG32" s="1543"/>
      <c r="AH32" s="1543"/>
      <c r="AI32" s="1543"/>
      <c r="AJ32" s="1543"/>
      <c r="AK32" s="1543"/>
      <c r="AL32" s="1543"/>
      <c r="AM32" s="1543"/>
      <c r="AN32" s="1543"/>
      <c r="AO32" s="1543"/>
      <c r="AP32" s="1543"/>
      <c r="AQ32" s="1543"/>
      <c r="AR32" s="1567">
        <v>0</v>
      </c>
    </row>
    <row s="30764" customFormat="1" customHeight="1" ht="17.25">
      <c r="A33" s="605"/>
      <c r="C33" s="493"/>
      <c r="D33" s="2419">
        <v>4</v>
      </c>
      <c r="E33" s="2427" t="s">
        <v>205</v>
      </c>
      <c r="F33" s="2429" t="s">
        <v>64</v>
      </c>
      <c r="G33" s="8445" t="str">
        <f>INDEX(VD_NAME_LIST,MATCH("4190064",VD_ID_LIST,0))&amp;"; "&amp;INDEX(VD_NAME_LIST,MATCH("4190066",VD_ID_LIST,0))&amp;"; "&amp;INDEX(VD_NAME_LIST,MATCH("4190067",VD_ID_LIST,0))&amp;"; "&amp;INDEX(VD_NAME_LIST,MATCH("4190068",VD_ID_LIST,0))&amp;"; "&amp;INDEX(VD_NAME_LIST,MATCH("4190069",VD_ID_LIST,0))&amp;"; "&amp;INDEX(VD_NAME_LIST,MATCH("4190070",VD_ID_LIST,0))&amp;"; "&amp;INDEX(VD_NAME_LIST,MATCH("4190071",VD_ID_LIST,0))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H33" s="8446"/>
      <c r="I33" s="8446">
        <v>1</v>
      </c>
      <c r="J33" s="8447" t="s">
        <v>206</v>
      </c>
      <c r="K33" s="8448" t="s">
        <v>64</v>
      </c>
      <c r="L33" s="8449"/>
      <c r="M33" s="8449" t="s">
        <v>141</v>
      </c>
      <c r="N33" s="8450" t="str">
        <f>IF(Z33="","",INDEX(TERRITORY_MR_LIST,MATCH(Z33,TERRITORY_LIST_ID,0)))</f>
        <v>Территория 1</v>
      </c>
      <c r="O33" s="8448" t="s">
        <v>19</v>
      </c>
      <c r="P33" s="8449"/>
      <c r="Q33" s="8449" t="s">
        <v>141</v>
      </c>
      <c r="R33" s="14148" t="s">
        <v>28</v>
      </c>
      <c r="S33" s="8452" t="s">
        <v>19</v>
      </c>
      <c r="T33" s="8449"/>
      <c r="U33" s="8449" t="s">
        <v>141</v>
      </c>
      <c r="V33" s="14148" t="s">
        <v>28</v>
      </c>
      <c r="W33" s="8447"/>
      <c r="X33" s="1551"/>
      <c r="Y33" s="1551"/>
      <c r="Z33" s="1551" t="s">
        <v>101</v>
      </c>
      <c r="AA33" s="1551"/>
      <c r="AB33" s="1551" t="s">
        <v>207</v>
      </c>
      <c r="AC33" s="1551" t="s">
        <v>208</v>
      </c>
      <c r="AD33" s="1551" t="s">
        <v>209</v>
      </c>
      <c r="AE33" s="1551" t="s">
        <v>210</v>
      </c>
      <c r="AF33" s="1551" t="s">
        <v>211</v>
      </c>
      <c r="AG33" s="1551" t="s">
        <v>212</v>
      </c>
      <c r="AH33" s="155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551" t="str">
        <f>IF($G$33=0,"",$G$33)</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J33" s="1551" t="str">
        <f>IF($J$33=0,"",$J$33)</f>
        <v>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v>
      </c>
      <c r="AK33" s="1551" t="str">
        <f>IF($K$33="нет","без дифференциации",IF($N$33=0,"",$N$33))</f>
        <v>Территория 1</v>
      </c>
      <c r="AL33" s="1551" t="str">
        <f>IF($O$33="нет","без дифференциации",IF($R$33=0,"",$R$33))</f>
        <v>без дифференциации</v>
      </c>
      <c r="AM33" s="1551" t="str">
        <f>IF($S$33="нет","без дифференциации",IF($V$33=0,"",$V$33))</f>
        <v>без дифференциации</v>
      </c>
      <c r="AN33" s="2056">
        <f>$I$33</f>
        <v>1</v>
      </c>
      <c r="AO33" s="1551" t="str">
        <f>$I$33&amp;"."&amp;$M$33</f>
        <v>1.1</v>
      </c>
      <c r="AP33" s="1543" t="str">
        <f>$I$33&amp;"."&amp;$M$33&amp;"."&amp;$Q$33</f>
        <v>1.1.1</v>
      </c>
      <c r="AQ33" s="1543" t="str">
        <f>$I$33&amp;"."&amp;$M$33&amp;"."&amp;$Q$33&amp;"."&amp;$U$33</f>
        <v>1.1.1.1</v>
      </c>
      <c r="AR33" s="1567">
        <v>0</v>
      </c>
    </row>
    <row s="30764" customFormat="1" customHeight="1" ht="17.25">
      <c r="A34" s="605"/>
      <c r="C34" s="604"/>
      <c r="D34" s="2419"/>
      <c r="E34" s="2427"/>
      <c r="F34" s="2430"/>
      <c r="G34" s="8445"/>
      <c r="H34" s="8446"/>
      <c r="I34" s="8446"/>
      <c r="J34" s="8447"/>
      <c r="K34" s="8453"/>
      <c r="L34" s="8449"/>
      <c r="M34" s="8449"/>
      <c r="N34" s="8450"/>
      <c r="O34" s="8453"/>
      <c r="P34" s="8449"/>
      <c r="Q34" s="8449"/>
      <c r="R34" s="14148" t="s">
        <v>28</v>
      </c>
      <c r="S34" s="8452"/>
      <c r="T34" s="8454"/>
      <c r="U34" s="8455"/>
      <c r="V34" s="8456" t="s">
        <v>213</v>
      </c>
      <c r="W34" s="8457"/>
      <c r="X34" s="1543"/>
      <c r="Y34" s="1543"/>
      <c r="Z34" s="1543"/>
      <c r="AA34" s="1543"/>
      <c r="AB34" s="1543"/>
      <c r="AC34" s="1543"/>
      <c r="AD34" s="1543"/>
      <c r="AE34" s="1543"/>
      <c r="AF34" s="1543"/>
      <c r="AG34" s="1543"/>
      <c r="AH34" s="1543"/>
      <c r="AI34" s="1543"/>
      <c r="AJ34" s="1543"/>
      <c r="AK34" s="1543"/>
      <c r="AL34" s="1543"/>
      <c r="AM34" s="1543"/>
      <c r="AN34" s="1543"/>
      <c r="AO34" s="1543"/>
      <c r="AP34" s="1543"/>
      <c r="AQ34" s="1543"/>
      <c r="AR34" s="1567">
        <v>0</v>
      </c>
    </row>
    <row s="30764" customFormat="1" customHeight="1" ht="17.25">
      <c r="A35" s="605"/>
      <c r="C35" s="604"/>
      <c r="D35" s="2420"/>
      <c r="E35" s="2428"/>
      <c r="F35" s="2430"/>
      <c r="G35" s="8458"/>
      <c r="H35" s="8459"/>
      <c r="I35" s="8459"/>
      <c r="J35" s="8460"/>
      <c r="K35" s="8453"/>
      <c r="L35" s="8459"/>
      <c r="M35" s="8459"/>
      <c r="N35" s="8461"/>
      <c r="O35" s="8462"/>
      <c r="P35" s="8463"/>
      <c r="Q35" s="8464"/>
      <c r="R35" s="8465" t="s">
        <v>214</v>
      </c>
      <c r="S35" s="8466"/>
      <c r="T35" s="8467"/>
      <c r="U35" s="8468"/>
      <c r="V35" s="8469"/>
      <c r="W35" s="8470"/>
      <c r="X35" s="1543"/>
      <c r="Y35" s="1543"/>
      <c r="Z35" s="1543"/>
      <c r="AA35" s="1543"/>
      <c r="AB35" s="1543"/>
      <c r="AC35" s="1543"/>
      <c r="AD35" s="1543"/>
      <c r="AE35" s="1543"/>
      <c r="AF35" s="1543"/>
      <c r="AG35" s="1543"/>
      <c r="AH35" s="1543"/>
      <c r="AI35" s="1543"/>
      <c r="AJ35" s="1543"/>
      <c r="AK35" s="1543"/>
      <c r="AL35" s="1543"/>
      <c r="AM35" s="1543"/>
      <c r="AN35" s="1543"/>
      <c r="AO35" s="1543"/>
      <c r="AP35" s="1543"/>
      <c r="AQ35" s="1543"/>
      <c r="AR35" s="1567">
        <v>0</v>
      </c>
    </row>
    <row customHeight="1" ht="17.25">
      <c r="A36" s="2124"/>
      <c r="B36" s="8471"/>
      <c r="C36" s="2126"/>
      <c r="D36" s="2114"/>
      <c r="E36" s="2131"/>
      <c r="F36" s="2068"/>
      <c r="G36" s="2132"/>
      <c r="H36" s="2114"/>
      <c r="I36" s="2114"/>
      <c r="J36" s="2133"/>
      <c r="K36" s="2044"/>
      <c r="L36" s="2392" t="s">
        <v>106</v>
      </c>
      <c r="M36" s="2392" t="s">
        <v>105</v>
      </c>
      <c r="N36" s="2788" t="str">
        <f>IF(Z36="","",INDEX(TERRITORY_MR_LIST,MATCH(Z36,TERRITORY_LIST_ID,0)))</f>
        <v>Территория 2</v>
      </c>
      <c r="O36" s="2469" t="s">
        <v>19</v>
      </c>
      <c r="P36" s="2392"/>
      <c r="Q36" s="2392" t="s">
        <v>141</v>
      </c>
      <c r="R36" s="14174" t="s">
        <v>28</v>
      </c>
      <c r="S36" s="2391" t="s">
        <v>19</v>
      </c>
      <c r="T36" s="2095"/>
      <c r="U36" s="2095" t="s">
        <v>141</v>
      </c>
      <c r="V36" s="14176" t="s">
        <v>28</v>
      </c>
      <c r="W36" s="2085"/>
      <c r="X36" s="8471"/>
      <c r="Y36" s="1551"/>
      <c r="Z36" s="1551" t="s">
        <v>111</v>
      </c>
      <c r="AA36" s="1551"/>
      <c r="AB36" s="1551"/>
      <c r="AC36" s="8474" t="s">
        <v>208</v>
      </c>
      <c r="AD36" s="8474" t="s">
        <v>209</v>
      </c>
      <c r="AE36" s="1551" t="s">
        <v>215</v>
      </c>
      <c r="AF36" s="1551" t="s">
        <v>216</v>
      </c>
      <c r="AG36" s="1551" t="s">
        <v>217</v>
      </c>
      <c r="AH36" s="155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6" s="1551" t="str">
        <f>IF($G$33=0,"",$G$33)</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J36" s="1551" t="str">
        <f>IF($J$33=0,"",$J$33)</f>
        <v>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v>
      </c>
      <c r="AK36" s="1551" t="str">
        <f>IF($K$36="нет","без дифференциации",IF($N$36=0,"",$N$36))</f>
        <v>Территория 2</v>
      </c>
      <c r="AL36" s="2128" t="str">
        <f>IF($O$36="нет","без дифференциации",IF($R$36=0,"",$R$36))</f>
        <v>без дифференциации</v>
      </c>
      <c r="AM36" s="2128" t="str">
        <f>IF($S$36="нет","без дифференциации",IF($V$36=0,"",$V$36))</f>
        <v>без дифференциации</v>
      </c>
      <c r="AN36" s="1551">
        <f>$I$33</f>
        <v>1</v>
      </c>
      <c r="AO36" s="1551" t="str">
        <f>$I$33&amp;"."&amp;$M$36</f>
        <v>1.2</v>
      </c>
      <c r="AP36" s="1551" t="str">
        <f>$I$33&amp;"."&amp;$M$36&amp;"."&amp;$Q$36</f>
        <v>1.2.1</v>
      </c>
      <c r="AQ36" s="1551" t="str">
        <f>$I$33&amp;"."&amp;$M$36&amp;"."&amp;$Q$36&amp;"."&amp;$U$36</f>
        <v>1.2.1.1</v>
      </c>
      <c r="AR36" s="8471"/>
    </row>
    <row customHeight="1" ht="17.25">
      <c r="A37" s="2124"/>
      <c r="B37" s="8471"/>
      <c r="C37" s="2129"/>
      <c r="D37" s="2114"/>
      <c r="E37" s="2131"/>
      <c r="F37" s="2068"/>
      <c r="G37" s="2132"/>
      <c r="H37" s="2114"/>
      <c r="I37" s="2114"/>
      <c r="J37" s="2133"/>
      <c r="K37" s="2044"/>
      <c r="L37" s="2392"/>
      <c r="M37" s="2392"/>
      <c r="N37" s="2788"/>
      <c r="O37" s="2470"/>
      <c r="P37" s="2392"/>
      <c r="Q37" s="2392"/>
      <c r="R37" s="14174" t="s">
        <v>28</v>
      </c>
      <c r="S37" s="2391"/>
      <c r="T37" s="601"/>
      <c r="U37" s="602"/>
      <c r="V37" s="602" t="s">
        <v>213</v>
      </c>
      <c r="W37" s="603"/>
      <c r="X37" s="8471"/>
      <c r="Y37" s="1543"/>
      <c r="Z37" s="1543"/>
      <c r="AA37" s="1543"/>
      <c r="AB37" s="1543"/>
      <c r="AC37" s="1543"/>
      <c r="AD37" s="1543"/>
      <c r="AE37" s="1543"/>
      <c r="AF37" s="1543"/>
      <c r="AG37" s="1543"/>
      <c r="AH37" s="1543"/>
      <c r="AI37" s="1543"/>
      <c r="AJ37" s="1543"/>
      <c r="AK37" s="1543"/>
      <c r="AL37" s="8471"/>
      <c r="AM37" s="8471"/>
      <c r="AN37" s="8471"/>
      <c r="AO37" s="8471"/>
      <c r="AP37" s="8471"/>
      <c r="AQ37" s="8471"/>
      <c r="AR37" s="8471"/>
    </row>
    <row customHeight="1" ht="17.25">
      <c r="A38" s="2124"/>
      <c r="B38" s="8471"/>
      <c r="C38" s="2129"/>
      <c r="D38" s="2114"/>
      <c r="E38" s="2131"/>
      <c r="F38" s="2068"/>
      <c r="G38" s="2132"/>
      <c r="H38" s="2114"/>
      <c r="I38" s="2114"/>
      <c r="J38" s="2133"/>
      <c r="K38" s="2044"/>
      <c r="L38" s="2787"/>
      <c r="M38" s="2787"/>
      <c r="N38" s="2789"/>
      <c r="O38" s="2396"/>
      <c r="P38" s="601"/>
      <c r="Q38" s="602"/>
      <c r="R38" s="602" t="s">
        <v>214</v>
      </c>
      <c r="S38" s="2130"/>
      <c r="T38" s="2130"/>
      <c r="U38" s="2130"/>
      <c r="V38" s="2130"/>
      <c r="W38" s="603"/>
      <c r="X38" s="8471"/>
      <c r="Y38" s="1543"/>
      <c r="Z38" s="1543"/>
      <c r="AA38" s="1543"/>
      <c r="AB38" s="1543"/>
      <c r="AC38" s="1543"/>
      <c r="AD38" s="1543"/>
      <c r="AE38" s="1543"/>
      <c r="AF38" s="1543"/>
      <c r="AG38" s="1543"/>
      <c r="AH38" s="1543"/>
      <c r="AI38" s="1543"/>
      <c r="AJ38" s="1543"/>
      <c r="AK38" s="1543"/>
      <c r="AL38" s="8471"/>
      <c r="AM38" s="8471"/>
      <c r="AN38" s="8471"/>
      <c r="AO38" s="8471"/>
      <c r="AP38" s="8471"/>
      <c r="AQ38" s="8471"/>
      <c r="AR38" s="8471"/>
    </row>
    <row customHeight="1" ht="17.25">
      <c r="A39" s="2124"/>
      <c r="B39" s="8471"/>
      <c r="C39" s="2126"/>
      <c r="D39" s="2114"/>
      <c r="E39" s="2131"/>
      <c r="F39" s="2068"/>
      <c r="G39" s="2132"/>
      <c r="H39" s="2114"/>
      <c r="I39" s="2114"/>
      <c r="J39" s="2133"/>
      <c r="K39" s="2044"/>
      <c r="L39" s="2392" t="s">
        <v>106</v>
      </c>
      <c r="M39" s="2392" t="s">
        <v>93</v>
      </c>
      <c r="N39" s="2788" t="str">
        <f>IF(Z39="","",INDEX(TERRITORY_MR_LIST,MATCH(Z39,TERRITORY_LIST_ID,0)))</f>
        <v>Территория 3</v>
      </c>
      <c r="O39" s="2469" t="s">
        <v>19</v>
      </c>
      <c r="P39" s="2392"/>
      <c r="Q39" s="2392" t="s">
        <v>141</v>
      </c>
      <c r="R39" s="14174" t="s">
        <v>28</v>
      </c>
      <c r="S39" s="2391" t="s">
        <v>19</v>
      </c>
      <c r="T39" s="2095"/>
      <c r="U39" s="2095" t="s">
        <v>141</v>
      </c>
      <c r="V39" s="14176" t="s">
        <v>28</v>
      </c>
      <c r="W39" s="2085"/>
      <c r="X39" s="8471"/>
      <c r="Y39" s="1551"/>
      <c r="Z39" s="1551" t="s">
        <v>115</v>
      </c>
      <c r="AA39" s="1551"/>
      <c r="AB39" s="1551"/>
      <c r="AC39" s="8474" t="s">
        <v>208</v>
      </c>
      <c r="AD39" s="8474" t="s">
        <v>209</v>
      </c>
      <c r="AE39" s="1551" t="s">
        <v>218</v>
      </c>
      <c r="AF39" s="1551" t="s">
        <v>219</v>
      </c>
      <c r="AG39" s="1551" t="s">
        <v>220</v>
      </c>
      <c r="AH39" s="155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9" s="1551" t="str">
        <f>IF($G$33=0,"",$G$33)</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J39" s="1551" t="str">
        <f>IF($J$33=0,"",$J$33)</f>
        <v>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v>
      </c>
      <c r="AK39" s="1551" t="str">
        <f>IF($K$39="нет","без дифференциации",IF($N$39=0,"",$N$39))</f>
        <v>Территория 3</v>
      </c>
      <c r="AL39" s="2128" t="str">
        <f>IF($O$39="нет","без дифференциации",IF($R$39=0,"",$R$39))</f>
        <v>без дифференциации</v>
      </c>
      <c r="AM39" s="2128" t="str">
        <f>IF($S$39="нет","без дифференциации",IF($V$39=0,"",$V$39))</f>
        <v>без дифференциации</v>
      </c>
      <c r="AN39" s="1551">
        <f>$I$33</f>
        <v>1</v>
      </c>
      <c r="AO39" s="1551" t="str">
        <f>$I$33&amp;"."&amp;$M$39</f>
        <v>1.3</v>
      </c>
      <c r="AP39" s="1551" t="str">
        <f>$I$33&amp;"."&amp;$M$39&amp;"."&amp;$Q$39</f>
        <v>1.3.1</v>
      </c>
      <c r="AQ39" s="1551" t="str">
        <f>$I$33&amp;"."&amp;$M$39&amp;"."&amp;$Q$39&amp;"."&amp;$U$39</f>
        <v>1.3.1.1</v>
      </c>
      <c r="AR39" s="8471"/>
    </row>
    <row customHeight="1" ht="17.25">
      <c r="A40" s="2124"/>
      <c r="B40" s="8471"/>
      <c r="C40" s="2129"/>
      <c r="D40" s="2114"/>
      <c r="E40" s="2131"/>
      <c r="F40" s="2068"/>
      <c r="G40" s="2132"/>
      <c r="H40" s="2114"/>
      <c r="I40" s="2114"/>
      <c r="J40" s="2133"/>
      <c r="K40" s="2044"/>
      <c r="L40" s="2392"/>
      <c r="M40" s="2392"/>
      <c r="N40" s="2788"/>
      <c r="O40" s="2470"/>
      <c r="P40" s="2392"/>
      <c r="Q40" s="2392"/>
      <c r="R40" s="14174" t="s">
        <v>28</v>
      </c>
      <c r="S40" s="2391"/>
      <c r="T40" s="601"/>
      <c r="U40" s="602"/>
      <c r="V40" s="602" t="s">
        <v>213</v>
      </c>
      <c r="W40" s="603"/>
      <c r="X40" s="8471"/>
      <c r="Y40" s="1543"/>
      <c r="Z40" s="1543"/>
      <c r="AA40" s="1543"/>
      <c r="AB40" s="1543"/>
      <c r="AC40" s="1543"/>
      <c r="AD40" s="1543"/>
      <c r="AE40" s="1543"/>
      <c r="AF40" s="1543"/>
      <c r="AG40" s="1543"/>
      <c r="AH40" s="1543"/>
      <c r="AI40" s="1543"/>
      <c r="AJ40" s="1543"/>
      <c r="AK40" s="1543"/>
      <c r="AL40" s="8471"/>
      <c r="AM40" s="8471"/>
      <c r="AN40" s="8471"/>
      <c r="AO40" s="8471"/>
      <c r="AP40" s="8471"/>
      <c r="AQ40" s="8471"/>
      <c r="AR40" s="8471"/>
    </row>
    <row customHeight="1" ht="17.25">
      <c r="A41" s="2124"/>
      <c r="B41" s="8471"/>
      <c r="C41" s="2129"/>
      <c r="D41" s="2114"/>
      <c r="E41" s="2131"/>
      <c r="F41" s="2068"/>
      <c r="G41" s="2132"/>
      <c r="H41" s="2114"/>
      <c r="I41" s="2114"/>
      <c r="J41" s="2133"/>
      <c r="K41" s="2044"/>
      <c r="L41" s="2787"/>
      <c r="M41" s="2787"/>
      <c r="N41" s="2789"/>
      <c r="O41" s="2396"/>
      <c r="P41" s="601"/>
      <c r="Q41" s="602"/>
      <c r="R41" s="602" t="s">
        <v>214</v>
      </c>
      <c r="S41" s="2130"/>
      <c r="T41" s="2130"/>
      <c r="U41" s="2130"/>
      <c r="V41" s="2130"/>
      <c r="W41" s="603"/>
      <c r="X41" s="8471"/>
      <c r="Y41" s="1543"/>
      <c r="Z41" s="1543"/>
      <c r="AA41" s="1543"/>
      <c r="AB41" s="1543"/>
      <c r="AC41" s="1543"/>
      <c r="AD41" s="1543"/>
      <c r="AE41" s="1543"/>
      <c r="AF41" s="1543"/>
      <c r="AG41" s="1543"/>
      <c r="AH41" s="1543"/>
      <c r="AI41" s="1543"/>
      <c r="AJ41" s="1543"/>
      <c r="AK41" s="1543"/>
      <c r="AL41" s="8471"/>
      <c r="AM41" s="8471"/>
      <c r="AN41" s="8471"/>
      <c r="AO41" s="8471"/>
      <c r="AP41" s="8471"/>
      <c r="AQ41" s="8471"/>
      <c r="AR41" s="8471"/>
    </row>
    <row customHeight="1" ht="17.25">
      <c r="A42" s="2124"/>
      <c r="B42" s="8471"/>
      <c r="C42" s="2126"/>
      <c r="D42" s="2114"/>
      <c r="E42" s="2131"/>
      <c r="F42" s="2068"/>
      <c r="G42" s="2132"/>
      <c r="H42" s="2114"/>
      <c r="I42" s="2114"/>
      <c r="J42" s="2133"/>
      <c r="K42" s="2044"/>
      <c r="L42" s="2392" t="s">
        <v>106</v>
      </c>
      <c r="M42" s="2392" t="s">
        <v>94</v>
      </c>
      <c r="N42" s="2788" t="str">
        <f>IF(Z42="","",INDEX(TERRITORY_MR_LIST,MATCH(Z42,TERRITORY_LIST_ID,0)))</f>
        <v>Территория 4</v>
      </c>
      <c r="O42" s="2469" t="s">
        <v>19</v>
      </c>
      <c r="P42" s="2392"/>
      <c r="Q42" s="2392" t="s">
        <v>141</v>
      </c>
      <c r="R42" s="14174" t="s">
        <v>28</v>
      </c>
      <c r="S42" s="2391" t="s">
        <v>19</v>
      </c>
      <c r="T42" s="2095"/>
      <c r="U42" s="2095" t="s">
        <v>141</v>
      </c>
      <c r="V42" s="14176" t="s">
        <v>28</v>
      </c>
      <c r="W42" s="2085"/>
      <c r="X42" s="8471"/>
      <c r="Y42" s="1551"/>
      <c r="Z42" s="1551" t="s">
        <v>119</v>
      </c>
      <c r="AA42" s="1551"/>
      <c r="AB42" s="1551"/>
      <c r="AC42" s="8474" t="s">
        <v>208</v>
      </c>
      <c r="AD42" s="8474" t="s">
        <v>209</v>
      </c>
      <c r="AE42" s="1551" t="s">
        <v>221</v>
      </c>
      <c r="AF42" s="1551" t="s">
        <v>222</v>
      </c>
      <c r="AG42" s="1551" t="s">
        <v>223</v>
      </c>
      <c r="AH42" s="155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42" s="1551" t="str">
        <f>IF($G$33=0,"",$G$33)</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J42" s="1551" t="str">
        <f>IF($J$33=0,"",$J$33)</f>
        <v>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v>
      </c>
      <c r="AK42" s="1551" t="str">
        <f>IF($K$42="нет","без дифференциации",IF($N$42=0,"",$N$42))</f>
        <v>Территория 4</v>
      </c>
      <c r="AL42" s="2128" t="str">
        <f>IF($O$42="нет","без дифференциации",IF($R$42=0,"",$R$42))</f>
        <v>без дифференциации</v>
      </c>
      <c r="AM42" s="2128" t="str">
        <f>IF($S$42="нет","без дифференциации",IF($V$42=0,"",$V$42))</f>
        <v>без дифференциации</v>
      </c>
      <c r="AN42" s="1551">
        <f>$I$33</f>
        <v>1</v>
      </c>
      <c r="AO42" s="1551" t="str">
        <f>$I$33&amp;"."&amp;$M$42</f>
        <v>1.4</v>
      </c>
      <c r="AP42" s="1551" t="str">
        <f>$I$33&amp;"."&amp;$M$42&amp;"."&amp;$Q$42</f>
        <v>1.4.1</v>
      </c>
      <c r="AQ42" s="1551" t="str">
        <f>$I$33&amp;"."&amp;$M$42&amp;"."&amp;$Q$42&amp;"."&amp;$U$42</f>
        <v>1.4.1.1</v>
      </c>
      <c r="AR42" s="8471"/>
    </row>
    <row customHeight="1" ht="17.25">
      <c r="A43" s="2124"/>
      <c r="B43" s="8471"/>
      <c r="C43" s="2129"/>
      <c r="D43" s="2114"/>
      <c r="E43" s="2131"/>
      <c r="F43" s="2068"/>
      <c r="G43" s="2132"/>
      <c r="H43" s="2114"/>
      <c r="I43" s="2114"/>
      <c r="J43" s="2133"/>
      <c r="K43" s="2044"/>
      <c r="L43" s="2392"/>
      <c r="M43" s="2392"/>
      <c r="N43" s="2788"/>
      <c r="O43" s="2470"/>
      <c r="P43" s="2392"/>
      <c r="Q43" s="2392"/>
      <c r="R43" s="14174" t="s">
        <v>28</v>
      </c>
      <c r="S43" s="2391"/>
      <c r="T43" s="601"/>
      <c r="U43" s="602"/>
      <c r="V43" s="602" t="s">
        <v>213</v>
      </c>
      <c r="W43" s="603"/>
      <c r="X43" s="8471"/>
      <c r="Y43" s="1543"/>
      <c r="Z43" s="1543"/>
      <c r="AA43" s="1543"/>
      <c r="AB43" s="1543"/>
      <c r="AC43" s="1543"/>
      <c r="AD43" s="1543"/>
      <c r="AE43" s="1543"/>
      <c r="AF43" s="1543"/>
      <c r="AG43" s="1543"/>
      <c r="AH43" s="1543"/>
      <c r="AI43" s="1543"/>
      <c r="AJ43" s="1543"/>
      <c r="AK43" s="1543"/>
      <c r="AL43" s="8471"/>
      <c r="AM43" s="8471"/>
      <c r="AN43" s="8471"/>
      <c r="AO43" s="8471"/>
      <c r="AP43" s="8471"/>
      <c r="AQ43" s="8471"/>
      <c r="AR43" s="8471"/>
    </row>
    <row customHeight="1" ht="17.25">
      <c r="A44" s="2124"/>
      <c r="B44" s="8471"/>
      <c r="C44" s="2129"/>
      <c r="D44" s="2114"/>
      <c r="E44" s="2131"/>
      <c r="F44" s="2068"/>
      <c r="G44" s="2132"/>
      <c r="H44" s="2114"/>
      <c r="I44" s="2114"/>
      <c r="J44" s="2133"/>
      <c r="K44" s="2044"/>
      <c r="L44" s="2787"/>
      <c r="M44" s="2787"/>
      <c r="N44" s="2789"/>
      <c r="O44" s="2396"/>
      <c r="P44" s="601"/>
      <c r="Q44" s="602"/>
      <c r="R44" s="602" t="s">
        <v>214</v>
      </c>
      <c r="S44" s="2130"/>
      <c r="T44" s="2130"/>
      <c r="U44" s="2130"/>
      <c r="V44" s="2130"/>
      <c r="W44" s="603"/>
      <c r="X44" s="8471"/>
      <c r="Y44" s="1543"/>
      <c r="Z44" s="1543"/>
      <c r="AA44" s="1543"/>
      <c r="AB44" s="1543"/>
      <c r="AC44" s="1543"/>
      <c r="AD44" s="1543"/>
      <c r="AE44" s="1543"/>
      <c r="AF44" s="1543"/>
      <c r="AG44" s="1543"/>
      <c r="AH44" s="1543"/>
      <c r="AI44" s="1543"/>
      <c r="AJ44" s="1543"/>
      <c r="AK44" s="1543"/>
      <c r="AL44" s="8471"/>
      <c r="AM44" s="8471"/>
      <c r="AN44" s="8471"/>
      <c r="AO44" s="8471"/>
      <c r="AP44" s="8471"/>
      <c r="AQ44" s="8471"/>
      <c r="AR44" s="8471"/>
    </row>
    <row customHeight="1" ht="17.25">
      <c r="A45" s="2124"/>
      <c r="B45" s="8471"/>
      <c r="C45" s="2126"/>
      <c r="D45" s="2114"/>
      <c r="E45" s="2131"/>
      <c r="F45" s="2068"/>
      <c r="G45" s="2132"/>
      <c r="H45" s="2114"/>
      <c r="I45" s="2114"/>
      <c r="J45" s="2133"/>
      <c r="K45" s="2044"/>
      <c r="L45" s="2392" t="s">
        <v>106</v>
      </c>
      <c r="M45" s="2392" t="s">
        <v>124</v>
      </c>
      <c r="N45" s="2788" t="str">
        <f>IF(Z45="","",INDEX(TERRITORY_MR_LIST,MATCH(Z45,TERRITORY_LIST_ID,0)))</f>
        <v>Территория 5</v>
      </c>
      <c r="O45" s="2469" t="s">
        <v>19</v>
      </c>
      <c r="P45" s="2392"/>
      <c r="Q45" s="2392" t="s">
        <v>141</v>
      </c>
      <c r="R45" s="14174" t="s">
        <v>28</v>
      </c>
      <c r="S45" s="2391" t="s">
        <v>19</v>
      </c>
      <c r="T45" s="2095"/>
      <c r="U45" s="2095" t="s">
        <v>141</v>
      </c>
      <c r="V45" s="14176" t="s">
        <v>28</v>
      </c>
      <c r="W45" s="2085"/>
      <c r="X45" s="8471"/>
      <c r="Y45" s="1551"/>
      <c r="Z45" s="1551" t="s">
        <v>125</v>
      </c>
      <c r="AA45" s="1551"/>
      <c r="AB45" s="1551"/>
      <c r="AC45" s="8474" t="s">
        <v>208</v>
      </c>
      <c r="AD45" s="8474" t="s">
        <v>209</v>
      </c>
      <c r="AE45" s="1551" t="s">
        <v>224</v>
      </c>
      <c r="AF45" s="1551" t="s">
        <v>225</v>
      </c>
      <c r="AG45" s="1551" t="s">
        <v>226</v>
      </c>
      <c r="AH45" s="155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45" s="1551" t="str">
        <f>IF($G$33=0,"",$G$33)</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J45" s="1551" t="str">
        <f>IF($J$33=0,"",$J$33)</f>
        <v>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v>
      </c>
      <c r="AK45" s="1551" t="str">
        <f>IF($K$45="нет","без дифференциации",IF($N$45=0,"",$N$45))</f>
        <v>Территория 5</v>
      </c>
      <c r="AL45" s="2128" t="str">
        <f>IF($O$45="нет","без дифференциации",IF($R$45=0,"",$R$45))</f>
        <v>без дифференциации</v>
      </c>
      <c r="AM45" s="2128" t="str">
        <f>IF($S$45="нет","без дифференциации",IF($V$45=0,"",$V$45))</f>
        <v>без дифференциации</v>
      </c>
      <c r="AN45" s="1551">
        <f>$I$33</f>
        <v>1</v>
      </c>
      <c r="AO45" s="1551" t="str">
        <f>$I$33&amp;"."&amp;$M$45</f>
        <v>1.5</v>
      </c>
      <c r="AP45" s="1551" t="str">
        <f>$I$33&amp;"."&amp;$M$45&amp;"."&amp;$Q$45</f>
        <v>1.5.1</v>
      </c>
      <c r="AQ45" s="1551" t="str">
        <f>$I$33&amp;"."&amp;$M$45&amp;"."&amp;$Q$45&amp;"."&amp;$U$45</f>
        <v>1.5.1.1</v>
      </c>
      <c r="AR45" s="8471"/>
    </row>
    <row customHeight="1" ht="17.25">
      <c r="A46" s="2124"/>
      <c r="B46" s="8471"/>
      <c r="C46" s="2129"/>
      <c r="D46" s="2114"/>
      <c r="E46" s="2131"/>
      <c r="F46" s="2068"/>
      <c r="G46" s="2132"/>
      <c r="H46" s="2114"/>
      <c r="I46" s="2114"/>
      <c r="J46" s="2133"/>
      <c r="K46" s="2044"/>
      <c r="L46" s="2392"/>
      <c r="M46" s="2392"/>
      <c r="N46" s="2788"/>
      <c r="O46" s="2470"/>
      <c r="P46" s="2392"/>
      <c r="Q46" s="2392"/>
      <c r="R46" s="14174" t="s">
        <v>28</v>
      </c>
      <c r="S46" s="2391"/>
      <c r="T46" s="601"/>
      <c r="U46" s="602"/>
      <c r="V46" s="602" t="s">
        <v>213</v>
      </c>
      <c r="W46" s="603"/>
      <c r="X46" s="8471"/>
      <c r="Y46" s="1543"/>
      <c r="Z46" s="1543"/>
      <c r="AA46" s="1543"/>
      <c r="AB46" s="1543"/>
      <c r="AC46" s="1543"/>
      <c r="AD46" s="1543"/>
      <c r="AE46" s="1543"/>
      <c r="AF46" s="1543"/>
      <c r="AG46" s="1543"/>
      <c r="AH46" s="1543"/>
      <c r="AI46" s="1543"/>
      <c r="AJ46" s="1543"/>
      <c r="AK46" s="1543"/>
      <c r="AL46" s="8471"/>
      <c r="AM46" s="8471"/>
      <c r="AN46" s="8471"/>
      <c r="AO46" s="8471"/>
      <c r="AP46" s="8471"/>
      <c r="AQ46" s="8471"/>
      <c r="AR46" s="8471"/>
    </row>
    <row customHeight="1" ht="17.25">
      <c r="A47" s="2124"/>
      <c r="B47" s="8471"/>
      <c r="C47" s="2129"/>
      <c r="D47" s="2114"/>
      <c r="E47" s="2131"/>
      <c r="F47" s="2068"/>
      <c r="G47" s="2132"/>
      <c r="H47" s="2114"/>
      <c r="I47" s="2114"/>
      <c r="J47" s="2133"/>
      <c r="K47" s="2044"/>
      <c r="L47" s="2787"/>
      <c r="M47" s="2787"/>
      <c r="N47" s="2789"/>
      <c r="O47" s="2396"/>
      <c r="P47" s="601"/>
      <c r="Q47" s="602"/>
      <c r="R47" s="602" t="s">
        <v>214</v>
      </c>
      <c r="S47" s="2130"/>
      <c r="T47" s="2130"/>
      <c r="U47" s="2130"/>
      <c r="V47" s="2130"/>
      <c r="W47" s="603"/>
      <c r="X47" s="8471"/>
      <c r="Y47" s="1543"/>
      <c r="Z47" s="1543"/>
      <c r="AA47" s="1543"/>
      <c r="AB47" s="1543"/>
      <c r="AC47" s="1543"/>
      <c r="AD47" s="1543"/>
      <c r="AE47" s="1543"/>
      <c r="AF47" s="1543"/>
      <c r="AG47" s="1543"/>
      <c r="AH47" s="1543"/>
      <c r="AI47" s="1543"/>
      <c r="AJ47" s="1543"/>
      <c r="AK47" s="1543"/>
      <c r="AL47" s="8471"/>
      <c r="AM47" s="8471"/>
      <c r="AN47" s="8471"/>
      <c r="AO47" s="8471"/>
      <c r="AP47" s="8471"/>
      <c r="AQ47" s="8471"/>
      <c r="AR47" s="8471"/>
    </row>
    <row customHeight="1" ht="17.25">
      <c r="A48" s="2124"/>
      <c r="B48" s="8471"/>
      <c r="C48" s="2126"/>
      <c r="D48" s="2114"/>
      <c r="E48" s="2131"/>
      <c r="F48" s="2068"/>
      <c r="G48" s="2132"/>
      <c r="H48" s="2114"/>
      <c r="I48" s="2114"/>
      <c r="J48" s="2133"/>
      <c r="K48" s="2044"/>
      <c r="L48" s="2392" t="s">
        <v>106</v>
      </c>
      <c r="M48" s="2392" t="s">
        <v>95</v>
      </c>
      <c r="N48" s="2788" t="str">
        <f>IF(Z48="","",INDEX(TERRITORY_MR_LIST,MATCH(Z48,TERRITORY_LIST_ID,0)))</f>
        <v>Территория 6</v>
      </c>
      <c r="O48" s="2469" t="s">
        <v>19</v>
      </c>
      <c r="P48" s="2392"/>
      <c r="Q48" s="2392" t="s">
        <v>141</v>
      </c>
      <c r="R48" s="14174" t="s">
        <v>28</v>
      </c>
      <c r="S48" s="2391" t="s">
        <v>19</v>
      </c>
      <c r="T48" s="2095"/>
      <c r="U48" s="2095" t="s">
        <v>141</v>
      </c>
      <c r="V48" s="14176" t="s">
        <v>28</v>
      </c>
      <c r="W48" s="2085"/>
      <c r="X48" s="8471"/>
      <c r="Y48" s="1551"/>
      <c r="Z48" s="1551" t="s">
        <v>130</v>
      </c>
      <c r="AA48" s="1551"/>
      <c r="AB48" s="1551"/>
      <c r="AC48" s="8474" t="s">
        <v>208</v>
      </c>
      <c r="AD48" s="8474" t="s">
        <v>209</v>
      </c>
      <c r="AE48" s="1551" t="s">
        <v>227</v>
      </c>
      <c r="AF48" s="1551" t="s">
        <v>228</v>
      </c>
      <c r="AG48" s="1551" t="s">
        <v>229</v>
      </c>
      <c r="AH48" s="155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48" s="1551" t="str">
        <f>IF($G$33=0,"",$G$33)</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J48" s="1551" t="str">
        <f>IF($J$33=0,"",$J$33)</f>
        <v>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v>
      </c>
      <c r="AK48" s="1551" t="str">
        <f>IF($K$48="нет","без дифференциации",IF($N$48=0,"",$N$48))</f>
        <v>Территория 6</v>
      </c>
      <c r="AL48" s="2128" t="str">
        <f>IF($O$48="нет","без дифференциации",IF($R$48=0,"",$R$48))</f>
        <v>без дифференциации</v>
      </c>
      <c r="AM48" s="2128" t="str">
        <f>IF($S$48="нет","без дифференциации",IF($V$48=0,"",$V$48))</f>
        <v>без дифференциации</v>
      </c>
      <c r="AN48" s="1551">
        <f>$I$33</f>
        <v>1</v>
      </c>
      <c r="AO48" s="1551" t="str">
        <f>$I$33&amp;"."&amp;$M$48</f>
        <v>1.6</v>
      </c>
      <c r="AP48" s="1551" t="str">
        <f>$I$33&amp;"."&amp;$M$48&amp;"."&amp;$Q$48</f>
        <v>1.6.1</v>
      </c>
      <c r="AQ48" s="1551" t="str">
        <f>$I$33&amp;"."&amp;$M$48&amp;"."&amp;$Q$48&amp;"."&amp;$U$48</f>
        <v>1.6.1.1</v>
      </c>
      <c r="AR48" s="8471"/>
    </row>
    <row customHeight="1" ht="17.25">
      <c r="A49" s="2124"/>
      <c r="B49" s="8471"/>
      <c r="C49" s="2129"/>
      <c r="D49" s="2114"/>
      <c r="E49" s="2131"/>
      <c r="F49" s="2068"/>
      <c r="G49" s="2132"/>
      <c r="H49" s="2114"/>
      <c r="I49" s="2114"/>
      <c r="J49" s="2133"/>
      <c r="K49" s="2044"/>
      <c r="L49" s="2392"/>
      <c r="M49" s="2392"/>
      <c r="N49" s="2788"/>
      <c r="O49" s="2470"/>
      <c r="P49" s="2392"/>
      <c r="Q49" s="2392"/>
      <c r="R49" s="14174" t="s">
        <v>28</v>
      </c>
      <c r="S49" s="2391"/>
      <c r="T49" s="601"/>
      <c r="U49" s="602"/>
      <c r="V49" s="602" t="s">
        <v>213</v>
      </c>
      <c r="W49" s="603"/>
      <c r="X49" s="8471"/>
      <c r="Y49" s="1543"/>
      <c r="Z49" s="1543"/>
      <c r="AA49" s="1543"/>
      <c r="AB49" s="1543"/>
      <c r="AC49" s="1543"/>
      <c r="AD49" s="1543"/>
      <c r="AE49" s="1543"/>
      <c r="AF49" s="1543"/>
      <c r="AG49" s="1543"/>
      <c r="AH49" s="1543"/>
      <c r="AI49" s="1543"/>
      <c r="AJ49" s="1543"/>
      <c r="AK49" s="1543"/>
      <c r="AL49" s="8471"/>
      <c r="AM49" s="8471"/>
      <c r="AN49" s="8471"/>
      <c r="AO49" s="8471"/>
      <c r="AP49" s="8471"/>
      <c r="AQ49" s="8471"/>
      <c r="AR49" s="8471"/>
    </row>
    <row customHeight="1" ht="17.25">
      <c r="A50" s="2124"/>
      <c r="B50" s="8471"/>
      <c r="C50" s="2129"/>
      <c r="D50" s="2114"/>
      <c r="E50" s="2131"/>
      <c r="F50" s="2068"/>
      <c r="G50" s="2132"/>
      <c r="H50" s="2114"/>
      <c r="I50" s="2114"/>
      <c r="J50" s="2133"/>
      <c r="K50" s="2044"/>
      <c r="L50" s="2787"/>
      <c r="M50" s="2787"/>
      <c r="N50" s="2789"/>
      <c r="O50" s="2396"/>
      <c r="P50" s="601"/>
      <c r="Q50" s="602"/>
      <c r="R50" s="602" t="s">
        <v>214</v>
      </c>
      <c r="S50" s="2130"/>
      <c r="T50" s="2130"/>
      <c r="U50" s="2130"/>
      <c r="V50" s="2130"/>
      <c r="W50" s="603"/>
      <c r="X50" s="8471"/>
      <c r="Y50" s="1543"/>
      <c r="Z50" s="1543"/>
      <c r="AA50" s="1543"/>
      <c r="AB50" s="1543"/>
      <c r="AC50" s="1543"/>
      <c r="AD50" s="1543"/>
      <c r="AE50" s="1543"/>
      <c r="AF50" s="1543"/>
      <c r="AG50" s="1543"/>
      <c r="AH50" s="1543"/>
      <c r="AI50" s="1543"/>
      <c r="AJ50" s="1543"/>
      <c r="AK50" s="1543"/>
      <c r="AL50" s="8471"/>
      <c r="AM50" s="8471"/>
      <c r="AN50" s="8471"/>
      <c r="AO50" s="8471"/>
      <c r="AP50" s="8471"/>
      <c r="AQ50" s="8471"/>
      <c r="AR50" s="8471"/>
    </row>
    <row s="30764" customFormat="1" customHeight="1" ht="17.25">
      <c r="A51" s="605"/>
      <c r="C51" s="604"/>
      <c r="D51" s="2420"/>
      <c r="E51" s="2428"/>
      <c r="F51" s="2430"/>
      <c r="G51" s="8458"/>
      <c r="H51" s="8459"/>
      <c r="I51" s="8459"/>
      <c r="J51" s="8460"/>
      <c r="K51" s="8462"/>
      <c r="L51" s="8475"/>
      <c r="M51" s="8476"/>
      <c r="N51" s="8477" t="s">
        <v>230</v>
      </c>
      <c r="O51" s="8478"/>
      <c r="P51" s="8479"/>
      <c r="Q51" s="8480"/>
      <c r="R51" s="8481"/>
      <c r="S51" s="8482"/>
      <c r="T51" s="8483"/>
      <c r="U51" s="8484"/>
      <c r="V51" s="8485"/>
      <c r="W51" s="8486"/>
      <c r="X51" s="1543"/>
      <c r="Y51" s="1543"/>
      <c r="Z51" s="1543"/>
      <c r="AA51" s="1543"/>
      <c r="AB51" s="1543"/>
      <c r="AC51" s="1543"/>
      <c r="AD51" s="1543"/>
      <c r="AE51" s="1543"/>
      <c r="AF51" s="1543"/>
      <c r="AG51" s="1543"/>
      <c r="AH51" s="1543"/>
      <c r="AI51" s="1543"/>
      <c r="AJ51" s="1543"/>
      <c r="AK51" s="1543"/>
      <c r="AL51" s="1543"/>
      <c r="AM51" s="1543"/>
      <c r="AN51" s="1543"/>
      <c r="AO51" s="1543"/>
      <c r="AP51" s="1543"/>
      <c r="AQ51" s="1543"/>
      <c r="AR51" s="1567">
        <v>0</v>
      </c>
    </row>
    <row customHeight="1" ht="17.25">
      <c r="A52" s="2124"/>
      <c r="B52" s="8471"/>
      <c r="C52" s="2126"/>
      <c r="D52" s="2114"/>
      <c r="E52" s="2131"/>
      <c r="F52" s="2068"/>
      <c r="G52" s="2132"/>
      <c r="H52" s="2813" t="s">
        <v>106</v>
      </c>
      <c r="I52" s="2813" t="s">
        <v>105</v>
      </c>
      <c r="J52" s="2785" t="s">
        <v>231</v>
      </c>
      <c r="K52" s="2469" t="s">
        <v>64</v>
      </c>
      <c r="L52" s="2392"/>
      <c r="M52" s="2392" t="s">
        <v>141</v>
      </c>
      <c r="N52" s="2788" t="str">
        <f>IF(Z52="","",INDEX(TERRITORY_MR_LIST,MATCH(Z52,TERRITORY_LIST_ID,0)))</f>
        <v>Территория 2</v>
      </c>
      <c r="O52" s="2469" t="s">
        <v>19</v>
      </c>
      <c r="P52" s="2392"/>
      <c r="Q52" s="2392" t="s">
        <v>141</v>
      </c>
      <c r="R52" s="14174" t="s">
        <v>28</v>
      </c>
      <c r="S52" s="2391" t="s">
        <v>19</v>
      </c>
      <c r="T52" s="2095"/>
      <c r="U52" s="2095" t="s">
        <v>141</v>
      </c>
      <c r="V52" s="14176" t="s">
        <v>28</v>
      </c>
      <c r="W52" s="2085"/>
      <c r="X52" s="8471"/>
      <c r="Y52" s="1551"/>
      <c r="Z52" s="1551" t="s">
        <v>111</v>
      </c>
      <c r="AA52" s="1551"/>
      <c r="AB52" s="1551"/>
      <c r="AC52" s="8474" t="s">
        <v>208</v>
      </c>
      <c r="AD52" s="1551" t="s">
        <v>232</v>
      </c>
      <c r="AE52" s="1551" t="s">
        <v>233</v>
      </c>
      <c r="AF52" s="1551" t="s">
        <v>234</v>
      </c>
      <c r="AG52" s="1551" t="s">
        <v>235</v>
      </c>
      <c r="AH52" s="155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52" s="1551" t="str">
        <f>IF($G$33=0,"",$G$33)</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J52" s="1551" t="str">
        <f>IF($J$52=0,"",$J$52)</f>
        <v>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(для потребителей, получающих тепловую энергию на коллекторах производителей).</v>
      </c>
      <c r="AK52" s="1551" t="str">
        <f>IF($K$52="нет","без дифференциации",IF($N$52=0,"",$N$52))</f>
        <v>Территория 2</v>
      </c>
      <c r="AL52" s="2128" t="str">
        <f>IF($O$52="нет","без дифференциации",IF($R$52=0,"",$R$52))</f>
        <v>без дифференциации</v>
      </c>
      <c r="AM52" s="2128" t="str">
        <f>IF($S$52="нет","без дифференциации",IF($V$52=0,"",$V$52))</f>
        <v>без дифференциации</v>
      </c>
      <c r="AN52" s="1551" t="str">
        <f>$I$52</f>
        <v>2</v>
      </c>
      <c r="AO52" s="1551" t="str">
        <f>$I$52&amp;"."&amp;$M$52</f>
        <v>2.1</v>
      </c>
      <c r="AP52" s="1551" t="str">
        <f>$I$52&amp;"."&amp;$M$52&amp;"."&amp;$Q$52</f>
        <v>2.1.1</v>
      </c>
      <c r="AQ52" s="1551" t="str">
        <f>$I$52&amp;"."&amp;$M$52&amp;"."&amp;$Q$52&amp;"."&amp;$U$52</f>
        <v>2.1.1.1</v>
      </c>
      <c r="AR52" s="8471"/>
    </row>
    <row customHeight="1" ht="17.25">
      <c r="A53" s="2124"/>
      <c r="B53" s="8471"/>
      <c r="C53" s="2129"/>
      <c r="D53" s="2114"/>
      <c r="E53" s="2131"/>
      <c r="F53" s="2068"/>
      <c r="G53" s="2132"/>
      <c r="H53" s="2813"/>
      <c r="I53" s="2813"/>
      <c r="J53" s="2785"/>
      <c r="K53" s="2470"/>
      <c r="L53" s="2392"/>
      <c r="M53" s="2392"/>
      <c r="N53" s="2788"/>
      <c r="O53" s="2470"/>
      <c r="P53" s="2392"/>
      <c r="Q53" s="2392"/>
      <c r="R53" s="14174" t="s">
        <v>28</v>
      </c>
      <c r="S53" s="2391"/>
      <c r="T53" s="601"/>
      <c r="U53" s="602"/>
      <c r="V53" s="602" t="s">
        <v>213</v>
      </c>
      <c r="W53" s="603"/>
      <c r="X53" s="8471"/>
      <c r="Y53" s="1543"/>
      <c r="Z53" s="1543"/>
      <c r="AA53" s="1543"/>
      <c r="AB53" s="1543"/>
      <c r="AC53" s="1543"/>
      <c r="AD53" s="1543"/>
      <c r="AE53" s="1543"/>
      <c r="AF53" s="1543"/>
      <c r="AG53" s="1543"/>
      <c r="AH53" s="1543"/>
      <c r="AI53" s="1543"/>
      <c r="AJ53" s="1543"/>
      <c r="AK53" s="1543"/>
      <c r="AL53" s="8471"/>
      <c r="AM53" s="8471"/>
      <c r="AN53" s="8471"/>
      <c r="AO53" s="8471"/>
      <c r="AP53" s="8471"/>
      <c r="AQ53" s="8471"/>
      <c r="AR53" s="8471"/>
    </row>
    <row customHeight="1" ht="17.25">
      <c r="A54" s="2124"/>
      <c r="B54" s="8471"/>
      <c r="C54" s="2129"/>
      <c r="D54" s="2114"/>
      <c r="E54" s="2131"/>
      <c r="F54" s="2068"/>
      <c r="G54" s="2132"/>
      <c r="H54" s="2787"/>
      <c r="I54" s="2787"/>
      <c r="J54" s="2817"/>
      <c r="K54" s="2470"/>
      <c r="L54" s="2787"/>
      <c r="M54" s="2787"/>
      <c r="N54" s="2789"/>
      <c r="O54" s="2396"/>
      <c r="P54" s="601"/>
      <c r="Q54" s="602"/>
      <c r="R54" s="602" t="s">
        <v>214</v>
      </c>
      <c r="S54" s="2130"/>
      <c r="T54" s="2130"/>
      <c r="U54" s="2130"/>
      <c r="V54" s="2130"/>
      <c r="W54" s="603"/>
      <c r="X54" s="8471"/>
      <c r="Y54" s="1543"/>
      <c r="Z54" s="1543"/>
      <c r="AA54" s="1543"/>
      <c r="AB54" s="1543"/>
      <c r="AC54" s="1543"/>
      <c r="AD54" s="1543"/>
      <c r="AE54" s="1543"/>
      <c r="AF54" s="1543"/>
      <c r="AG54" s="1543"/>
      <c r="AH54" s="1543"/>
      <c r="AI54" s="1543"/>
      <c r="AJ54" s="1543"/>
      <c r="AK54" s="1543"/>
      <c r="AL54" s="8471"/>
      <c r="AM54" s="8471"/>
      <c r="AN54" s="8471"/>
      <c r="AO54" s="8471"/>
      <c r="AP54" s="8471"/>
      <c r="AQ54" s="8471"/>
      <c r="AR54" s="8471"/>
    </row>
    <row customHeight="1" ht="17.25">
      <c r="A55" s="2124"/>
      <c r="B55" s="8471"/>
      <c r="C55" s="2126"/>
      <c r="D55" s="2114"/>
      <c r="E55" s="2131"/>
      <c r="F55" s="2068"/>
      <c r="G55" s="2132"/>
      <c r="H55" s="2114"/>
      <c r="I55" s="2114"/>
      <c r="J55" s="2133"/>
      <c r="K55" s="2044"/>
      <c r="L55" s="2392" t="s">
        <v>106</v>
      </c>
      <c r="M55" s="2392" t="s">
        <v>105</v>
      </c>
      <c r="N55" s="2788" t="str">
        <f>IF(Z55="","",INDEX(TERRITORY_MR_LIST,MATCH(Z55,TERRITORY_LIST_ID,0)))</f>
        <v>Территория 3</v>
      </c>
      <c r="O55" s="2469" t="s">
        <v>19</v>
      </c>
      <c r="P55" s="2392"/>
      <c r="Q55" s="2392" t="s">
        <v>141</v>
      </c>
      <c r="R55" s="14174" t="s">
        <v>28</v>
      </c>
      <c r="S55" s="2391" t="s">
        <v>19</v>
      </c>
      <c r="T55" s="2095"/>
      <c r="U55" s="2095" t="s">
        <v>141</v>
      </c>
      <c r="V55" s="14176" t="s">
        <v>28</v>
      </c>
      <c r="W55" s="2085"/>
      <c r="X55" s="8471"/>
      <c r="Y55" s="1551"/>
      <c r="Z55" s="1551" t="s">
        <v>115</v>
      </c>
      <c r="AA55" s="1551"/>
      <c r="AB55" s="1551"/>
      <c r="AC55" s="8474" t="s">
        <v>208</v>
      </c>
      <c r="AD55" s="8474" t="s">
        <v>232</v>
      </c>
      <c r="AE55" s="1551" t="s">
        <v>236</v>
      </c>
      <c r="AF55" s="1551" t="s">
        <v>237</v>
      </c>
      <c r="AG55" s="1551" t="s">
        <v>238</v>
      </c>
      <c r="AH55" s="155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55" s="1551" t="str">
        <f>IF($G$33=0,"",$G$33)</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J55" s="1551" t="str">
        <f>IF($J$52=0,"",$J$52)</f>
        <v>Тариф на горячую воду в открытой системе теплоснабжения (горячего водоснабжения), поставляемую АО "ДГК" потребителям Хабаровского края (за исключением потребителей в городском поселении "Город Советская Гавань" Советско-Гаванского муниципального района и потребителей котельной в Волочаевском городке г. Хабаровска (для потребителей, получающих тепловую энергию на коллекторах производителей).</v>
      </c>
      <c r="AK55" s="1551" t="str">
        <f>IF($K$55="нет","без дифференциации",IF($N$55=0,"",$N$55))</f>
        <v>Территория 3</v>
      </c>
      <c r="AL55" s="2128" t="str">
        <f>IF($O$55="нет","без дифференциации",IF($R$55=0,"",$R$55))</f>
        <v>без дифференциации</v>
      </c>
      <c r="AM55" s="2128" t="str">
        <f>IF($S$55="нет","без дифференциации",IF($V$55=0,"",$V$55))</f>
        <v>без дифференциации</v>
      </c>
      <c r="AN55" s="1551" t="str">
        <f>$I$52</f>
        <v>2</v>
      </c>
      <c r="AO55" s="1551" t="str">
        <f>$I$52&amp;"."&amp;$M$55</f>
        <v>2.2</v>
      </c>
      <c r="AP55" s="1551" t="str">
        <f>$I$52&amp;"."&amp;$M$55&amp;"."&amp;$Q$55</f>
        <v>2.2.1</v>
      </c>
      <c r="AQ55" s="1551" t="str">
        <f>$I$52&amp;"."&amp;$M$55&amp;"."&amp;$Q$55&amp;"."&amp;$U$55</f>
        <v>2.2.1.1</v>
      </c>
      <c r="AR55" s="8471"/>
    </row>
    <row customHeight="1" ht="17.25">
      <c r="A56" s="2124"/>
      <c r="B56" s="8471"/>
      <c r="C56" s="2129"/>
      <c r="D56" s="2114"/>
      <c r="E56" s="2131"/>
      <c r="F56" s="2068"/>
      <c r="G56" s="2132"/>
      <c r="H56" s="2114"/>
      <c r="I56" s="2114"/>
      <c r="J56" s="2133"/>
      <c r="K56" s="2044"/>
      <c r="L56" s="2392"/>
      <c r="M56" s="2392"/>
      <c r="N56" s="2788"/>
      <c r="O56" s="2470"/>
      <c r="P56" s="2392"/>
      <c r="Q56" s="2392"/>
      <c r="R56" s="14174" t="s">
        <v>28</v>
      </c>
      <c r="S56" s="2391"/>
      <c r="T56" s="601"/>
      <c r="U56" s="602"/>
      <c r="V56" s="602" t="s">
        <v>213</v>
      </c>
      <c r="W56" s="603"/>
      <c r="X56" s="8471"/>
      <c r="Y56" s="1543"/>
      <c r="Z56" s="1543"/>
      <c r="AA56" s="1543"/>
      <c r="AB56" s="1543"/>
      <c r="AC56" s="1543"/>
      <c r="AD56" s="1543"/>
      <c r="AE56" s="1543"/>
      <c r="AF56" s="1543"/>
      <c r="AG56" s="1543"/>
      <c r="AH56" s="1543"/>
      <c r="AI56" s="1543"/>
      <c r="AJ56" s="1543"/>
      <c r="AK56" s="1543"/>
      <c r="AL56" s="8471"/>
      <c r="AM56" s="8471"/>
      <c r="AN56" s="8471"/>
      <c r="AO56" s="8471"/>
      <c r="AP56" s="8471"/>
      <c r="AQ56" s="8471"/>
      <c r="AR56" s="8471"/>
    </row>
    <row customHeight="1" ht="17.25">
      <c r="A57" s="2124"/>
      <c r="B57" s="8471"/>
      <c r="C57" s="2129"/>
      <c r="D57" s="2114"/>
      <c r="E57" s="2131"/>
      <c r="F57" s="2068"/>
      <c r="G57" s="2132"/>
      <c r="H57" s="2114"/>
      <c r="I57" s="2114"/>
      <c r="J57" s="2133"/>
      <c r="K57" s="2044"/>
      <c r="L57" s="2787"/>
      <c r="M57" s="2787"/>
      <c r="N57" s="2789"/>
      <c r="O57" s="2396"/>
      <c r="P57" s="601"/>
      <c r="Q57" s="602"/>
      <c r="R57" s="602" t="s">
        <v>214</v>
      </c>
      <c r="S57" s="2130"/>
      <c r="T57" s="2130"/>
      <c r="U57" s="2130"/>
      <c r="V57" s="2130"/>
      <c r="W57" s="603"/>
      <c r="X57" s="8471"/>
      <c r="Y57" s="1543"/>
      <c r="Z57" s="1543"/>
      <c r="AA57" s="1543"/>
      <c r="AB57" s="1543"/>
      <c r="AC57" s="1543"/>
      <c r="AD57" s="1543"/>
      <c r="AE57" s="1543"/>
      <c r="AF57" s="1543"/>
      <c r="AG57" s="1543"/>
      <c r="AH57" s="1543"/>
      <c r="AI57" s="1543"/>
      <c r="AJ57" s="1543"/>
      <c r="AK57" s="1543"/>
      <c r="AL57" s="8471"/>
      <c r="AM57" s="8471"/>
      <c r="AN57" s="8471"/>
      <c r="AO57" s="8471"/>
      <c r="AP57" s="8471"/>
      <c r="AQ57" s="8471"/>
      <c r="AR57" s="8471"/>
    </row>
    <row customHeight="1" ht="17.25">
      <c r="A58" s="2124"/>
      <c r="B58" s="8471"/>
      <c r="C58" s="2129"/>
      <c r="D58" s="2114"/>
      <c r="E58" s="2131"/>
      <c r="F58" s="2068"/>
      <c r="G58" s="2132"/>
      <c r="H58" s="2787"/>
      <c r="I58" s="2787"/>
      <c r="J58" s="2817"/>
      <c r="K58" s="2396"/>
      <c r="L58" s="601"/>
      <c r="M58" s="602"/>
      <c r="N58" s="602" t="s">
        <v>230</v>
      </c>
      <c r="O58" s="602"/>
      <c r="P58" s="602"/>
      <c r="Q58" s="602"/>
      <c r="R58" s="602"/>
      <c r="S58" s="2130"/>
      <c r="T58" s="2130"/>
      <c r="U58" s="2130"/>
      <c r="V58" s="2130"/>
      <c r="W58" s="603"/>
      <c r="X58" s="8471"/>
      <c r="Y58" s="1543"/>
      <c r="Z58" s="1543"/>
      <c r="AA58" s="1543"/>
      <c r="AB58" s="1543"/>
      <c r="AC58" s="1543"/>
      <c r="AD58" s="1543"/>
      <c r="AE58" s="1543"/>
      <c r="AF58" s="1543"/>
      <c r="AG58" s="1543"/>
      <c r="AH58" s="1543"/>
      <c r="AI58" s="1543"/>
      <c r="AJ58" s="1543"/>
      <c r="AK58" s="1543"/>
      <c r="AL58" s="8471"/>
      <c r="AM58" s="8471"/>
      <c r="AN58" s="8471"/>
      <c r="AO58" s="8471"/>
      <c r="AP58" s="8471"/>
      <c r="AQ58" s="8471"/>
      <c r="AR58" s="8471"/>
    </row>
    <row s="30764" customFormat="1" customHeight="1" ht="17.25">
      <c r="A59" s="605"/>
      <c r="C59" s="604"/>
      <c r="D59" s="2420"/>
      <c r="E59" s="2428"/>
      <c r="F59" s="2431"/>
      <c r="G59" s="8458"/>
      <c r="H59" s="8487"/>
      <c r="I59" s="8488"/>
      <c r="J59" s="8489" t="s">
        <v>239</v>
      </c>
      <c r="K59" s="8490"/>
      <c r="L59" s="8491"/>
      <c r="M59" s="8492"/>
      <c r="N59" s="8493"/>
      <c r="O59" s="8494"/>
      <c r="P59" s="8495"/>
      <c r="Q59" s="8496"/>
      <c r="R59" s="8497"/>
      <c r="S59" s="8498"/>
      <c r="T59" s="8499"/>
      <c r="U59" s="8500"/>
      <c r="V59" s="8501"/>
      <c r="W59" s="8502"/>
      <c r="X59" s="1543"/>
      <c r="Y59" s="1543"/>
      <c r="Z59" s="1543"/>
      <c r="AA59" s="1543"/>
      <c r="AB59" s="1543"/>
      <c r="AC59" s="1543"/>
      <c r="AD59" s="1543"/>
      <c r="AE59" s="1543"/>
      <c r="AF59" s="1543"/>
      <c r="AG59" s="1543"/>
      <c r="AH59" s="1543"/>
      <c r="AI59" s="1543"/>
      <c r="AJ59" s="1543"/>
      <c r="AK59" s="1543"/>
      <c r="AL59" s="1543"/>
      <c r="AM59" s="1543"/>
      <c r="AN59" s="1543"/>
      <c r="AO59" s="1543"/>
      <c r="AP59" s="1543"/>
      <c r="AQ59" s="1543"/>
      <c r="AR59" s="1567">
        <v>0</v>
      </c>
    </row>
    <row s="30764" customFormat="1" customHeight="1" ht="17.25">
      <c r="A60" s="605"/>
      <c r="C60" s="493"/>
      <c r="D60" s="2419">
        <v>5</v>
      </c>
      <c r="E60" s="2427" t="s">
        <v>240</v>
      </c>
      <c r="F60" s="2429" t="s">
        <v>19</v>
      </c>
      <c r="G60" s="2427"/>
      <c r="H60" s="2432"/>
      <c r="I60" s="2434"/>
      <c r="J60" s="2436"/>
      <c r="K60" s="2421"/>
      <c r="L60" s="2421"/>
      <c r="M60" s="2421"/>
      <c r="N60" s="2423"/>
      <c r="O60" s="2421"/>
      <c r="P60" s="2421"/>
      <c r="Q60" s="2421"/>
      <c r="R60" s="2426"/>
      <c r="S60" s="2421"/>
      <c r="T60" s="1704"/>
      <c r="U60" s="1704"/>
      <c r="V60" s="1703"/>
      <c r="W60" s="1580"/>
      <c r="X60" s="1551"/>
      <c r="Y60" s="1551"/>
      <c r="Z60" s="1551"/>
      <c r="AA60" s="1551"/>
      <c r="AB60" s="1551"/>
      <c r="AC60" s="1551" t="s">
        <v>241</v>
      </c>
      <c r="AD60" s="1551" t="s">
        <v>242</v>
      </c>
      <c r="AE60" s="1551" t="s">
        <v>243</v>
      </c>
      <c r="AF60" s="1551" t="s">
        <v>244</v>
      </c>
      <c r="AG60" s="1551" t="s">
        <v>245</v>
      </c>
      <c r="AH60" s="1551" t="str">
        <f>IF($E$60=0,"",$E$60)</f>
        <v>Тарифы на услуги по передаче тепловой энергии</v>
      </c>
      <c r="AI60" s="1551" t="str">
        <f>IF($G$60=0,"",$G$60)</f>
        <v/>
      </c>
      <c r="AJ60" s="1551" t="str">
        <f>IF($J$60=0,"",$J$60)</f>
        <v/>
      </c>
      <c r="AK60" s="1551" t="str">
        <f>IF($K$60="нет","без дифференциации",IF($N$60=0,"",$N$60))</f>
        <v/>
      </c>
      <c r="AL60" s="1551" t="str">
        <f>IF($O$60="нет","без дифференциации",IF($R$60=0,"",$R$60))</f>
        <v/>
      </c>
      <c r="AM60" s="1551" t="str">
        <f>IF($S$60="нет","без дифференциации",IF($V$60=0,"",$V$60))</f>
        <v/>
      </c>
      <c r="AN60" s="2056">
        <f>$I$60</f>
        <v>0</v>
      </c>
      <c r="AO60" s="1551" t="str">
        <f>$I$60&amp;"."&amp;$M$60</f>
        <v>.</v>
      </c>
      <c r="AP60" s="1543" t="str">
        <f>$I$60&amp;"."&amp;$M$60&amp;"."&amp;$Q$60</f>
        <v>..</v>
      </c>
      <c r="AQ60" s="1543" t="str">
        <f>$I$60&amp;"."&amp;$M$60&amp;"."&amp;$Q$60&amp;"."&amp;$U$60</f>
        <v>...</v>
      </c>
      <c r="AR60" s="1567">
        <v>0</v>
      </c>
    </row>
    <row s="30764" customFormat="1" customHeight="1" ht="17.25">
      <c r="A61" s="605"/>
      <c r="C61" s="604"/>
      <c r="D61" s="2419"/>
      <c r="E61" s="2427"/>
      <c r="F61" s="2430"/>
      <c r="G61" s="2427"/>
      <c r="H61" s="2433"/>
      <c r="I61" s="2435"/>
      <c r="J61" s="2437"/>
      <c r="K61" s="2422"/>
      <c r="L61" s="2422"/>
      <c r="M61" s="2422"/>
      <c r="N61" s="2424"/>
      <c r="O61" s="2422"/>
      <c r="P61" s="2422"/>
      <c r="Q61" s="2422"/>
      <c r="R61" s="2425"/>
      <c r="S61" s="2422"/>
      <c r="T61" s="1581"/>
      <c r="U61" s="1581"/>
      <c r="V61" s="1581"/>
      <c r="W61" s="1582"/>
      <c r="X61" s="1543"/>
      <c r="Y61" s="1543"/>
      <c r="Z61" s="1543"/>
      <c r="AA61" s="1543"/>
      <c r="AB61" s="1543"/>
      <c r="AC61" s="1543"/>
      <c r="AD61" s="1543"/>
      <c r="AE61" s="1543"/>
      <c r="AF61" s="1543"/>
      <c r="AG61" s="1543"/>
      <c r="AH61" s="1543"/>
      <c r="AI61" s="1543"/>
      <c r="AJ61" s="1543"/>
      <c r="AK61" s="1543"/>
      <c r="AL61" s="1543"/>
      <c r="AM61" s="1543"/>
      <c r="AN61" s="1543"/>
      <c r="AO61" s="1543"/>
      <c r="AP61" s="1543"/>
      <c r="AQ61" s="1543"/>
      <c r="AR61" s="1567">
        <v>0</v>
      </c>
    </row>
    <row s="30764" customFormat="1" customHeight="1" ht="17.25">
      <c r="A62" s="605"/>
      <c r="C62" s="604"/>
      <c r="D62" s="2420"/>
      <c r="E62" s="2428"/>
      <c r="F62" s="2430"/>
      <c r="G62" s="2428"/>
      <c r="H62" s="2433"/>
      <c r="I62" s="2435"/>
      <c r="J62" s="2438"/>
      <c r="K62" s="2422"/>
      <c r="L62" s="2422"/>
      <c r="M62" s="2422"/>
      <c r="N62" s="2425"/>
      <c r="O62" s="2422"/>
      <c r="P62" s="1702"/>
      <c r="Q62" s="1581"/>
      <c r="R62" s="1581"/>
      <c r="S62" s="613"/>
      <c r="T62" s="613"/>
      <c r="U62" s="613"/>
      <c r="V62" s="613"/>
      <c r="W62" s="1582"/>
      <c r="X62" s="1543"/>
      <c r="Y62" s="1543"/>
      <c r="Z62" s="1543"/>
      <c r="AA62" s="1543"/>
      <c r="AB62" s="1543"/>
      <c r="AC62" s="1543"/>
      <c r="AD62" s="1543"/>
      <c r="AE62" s="1543"/>
      <c r="AF62" s="1543"/>
      <c r="AG62" s="1543"/>
      <c r="AH62" s="1543"/>
      <c r="AI62" s="1543"/>
      <c r="AJ62" s="1543"/>
      <c r="AK62" s="1543"/>
      <c r="AL62" s="1543"/>
      <c r="AM62" s="1543"/>
      <c r="AN62" s="1543"/>
      <c r="AO62" s="1543"/>
      <c r="AP62" s="1543"/>
      <c r="AQ62" s="1543"/>
      <c r="AR62" s="1567">
        <v>0</v>
      </c>
    </row>
    <row s="30764" customFormat="1" customHeight="1" ht="17.25">
      <c r="A63" s="605"/>
      <c r="C63" s="604"/>
      <c r="D63" s="2420"/>
      <c r="E63" s="2428"/>
      <c r="F63" s="2430"/>
      <c r="G63" s="2428"/>
      <c r="H63" s="2433"/>
      <c r="I63" s="2435"/>
      <c r="J63" s="2438"/>
      <c r="K63" s="2422"/>
      <c r="L63" s="1581"/>
      <c r="M63" s="1581"/>
      <c r="N63" s="1581"/>
      <c r="O63" s="1581"/>
      <c r="P63" s="1581"/>
      <c r="Q63" s="1581"/>
      <c r="R63" s="1581"/>
      <c r="S63" s="613"/>
      <c r="T63" s="613"/>
      <c r="U63" s="613"/>
      <c r="V63" s="613"/>
      <c r="W63" s="1582"/>
      <c r="X63" s="1543"/>
      <c r="Y63" s="1543"/>
      <c r="Z63" s="1543"/>
      <c r="AA63" s="1543"/>
      <c r="AB63" s="1543"/>
      <c r="AC63" s="1543"/>
      <c r="AD63" s="1543"/>
      <c r="AE63" s="1543"/>
      <c r="AF63" s="1543"/>
      <c r="AG63" s="1543"/>
      <c r="AH63" s="1543"/>
      <c r="AI63" s="1543"/>
      <c r="AJ63" s="1543"/>
      <c r="AK63" s="1543"/>
      <c r="AL63" s="1543"/>
      <c r="AM63" s="1543"/>
      <c r="AN63" s="1543"/>
      <c r="AO63" s="1543"/>
      <c r="AP63" s="1543"/>
      <c r="AQ63" s="1543"/>
      <c r="AR63" s="1567">
        <v>0</v>
      </c>
    </row>
    <row s="30764" customFormat="1" customHeight="1" ht="17.25">
      <c r="A64" s="605"/>
      <c r="C64" s="604"/>
      <c r="D64" s="2420"/>
      <c r="E64" s="2428"/>
      <c r="F64" s="2431"/>
      <c r="G64" s="2428"/>
      <c r="H64" s="1583"/>
      <c r="I64" s="1584"/>
      <c r="J64" s="1584"/>
      <c r="K64" s="1584"/>
      <c r="L64" s="1584"/>
      <c r="M64" s="1584"/>
      <c r="N64" s="1584"/>
      <c r="O64" s="1584"/>
      <c r="P64" s="1584"/>
      <c r="Q64" s="1584"/>
      <c r="R64" s="1584"/>
      <c r="S64" s="1585"/>
      <c r="T64" s="1585"/>
      <c r="U64" s="1585"/>
      <c r="V64" s="1585"/>
      <c r="W64" s="1586"/>
      <c r="X64" s="1543"/>
      <c r="Y64" s="1543"/>
      <c r="Z64" s="1543"/>
      <c r="AA64" s="1543"/>
      <c r="AB64" s="1543"/>
      <c r="AC64" s="1543"/>
      <c r="AD64" s="1543"/>
      <c r="AE64" s="1543"/>
      <c r="AF64" s="1543"/>
      <c r="AG64" s="1543"/>
      <c r="AH64" s="1543"/>
      <c r="AI64" s="1543"/>
      <c r="AJ64" s="1543"/>
      <c r="AK64" s="1543"/>
      <c r="AL64" s="1543"/>
      <c r="AM64" s="1543"/>
      <c r="AN64" s="1543"/>
      <c r="AO64" s="1543"/>
      <c r="AP64" s="1543"/>
      <c r="AQ64" s="1543"/>
      <c r="AR64" s="1567">
        <v>0</v>
      </c>
    </row>
    <row s="30764" customFormat="1" customHeight="1" ht="17.25">
      <c r="A65" s="605"/>
      <c r="C65" s="493"/>
      <c r="D65" s="2419">
        <v>6</v>
      </c>
      <c r="E65" s="2427" t="s">
        <v>246</v>
      </c>
      <c r="F65" s="2429" t="s">
        <v>19</v>
      </c>
      <c r="G65" s="2427"/>
      <c r="H65" s="2432"/>
      <c r="I65" s="2434"/>
      <c r="J65" s="2436"/>
      <c r="K65" s="2421"/>
      <c r="L65" s="2421"/>
      <c r="M65" s="2421"/>
      <c r="N65" s="2423"/>
      <c r="O65" s="2421"/>
      <c r="P65" s="2421"/>
      <c r="Q65" s="2421"/>
      <c r="R65" s="2426"/>
      <c r="S65" s="2421"/>
      <c r="T65" s="1704"/>
      <c r="U65" s="1704"/>
      <c r="V65" s="1703"/>
      <c r="W65" s="1580"/>
      <c r="X65" s="1551"/>
      <c r="Y65" s="1551"/>
      <c r="Z65" s="1551"/>
      <c r="AA65" s="1551"/>
      <c r="AB65" s="1551"/>
      <c r="AC65" s="1551" t="s">
        <v>247</v>
      </c>
      <c r="AD65" s="1551" t="s">
        <v>248</v>
      </c>
      <c r="AE65" s="1551" t="s">
        <v>249</v>
      </c>
      <c r="AF65" s="1551" t="s">
        <v>250</v>
      </c>
      <c r="AG65" s="1551" t="s">
        <v>251</v>
      </c>
      <c r="AH65" s="1551" t="str">
        <f>IF($E$65=0,"",$E$65)</f>
        <v>Тарифы на услуги по передаче теплоносителя</v>
      </c>
      <c r="AI65" s="1551" t="str">
        <f>IF($G$65=0,"",$G$65)</f>
        <v/>
      </c>
      <c r="AJ65" s="1551" t="str">
        <f>IF($J$65=0,"",$J$65)</f>
        <v/>
      </c>
      <c r="AK65" s="1551" t="str">
        <f>IF($K$65="нет","без дифференциации",IF($N$65=0,"",$N$65))</f>
        <v/>
      </c>
      <c r="AL65" s="1551" t="str">
        <f>IF($O$65="нет","без дифференциации",IF($R$65=0,"",$R$65))</f>
        <v/>
      </c>
      <c r="AM65" s="1551" t="str">
        <f>IF($S$65="нет","без дифференциации",IF($V$65=0,"",$V$65))</f>
        <v/>
      </c>
      <c r="AN65" s="2056">
        <f>$I$65</f>
        <v>0</v>
      </c>
      <c r="AO65" s="1551" t="str">
        <f>$I$65&amp;"."&amp;$M$65</f>
        <v>.</v>
      </c>
      <c r="AP65" s="1543" t="str">
        <f>$I$65&amp;"."&amp;$M$65&amp;"."&amp;$Q$65</f>
        <v>..</v>
      </c>
      <c r="AQ65" s="1543" t="str">
        <f>$I$65&amp;"."&amp;$M$65&amp;"."&amp;$Q$65&amp;"."&amp;$U$65</f>
        <v>...</v>
      </c>
      <c r="AR65" s="1567">
        <v>0</v>
      </c>
    </row>
    <row s="30764" customFormat="1" customHeight="1" ht="17.25">
      <c r="A66" s="605"/>
      <c r="C66" s="604"/>
      <c r="D66" s="2419"/>
      <c r="E66" s="2427"/>
      <c r="F66" s="2430"/>
      <c r="G66" s="2427"/>
      <c r="H66" s="2433"/>
      <c r="I66" s="2435"/>
      <c r="J66" s="2437"/>
      <c r="K66" s="2422"/>
      <c r="L66" s="2422"/>
      <c r="M66" s="2422"/>
      <c r="N66" s="2424"/>
      <c r="O66" s="2422"/>
      <c r="P66" s="2422"/>
      <c r="Q66" s="2422"/>
      <c r="R66" s="2425"/>
      <c r="S66" s="2422"/>
      <c r="T66" s="1581"/>
      <c r="U66" s="1581"/>
      <c r="V66" s="1581"/>
      <c r="W66" s="1582"/>
      <c r="X66" s="1543"/>
      <c r="Y66" s="1543"/>
      <c r="Z66" s="1543"/>
      <c r="AA66" s="1543"/>
      <c r="AB66" s="1543"/>
      <c r="AC66" s="1543"/>
      <c r="AD66" s="1543"/>
      <c r="AE66" s="1543"/>
      <c r="AF66" s="1543"/>
      <c r="AG66" s="1543"/>
      <c r="AH66" s="1543"/>
      <c r="AI66" s="1543"/>
      <c r="AJ66" s="1543"/>
      <c r="AK66" s="1543"/>
      <c r="AL66" s="1543"/>
      <c r="AM66" s="1543"/>
      <c r="AN66" s="1543"/>
      <c r="AO66" s="1543"/>
      <c r="AP66" s="1543"/>
      <c r="AQ66" s="1543"/>
      <c r="AR66" s="1567">
        <v>0</v>
      </c>
    </row>
    <row s="30764" customFormat="1" customHeight="1" ht="17.25">
      <c r="A67" s="605"/>
      <c r="C67" s="604"/>
      <c r="D67" s="2420"/>
      <c r="E67" s="2428"/>
      <c r="F67" s="2430"/>
      <c r="G67" s="2428"/>
      <c r="H67" s="2433"/>
      <c r="I67" s="2435"/>
      <c r="J67" s="2438"/>
      <c r="K67" s="2422"/>
      <c r="L67" s="2422"/>
      <c r="M67" s="2422"/>
      <c r="N67" s="2425"/>
      <c r="O67" s="2422"/>
      <c r="P67" s="1702"/>
      <c r="Q67" s="1581"/>
      <c r="R67" s="1581"/>
      <c r="S67" s="613"/>
      <c r="T67" s="613"/>
      <c r="U67" s="613"/>
      <c r="V67" s="613"/>
      <c r="W67" s="1582"/>
      <c r="X67" s="1543"/>
      <c r="Y67" s="1543"/>
      <c r="Z67" s="1543"/>
      <c r="AA67" s="1543"/>
      <c r="AB67" s="1543"/>
      <c r="AC67" s="1543"/>
      <c r="AD67" s="1543"/>
      <c r="AE67" s="1543"/>
      <c r="AF67" s="1543"/>
      <c r="AG67" s="1543"/>
      <c r="AH67" s="1543"/>
      <c r="AI67" s="1543"/>
      <c r="AJ67" s="1543"/>
      <c r="AK67" s="1543"/>
      <c r="AL67" s="1543"/>
      <c r="AM67" s="1543"/>
      <c r="AN67" s="1543"/>
      <c r="AO67" s="1543"/>
      <c r="AP67" s="1543"/>
      <c r="AQ67" s="1543"/>
      <c r="AR67" s="1567">
        <v>0</v>
      </c>
    </row>
    <row s="30764" customFormat="1" customHeight="1" ht="17.25">
      <c r="A68" s="605"/>
      <c r="C68" s="493"/>
      <c r="D68" s="2420"/>
      <c r="E68" s="2428"/>
      <c r="F68" s="2430"/>
      <c r="G68" s="2428"/>
      <c r="H68" s="2433"/>
      <c r="I68" s="2435"/>
      <c r="J68" s="2438"/>
      <c r="K68" s="2422"/>
      <c r="L68" s="1581"/>
      <c r="M68" s="1581"/>
      <c r="N68" s="1581"/>
      <c r="O68" s="1581"/>
      <c r="P68" s="1581"/>
      <c r="Q68" s="1581"/>
      <c r="R68" s="1581"/>
      <c r="S68" s="613"/>
      <c r="T68" s="613"/>
      <c r="U68" s="613"/>
      <c r="V68" s="613"/>
      <c r="W68" s="1582"/>
      <c r="Y68" s="1551"/>
      <c r="Z68" s="1551"/>
      <c r="AA68" s="1551"/>
      <c r="AB68" s="1551"/>
      <c r="AC68" s="1551"/>
      <c r="AD68" s="1551"/>
      <c r="AE68" s="1551"/>
      <c r="AF68" s="1551"/>
      <c r="AG68" s="1551"/>
      <c r="AH68" s="1551"/>
      <c r="AI68" s="1551"/>
      <c r="AJ68" s="1551"/>
      <c r="AK68" s="1551"/>
      <c r="AL68" s="1551"/>
      <c r="AM68" s="1551"/>
      <c r="AN68" s="1551"/>
      <c r="AO68" s="1551"/>
      <c r="AP68" s="1551"/>
      <c r="AQ68" s="1551"/>
      <c r="AR68" s="1610">
        <v>0</v>
      </c>
    </row>
    <row s="30764" customFormat="1" customHeight="1" ht="17.25">
      <c r="A69" s="605"/>
      <c r="C69" s="604"/>
      <c r="D69" s="2420"/>
      <c r="E69" s="2428"/>
      <c r="F69" s="2431"/>
      <c r="G69" s="2428"/>
      <c r="H69" s="1583"/>
      <c r="I69" s="1584"/>
      <c r="J69" s="1584"/>
      <c r="K69" s="1584"/>
      <c r="L69" s="1584"/>
      <c r="M69" s="1584"/>
      <c r="N69" s="1584"/>
      <c r="O69" s="1584"/>
      <c r="P69" s="1584"/>
      <c r="Q69" s="1584"/>
      <c r="R69" s="1584"/>
      <c r="S69" s="1585"/>
      <c r="T69" s="1585"/>
      <c r="U69" s="1585"/>
      <c r="V69" s="1585"/>
      <c r="W69" s="1586"/>
      <c r="X69" s="1543"/>
      <c r="Y69" s="1543"/>
      <c r="Z69" s="1543"/>
      <c r="AA69" s="1543"/>
      <c r="AB69" s="1543"/>
      <c r="AC69" s="1543"/>
      <c r="AD69" s="1543"/>
      <c r="AE69" s="1543"/>
      <c r="AF69" s="1543"/>
      <c r="AG69" s="1543"/>
      <c r="AH69" s="1543"/>
      <c r="AI69" s="1543"/>
      <c r="AJ69" s="1543"/>
      <c r="AK69" s="1543"/>
      <c r="AL69" s="1543"/>
      <c r="AM69" s="1543"/>
      <c r="AN69" s="1543"/>
      <c r="AO69" s="1543"/>
      <c r="AP69" s="1543"/>
      <c r="AQ69" s="1543"/>
      <c r="AR69" s="1567">
        <v>0</v>
      </c>
    </row>
    <row s="30764" customFormat="1" customHeight="1" ht="17.25">
      <c r="A70" s="605"/>
      <c r="C70" s="493"/>
      <c r="D70" s="2450">
        <v>7</v>
      </c>
      <c r="E70" s="2453" t="s">
        <v>252</v>
      </c>
      <c r="F70" s="2429" t="s">
        <v>19</v>
      </c>
      <c r="G70" s="2453"/>
      <c r="H70" s="2432"/>
      <c r="I70" s="2434"/>
      <c r="J70" s="2436"/>
      <c r="K70" s="2421"/>
      <c r="L70" s="2421"/>
      <c r="M70" s="2421"/>
      <c r="N70" s="2423"/>
      <c r="O70" s="2421"/>
      <c r="P70" s="2421"/>
      <c r="Q70" s="2421"/>
      <c r="R70" s="2426"/>
      <c r="S70" s="2421"/>
      <c r="T70" s="1704"/>
      <c r="U70" s="1704"/>
      <c r="V70" s="1703"/>
      <c r="W70" s="1580"/>
      <c r="X70" s="1551"/>
      <c r="Y70" s="1551"/>
      <c r="Z70" s="1551"/>
      <c r="AA70" s="1551"/>
      <c r="AB70" s="1551"/>
      <c r="AC70" s="1551" t="s">
        <v>253</v>
      </c>
      <c r="AD70" s="1551" t="s">
        <v>254</v>
      </c>
      <c r="AE70" s="1551" t="s">
        <v>255</v>
      </c>
      <c r="AF70" s="1551" t="s">
        <v>256</v>
      </c>
      <c r="AG70" s="1551" t="s">
        <v>257</v>
      </c>
      <c r="AH70" s="1551" t="str">
        <f>IF($E$70=0,"",$E$70)</f>
        <v>Плата за услуги по поддержанию резервной тепловой мощности при отсутствии потребления тепловой энергии</v>
      </c>
      <c r="AI70" s="1551" t="str">
        <f>IF($G$70=0,"",$G$70)</f>
        <v/>
      </c>
      <c r="AJ70" s="1551" t="str">
        <f>IF($J$70=0,"",$J$70)</f>
        <v/>
      </c>
      <c r="AK70" s="1551" t="str">
        <f>IF($K$70="нет","без дифференциации",IF($N$70=0,"",$N$70))</f>
        <v/>
      </c>
      <c r="AL70" s="1551" t="str">
        <f>IF($O$70="нет","без дифференциации",IF($R$70=0,"",$R$70))</f>
        <v/>
      </c>
      <c r="AM70" s="1551" t="str">
        <f>IF($S$70="нет","без дифференциации",IF($V$70=0,"",$V$70))</f>
        <v/>
      </c>
      <c r="AN70" s="2056">
        <f>$I$70</f>
        <v>0</v>
      </c>
      <c r="AO70" s="1551" t="str">
        <f>$I$70&amp;"."&amp;$M$70</f>
        <v>.</v>
      </c>
      <c r="AP70" s="1543" t="str">
        <f>$I$70&amp;"."&amp;$M$70&amp;"."&amp;$Q$70</f>
        <v>..</v>
      </c>
      <c r="AQ70" s="1543" t="str">
        <f>$I$70&amp;"."&amp;$M$70&amp;"."&amp;$Q$70&amp;"."&amp;$U$70</f>
        <v>...</v>
      </c>
      <c r="AR70" s="1592">
        <v>0</v>
      </c>
    </row>
    <row s="30764" customFormat="1" customHeight="1" ht="17.25">
      <c r="A71" s="605"/>
      <c r="C71" s="604"/>
      <c r="D71" s="2451"/>
      <c r="E71" s="2454"/>
      <c r="F71" s="2430"/>
      <c r="G71" s="2454"/>
      <c r="H71" s="2433"/>
      <c r="I71" s="2435"/>
      <c r="J71" s="2437"/>
      <c r="K71" s="2422"/>
      <c r="L71" s="2422"/>
      <c r="M71" s="2422"/>
      <c r="N71" s="2424"/>
      <c r="O71" s="2422"/>
      <c r="P71" s="2422"/>
      <c r="Q71" s="2422"/>
      <c r="R71" s="2425"/>
      <c r="S71" s="2422"/>
      <c r="T71" s="1581"/>
      <c r="U71" s="1581"/>
      <c r="V71" s="1581"/>
      <c r="W71" s="1582"/>
      <c r="X71" s="1543"/>
      <c r="Y71" s="1543"/>
      <c r="Z71" s="1543"/>
      <c r="AA71" s="1543"/>
      <c r="AB71" s="1543"/>
      <c r="AC71" s="1543"/>
      <c r="AD71" s="1543"/>
      <c r="AE71" s="1543"/>
      <c r="AF71" s="1543"/>
      <c r="AG71" s="1543"/>
      <c r="AH71" s="1543"/>
      <c r="AI71" s="1543"/>
      <c r="AJ71" s="1543"/>
      <c r="AK71" s="1543"/>
      <c r="AL71" s="1543"/>
      <c r="AM71" s="1543"/>
      <c r="AN71" s="1543"/>
      <c r="AO71" s="1543"/>
      <c r="AP71" s="1543"/>
      <c r="AQ71" s="1543"/>
      <c r="AR71" s="1592">
        <v>0</v>
      </c>
    </row>
    <row s="30764" customFormat="1" customHeight="1" ht="17.25">
      <c r="A72" s="605"/>
      <c r="C72" s="604"/>
      <c r="D72" s="2451"/>
      <c r="E72" s="2454"/>
      <c r="F72" s="2430"/>
      <c r="G72" s="2454"/>
      <c r="H72" s="2433"/>
      <c r="I72" s="2435"/>
      <c r="J72" s="2438"/>
      <c r="K72" s="2422"/>
      <c r="L72" s="2422"/>
      <c r="M72" s="2422"/>
      <c r="N72" s="2425"/>
      <c r="O72" s="2422"/>
      <c r="P72" s="1702"/>
      <c r="Q72" s="1581"/>
      <c r="R72" s="1581"/>
      <c r="S72" s="613"/>
      <c r="T72" s="613"/>
      <c r="U72" s="613"/>
      <c r="V72" s="613"/>
      <c r="W72" s="1582"/>
      <c r="X72" s="1543"/>
      <c r="Y72" s="1543"/>
      <c r="Z72" s="1543"/>
      <c r="AA72" s="1543"/>
      <c r="AB72" s="1543"/>
      <c r="AC72" s="1543"/>
      <c r="AD72" s="1543"/>
      <c r="AE72" s="1543"/>
      <c r="AF72" s="1543"/>
      <c r="AG72" s="1543"/>
      <c r="AH72" s="1543"/>
      <c r="AI72" s="1543"/>
      <c r="AJ72" s="1543"/>
      <c r="AK72" s="1543"/>
      <c r="AL72" s="1543"/>
      <c r="AM72" s="1543"/>
      <c r="AN72" s="1543"/>
      <c r="AO72" s="1543"/>
      <c r="AP72" s="1543"/>
      <c r="AQ72" s="1543"/>
      <c r="AR72" s="1592">
        <v>0</v>
      </c>
    </row>
    <row s="30764" customFormat="1" customHeight="1" ht="17.25">
      <c r="A73" s="605"/>
      <c r="C73" s="493"/>
      <c r="D73" s="2451"/>
      <c r="E73" s="2454"/>
      <c r="F73" s="2430"/>
      <c r="G73" s="2454"/>
      <c r="H73" s="2433"/>
      <c r="I73" s="2435"/>
      <c r="J73" s="2438"/>
      <c r="K73" s="2422"/>
      <c r="L73" s="1581"/>
      <c r="M73" s="1581"/>
      <c r="N73" s="1581"/>
      <c r="O73" s="1581"/>
      <c r="P73" s="1581"/>
      <c r="Q73" s="1581"/>
      <c r="R73" s="1581"/>
      <c r="S73" s="613"/>
      <c r="T73" s="613"/>
      <c r="U73" s="613"/>
      <c r="V73" s="613"/>
      <c r="W73" s="1582"/>
      <c r="Y73" s="1551"/>
      <c r="Z73" s="1551"/>
      <c r="AA73" s="1551"/>
      <c r="AB73" s="1551"/>
      <c r="AC73" s="1551"/>
      <c r="AD73" s="1551"/>
      <c r="AE73" s="1551"/>
      <c r="AF73" s="1551"/>
      <c r="AG73" s="1551"/>
      <c r="AH73" s="1551"/>
      <c r="AI73" s="1551"/>
      <c r="AJ73" s="1551"/>
      <c r="AK73" s="1551"/>
      <c r="AL73" s="1551"/>
      <c r="AM73" s="1551"/>
      <c r="AN73" s="1551"/>
      <c r="AO73" s="1551"/>
      <c r="AP73" s="1551"/>
      <c r="AQ73" s="1551"/>
      <c r="AR73" s="1610">
        <v>0</v>
      </c>
    </row>
    <row s="30764" customFormat="1" customHeight="1" ht="17.25">
      <c r="A74" s="605"/>
      <c r="C74" s="604"/>
      <c r="D74" s="2452"/>
      <c r="E74" s="2455"/>
      <c r="F74" s="2431"/>
      <c r="G74" s="2455"/>
      <c r="H74" s="1583"/>
      <c r="I74" s="1584"/>
      <c r="J74" s="1584"/>
      <c r="K74" s="1584"/>
      <c r="L74" s="1584"/>
      <c r="M74" s="1584"/>
      <c r="N74" s="1584"/>
      <c r="O74" s="1584"/>
      <c r="P74" s="1584"/>
      <c r="Q74" s="1584"/>
      <c r="R74" s="1584"/>
      <c r="S74" s="1585"/>
      <c r="T74" s="1585"/>
      <c r="U74" s="1585"/>
      <c r="V74" s="1585"/>
      <c r="W74" s="1586"/>
      <c r="X74" s="1543"/>
      <c r="Y74" s="1543"/>
      <c r="Z74" s="1543"/>
      <c r="AA74" s="1543"/>
      <c r="AB74" s="1543"/>
      <c r="AC74" s="1543"/>
      <c r="AD74" s="1543"/>
      <c r="AE74" s="1543"/>
      <c r="AF74" s="1543"/>
      <c r="AG74" s="1543"/>
      <c r="AH74" s="1543"/>
      <c r="AI74" s="1543"/>
      <c r="AJ74" s="1543"/>
      <c r="AK74" s="1543"/>
      <c r="AL74" s="1543"/>
      <c r="AM74" s="1543"/>
      <c r="AN74" s="1543"/>
      <c r="AO74" s="1543"/>
      <c r="AP74" s="1543"/>
      <c r="AQ74" s="1543"/>
      <c r="AR74" s="1592">
        <v>0</v>
      </c>
    </row>
    <row s="30764" customFormat="1" customHeight="1" ht="17.25">
      <c r="A75" s="605"/>
      <c r="C75" s="493"/>
      <c r="D75" s="2419">
        <v>8</v>
      </c>
      <c r="E75" s="2427" t="s">
        <v>258</v>
      </c>
      <c r="F75" s="2429" t="s">
        <v>19</v>
      </c>
      <c r="G75" s="2427"/>
      <c r="H75" s="2432"/>
      <c r="I75" s="2434"/>
      <c r="J75" s="2436"/>
      <c r="K75" s="2421"/>
      <c r="L75" s="2421"/>
      <c r="M75" s="2421"/>
      <c r="N75" s="2423"/>
      <c r="O75" s="2421"/>
      <c r="P75" s="2421"/>
      <c r="Q75" s="2421"/>
      <c r="R75" s="2426"/>
      <c r="S75" s="2421"/>
      <c r="T75" s="1754"/>
      <c r="U75" s="1754"/>
      <c r="V75" s="1756"/>
      <c r="W75" s="1580"/>
      <c r="X75" s="1551"/>
      <c r="Y75" s="1551"/>
      <c r="Z75" s="1551"/>
      <c r="AA75" s="1551"/>
      <c r="AB75" s="1551"/>
      <c r="AC75" s="1551" t="s">
        <v>259</v>
      </c>
      <c r="AD75" s="1551" t="s">
        <v>260</v>
      </c>
      <c r="AE75" s="1551" t="s">
        <v>261</v>
      </c>
      <c r="AF75" s="1551" t="s">
        <v>262</v>
      </c>
      <c r="AG75" s="1551" t="s">
        <v>263</v>
      </c>
      <c r="AH75" s="1551" t="str">
        <f>IF($E$75=0,"",$E$75)</f>
        <v>Плата за подключение (технологическое присоединение) к системе теплоснабжения</v>
      </c>
      <c r="AI75" s="1551" t="str">
        <f>IF($G$75=0,"",$G$75)</f>
        <v/>
      </c>
      <c r="AJ75" s="1551" t="str">
        <f>IF($J$75=0,"",$J$75)</f>
        <v/>
      </c>
      <c r="AK75" s="1551" t="str">
        <f>IF($K$75="нет","без дифференциации",IF($N$75=0,"",$N$75))</f>
        <v/>
      </c>
      <c r="AL75" s="1551" t="str">
        <f>IF($O$75="нет","без дифференциации",IF($R$75=0,"",$R$75))</f>
        <v/>
      </c>
      <c r="AM75" s="1551" t="str">
        <f>IF($S$75="нет","без дифференциации",IF($V$75=0,"",$V$75))</f>
        <v/>
      </c>
      <c r="AN75" s="2056">
        <f>$I$75</f>
        <v>0</v>
      </c>
      <c r="AO75" s="1551" t="str">
        <f>$I$75&amp;"."&amp;$M$75</f>
        <v>.</v>
      </c>
      <c r="AP75" s="1543" t="str">
        <f>$I$75&amp;"."&amp;$M$75&amp;"."&amp;$Q$75</f>
        <v>..</v>
      </c>
      <c r="AQ75" s="1543" t="str">
        <f>$I$75&amp;"."&amp;$M$75&amp;"."&amp;$Q$75&amp;"."&amp;$U$75</f>
        <v>...</v>
      </c>
      <c r="AR75" s="1592">
        <v>0</v>
      </c>
    </row>
    <row s="30764" customFormat="1" customHeight="1" ht="17.25">
      <c r="A76" s="605"/>
      <c r="C76" s="604"/>
      <c r="D76" s="2419"/>
      <c r="E76" s="2427"/>
      <c r="F76" s="2430"/>
      <c r="G76" s="2427"/>
      <c r="H76" s="2433"/>
      <c r="I76" s="2435"/>
      <c r="J76" s="2437"/>
      <c r="K76" s="2422"/>
      <c r="L76" s="2422"/>
      <c r="M76" s="2422"/>
      <c r="N76" s="2424"/>
      <c r="O76" s="2422"/>
      <c r="P76" s="2422"/>
      <c r="Q76" s="2422"/>
      <c r="R76" s="2425"/>
      <c r="S76" s="2422"/>
      <c r="T76" s="1581"/>
      <c r="U76" s="1581"/>
      <c r="V76" s="1581"/>
      <c r="W76" s="1582"/>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92">
        <v>0</v>
      </c>
    </row>
    <row s="30764" customFormat="1" customHeight="1" ht="17.25">
      <c r="A77" s="605"/>
      <c r="C77" s="604"/>
      <c r="D77" s="2420"/>
      <c r="E77" s="2428"/>
      <c r="F77" s="2430"/>
      <c r="G77" s="2428"/>
      <c r="H77" s="2433"/>
      <c r="I77" s="2435"/>
      <c r="J77" s="2438"/>
      <c r="K77" s="2422"/>
      <c r="L77" s="2422"/>
      <c r="M77" s="2422"/>
      <c r="N77" s="2425"/>
      <c r="O77" s="2422"/>
      <c r="P77" s="1755"/>
      <c r="Q77" s="1581"/>
      <c r="R77" s="1581"/>
      <c r="S77" s="613"/>
      <c r="T77" s="613"/>
      <c r="U77" s="613"/>
      <c r="V77" s="613"/>
      <c r="W77" s="1582"/>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92">
        <v>0</v>
      </c>
    </row>
    <row s="30764" customFormat="1" customHeight="1" ht="17.25">
      <c r="A78" s="605"/>
      <c r="C78" s="493"/>
      <c r="D78" s="2420"/>
      <c r="E78" s="2428"/>
      <c r="F78" s="2430"/>
      <c r="G78" s="2428"/>
      <c r="H78" s="2433"/>
      <c r="I78" s="2435"/>
      <c r="J78" s="2438"/>
      <c r="K78" s="2422"/>
      <c r="L78" s="1581"/>
      <c r="M78" s="1581"/>
      <c r="N78" s="1581"/>
      <c r="O78" s="1581"/>
      <c r="P78" s="1581"/>
      <c r="Q78" s="1581"/>
      <c r="R78" s="1581"/>
      <c r="S78" s="613"/>
      <c r="T78" s="613"/>
      <c r="U78" s="613"/>
      <c r="V78" s="613"/>
      <c r="W78" s="1582"/>
      <c r="Y78" s="1551"/>
      <c r="Z78" s="1551"/>
      <c r="AA78" s="1551"/>
      <c r="AB78" s="1551"/>
      <c r="AC78" s="1551"/>
      <c r="AD78" s="1551"/>
      <c r="AE78" s="1551"/>
      <c r="AF78" s="1551"/>
      <c r="AG78" s="1551"/>
      <c r="AH78" s="1551"/>
      <c r="AI78" s="1551"/>
      <c r="AJ78" s="1551"/>
      <c r="AK78" s="1551"/>
      <c r="AL78" s="1551"/>
      <c r="AM78" s="1551"/>
      <c r="AN78" s="1551"/>
      <c r="AO78" s="1551"/>
      <c r="AP78" s="1551"/>
      <c r="AQ78" s="1551"/>
      <c r="AR78" s="1610">
        <v>0</v>
      </c>
    </row>
    <row s="30764" customFormat="1" customHeight="1" ht="17.25">
      <c r="A79" s="605"/>
      <c r="C79" s="604"/>
      <c r="D79" s="2420"/>
      <c r="E79" s="2428"/>
      <c r="F79" s="2431"/>
      <c r="G79" s="2428"/>
      <c r="H79" s="1583"/>
      <c r="I79" s="1584"/>
      <c r="J79" s="1584"/>
      <c r="K79" s="1584"/>
      <c r="L79" s="1584"/>
      <c r="M79" s="1584"/>
      <c r="N79" s="1584"/>
      <c r="O79" s="1584"/>
      <c r="P79" s="1584"/>
      <c r="Q79" s="1584"/>
      <c r="R79" s="1584"/>
      <c r="S79" s="1585"/>
      <c r="T79" s="1585"/>
      <c r="U79" s="1585"/>
      <c r="V79" s="1585"/>
      <c r="W79" s="1586"/>
      <c r="X79" s="1543"/>
      <c r="Y79" s="1543"/>
      <c r="Z79" s="1543"/>
      <c r="AA79" s="1543"/>
      <c r="AB79" s="1543"/>
      <c r="AC79" s="1543"/>
      <c r="AD79" s="1543"/>
      <c r="AE79" s="1543"/>
      <c r="AF79" s="1543"/>
      <c r="AG79" s="1543"/>
      <c r="AH79" s="1543"/>
      <c r="AI79" s="1543"/>
      <c r="AJ79" s="1543"/>
      <c r="AK79" s="1543"/>
      <c r="AL79" s="1543"/>
      <c r="AM79" s="1543"/>
      <c r="AN79" s="1543"/>
      <c r="AO79" s="1543"/>
      <c r="AP79" s="1543"/>
      <c r="AQ79" s="1543"/>
      <c r="AR79" s="1592">
        <v>0</v>
      </c>
    </row>
    <row s="30764" customFormat="1" customHeight="1" ht="17.25">
      <c r="A80" s="605"/>
      <c r="C80" s="493"/>
      <c r="D80" s="2419">
        <v>9</v>
      </c>
      <c r="E80" s="2427" t="s">
        <v>264</v>
      </c>
      <c r="F80" s="2429" t="s">
        <v>19</v>
      </c>
      <c r="G80" s="2427"/>
      <c r="H80" s="2432"/>
      <c r="I80" s="2434"/>
      <c r="J80" s="2436"/>
      <c r="K80" s="2421"/>
      <c r="L80" s="2421"/>
      <c r="M80" s="2421"/>
      <c r="N80" s="2423"/>
      <c r="O80" s="2421"/>
      <c r="P80" s="2421"/>
      <c r="Q80" s="2421"/>
      <c r="R80" s="2426"/>
      <c r="S80" s="2421"/>
      <c r="T80" s="2215"/>
      <c r="U80" s="2215"/>
      <c r="V80" s="2217"/>
      <c r="W80" s="1580"/>
      <c r="X80" s="1551"/>
      <c r="Y80" s="1551"/>
      <c r="Z80" s="1551"/>
      <c r="AA80" s="1551"/>
      <c r="AB80" s="1551"/>
      <c r="AC80" s="1551" t="s">
        <v>265</v>
      </c>
      <c r="AD80" s="1551" t="s">
        <v>266</v>
      </c>
      <c r="AE80" s="1551" t="s">
        <v>267</v>
      </c>
      <c r="AF80" s="1551" t="s">
        <v>268</v>
      </c>
      <c r="AG80" s="1551" t="s">
        <v>269</v>
      </c>
      <c r="AH80" s="1551" t="str">
        <f>IF($E$80=0,"",$E$80)</f>
        <v>Плата за подключение (технологическое присоединение) к системе теплоснабжения (индивидуальная)</v>
      </c>
      <c r="AI80" s="1551" t="str">
        <f>IF($G$80=0,"",$G$80)</f>
        <v/>
      </c>
      <c r="AJ80" s="1551" t="str">
        <f>IF($J$80=0,"",$J$80)</f>
        <v/>
      </c>
      <c r="AK80" s="1551" t="str">
        <f>IF($K$80="нет","без дифференциации",IF($N$80=0,"",$N$80))</f>
        <v/>
      </c>
      <c r="AL80" s="1551" t="str">
        <f>IF($O$80="нет","без дифференциации",IF($R$80=0,"",$R$80))</f>
        <v/>
      </c>
      <c r="AM80" s="1551" t="str">
        <f>IF($S$80="нет","без дифференциации",IF($V$80=0,"",$V$80))</f>
        <v/>
      </c>
      <c r="AN80" s="2056">
        <f>$I$80</f>
        <v>0</v>
      </c>
      <c r="AO80" s="1551" t="str">
        <f>$I$80&amp;"."&amp;$M$80</f>
        <v>.</v>
      </c>
      <c r="AP80" s="1550" t="str">
        <f>$I$80&amp;"."&amp;$M$80&amp;"."&amp;$Q$80</f>
        <v>..</v>
      </c>
      <c r="AQ80" s="1550" t="str">
        <f>$I$80&amp;"."&amp;$M$80&amp;"."&amp;$Q$80&amp;"."&amp;$U$80</f>
        <v>...</v>
      </c>
      <c r="AR80" s="1751">
        <v>0</v>
      </c>
    </row>
    <row s="30764" customFormat="1" customHeight="1" ht="17.25">
      <c r="A81" s="605"/>
      <c r="C81" s="604"/>
      <c r="D81" s="2419"/>
      <c r="E81" s="2427"/>
      <c r="F81" s="2430"/>
      <c r="G81" s="2427"/>
      <c r="H81" s="2433"/>
      <c r="I81" s="2435"/>
      <c r="J81" s="2437"/>
      <c r="K81" s="2422"/>
      <c r="L81" s="2422"/>
      <c r="M81" s="2422"/>
      <c r="N81" s="2424"/>
      <c r="O81" s="2422"/>
      <c r="P81" s="2422"/>
      <c r="Q81" s="2422"/>
      <c r="R81" s="2425"/>
      <c r="S81" s="2422"/>
      <c r="T81" s="2218"/>
      <c r="U81" s="2218"/>
      <c r="V81" s="2218"/>
      <c r="W81" s="2219"/>
      <c r="X81" s="1550"/>
      <c r="Y81" s="1550"/>
      <c r="Z81" s="1550"/>
      <c r="AA81" s="1550"/>
      <c r="AB81" s="1550"/>
      <c r="AC81" s="1550"/>
      <c r="AD81" s="1550"/>
      <c r="AE81" s="1550"/>
      <c r="AF81" s="1550"/>
      <c r="AG81" s="1550"/>
      <c r="AH81" s="1550"/>
      <c r="AI81" s="1550"/>
      <c r="AJ81" s="1550"/>
      <c r="AK81" s="1550"/>
      <c r="AL81" s="1550"/>
      <c r="AM81" s="1550"/>
      <c r="AN81" s="1550"/>
      <c r="AO81" s="1550"/>
      <c r="AP81" s="1550"/>
      <c r="AQ81" s="1550"/>
      <c r="AR81" s="1751">
        <v>0</v>
      </c>
    </row>
    <row s="30764" customFormat="1" customHeight="1" ht="17.25">
      <c r="A82" s="605"/>
      <c r="C82" s="604"/>
      <c r="D82" s="2420"/>
      <c r="E82" s="2428"/>
      <c r="F82" s="2430"/>
      <c r="G82" s="2428"/>
      <c r="H82" s="2433"/>
      <c r="I82" s="2435"/>
      <c r="J82" s="2438"/>
      <c r="K82" s="2422"/>
      <c r="L82" s="2422"/>
      <c r="M82" s="2422"/>
      <c r="N82" s="2425"/>
      <c r="O82" s="2422"/>
      <c r="P82" s="2216"/>
      <c r="Q82" s="2218"/>
      <c r="R82" s="2218"/>
      <c r="S82" s="613"/>
      <c r="T82" s="613"/>
      <c r="U82" s="613"/>
      <c r="V82" s="613"/>
      <c r="W82" s="2219"/>
      <c r="X82" s="1550"/>
      <c r="Y82" s="1550"/>
      <c r="Z82" s="1550"/>
      <c r="AA82" s="1550"/>
      <c r="AB82" s="1550"/>
      <c r="AC82" s="1550"/>
      <c r="AD82" s="1550"/>
      <c r="AE82" s="1550"/>
      <c r="AF82" s="1550"/>
      <c r="AG82" s="1550"/>
      <c r="AH82" s="1550"/>
      <c r="AI82" s="1550"/>
      <c r="AJ82" s="1550"/>
      <c r="AK82" s="1550"/>
      <c r="AL82" s="1550"/>
      <c r="AM82" s="1550"/>
      <c r="AN82" s="1550"/>
      <c r="AO82" s="1550"/>
      <c r="AP82" s="1550"/>
      <c r="AQ82" s="1550"/>
      <c r="AR82" s="1751">
        <v>0</v>
      </c>
    </row>
    <row s="30764" customFormat="1" customHeight="1" ht="17.25">
      <c r="A83" s="605"/>
      <c r="C83" s="493"/>
      <c r="D83" s="2420"/>
      <c r="E83" s="2428"/>
      <c r="F83" s="2430"/>
      <c r="G83" s="2428"/>
      <c r="H83" s="2433"/>
      <c r="I83" s="2435"/>
      <c r="J83" s="2438"/>
      <c r="K83" s="2422"/>
      <c r="L83" s="2218"/>
      <c r="M83" s="2218"/>
      <c r="N83" s="2218"/>
      <c r="O83" s="2218"/>
      <c r="P83" s="2218"/>
      <c r="Q83" s="2218"/>
      <c r="R83" s="2218"/>
      <c r="S83" s="613"/>
      <c r="T83" s="613"/>
      <c r="U83" s="613"/>
      <c r="V83" s="613"/>
      <c r="W83" s="2219"/>
      <c r="Y83" s="1551"/>
      <c r="Z83" s="1551"/>
      <c r="AA83" s="1551"/>
      <c r="AB83" s="1551"/>
      <c r="AC83" s="1551"/>
      <c r="AD83" s="1551"/>
      <c r="AE83" s="1551"/>
      <c r="AF83" s="1551"/>
      <c r="AG83" s="1551"/>
      <c r="AH83" s="1551"/>
      <c r="AI83" s="1551"/>
      <c r="AJ83" s="1551"/>
      <c r="AK83" s="1551"/>
      <c r="AL83" s="1551"/>
      <c r="AM83" s="1551"/>
      <c r="AN83" s="1551"/>
      <c r="AO83" s="1551"/>
      <c r="AP83" s="1551"/>
      <c r="AQ83" s="1551"/>
      <c r="AR83" s="1751">
        <v>0</v>
      </c>
    </row>
    <row s="30764" customFormat="1" customHeight="1" ht="17.25">
      <c r="A84" s="605"/>
      <c r="C84" s="604"/>
      <c r="D84" s="2420"/>
      <c r="E84" s="2428"/>
      <c r="F84" s="2431"/>
      <c r="G84" s="2428"/>
      <c r="H84" s="1583"/>
      <c r="I84" s="2220"/>
      <c r="J84" s="2220"/>
      <c r="K84" s="2220"/>
      <c r="L84" s="2220"/>
      <c r="M84" s="2220"/>
      <c r="N84" s="2220"/>
      <c r="O84" s="2220"/>
      <c r="P84" s="2220"/>
      <c r="Q84" s="2220"/>
      <c r="R84" s="2220"/>
      <c r="S84" s="1585"/>
      <c r="T84" s="1585"/>
      <c r="U84" s="1585"/>
      <c r="V84" s="1585"/>
      <c r="W84" s="2221"/>
      <c r="X84" s="1550"/>
      <c r="Y84" s="1550"/>
      <c r="Z84" s="1550"/>
      <c r="AA84" s="1550"/>
      <c r="AB84" s="1550"/>
      <c r="AC84" s="1550"/>
      <c r="AD84" s="1550"/>
      <c r="AE84" s="1550"/>
      <c r="AF84" s="1550"/>
      <c r="AG84" s="1550"/>
      <c r="AH84" s="1550"/>
      <c r="AI84" s="1550"/>
      <c r="AJ84" s="1550"/>
      <c r="AK84" s="1550"/>
      <c r="AL84" s="1550"/>
      <c r="AM84" s="1550"/>
      <c r="AN84" s="1550"/>
      <c r="AO84" s="1550"/>
      <c r="AP84" s="1550"/>
      <c r="AQ84" s="1550"/>
      <c r="AR84" s="1751">
        <v>0</v>
      </c>
    </row>
    <row s="30764" customFormat="1" customHeight="1" ht="17.25" hidden="1">
      <c r="A85" s="605"/>
      <c r="C85" s="493"/>
      <c r="D85" s="2419">
        <v>10</v>
      </c>
      <c r="E85" s="2427" t="s">
        <v>270</v>
      </c>
      <c r="F85" s="2429" t="s">
        <v>19</v>
      </c>
      <c r="G85" s="2427"/>
      <c r="H85" s="2432"/>
      <c r="I85" s="2434"/>
      <c r="J85" s="2436"/>
      <c r="K85" s="2421"/>
      <c r="L85" s="2421"/>
      <c r="M85" s="2421"/>
      <c r="N85" s="2423"/>
      <c r="O85" s="2421"/>
      <c r="P85" s="2421"/>
      <c r="Q85" s="2421"/>
      <c r="R85" s="2426"/>
      <c r="S85" s="2421"/>
      <c r="T85" s="2215"/>
      <c r="U85" s="2215"/>
      <c r="V85" s="2217"/>
      <c r="W85" s="1580"/>
      <c r="X85" s="1551"/>
      <c r="Y85" s="1551"/>
      <c r="Z85" s="1551"/>
      <c r="AA85" s="1551"/>
      <c r="AB85" s="1551"/>
      <c r="AC85" s="1551" t="s">
        <v>271</v>
      </c>
      <c r="AD85" s="1551" t="s">
        <v>272</v>
      </c>
      <c r="AE85" s="1551" t="s">
        <v>273</v>
      </c>
      <c r="AF85" s="1551" t="s">
        <v>274</v>
      </c>
      <c r="AG85" s="1551" t="s">
        <v>275</v>
      </c>
      <c r="AH85" s="1551" t="str">
        <f>IF($E$85=0,"",$E$85)</f>
        <v>Предельный уровень цены на тепловую энергию (мощность), поставляемую теплоснабжающими организациями потребителям</v>
      </c>
      <c r="AI85" s="1551" t="str">
        <f>IF($G$85=0,"",$G$85)</f>
        <v/>
      </c>
      <c r="AJ85" s="1551" t="str">
        <f>IF($J$85=0,"",$J$85)</f>
        <v/>
      </c>
      <c r="AK85" s="1551" t="str">
        <f>IF($K$85="нет","без дифференциации",IF($N$85=0,"",$N$85))</f>
        <v/>
      </c>
      <c r="AL85" s="1551" t="str">
        <f>IF($O$85="нет","без дифференциации",IF($R$85=0,"",$R$85))</f>
        <v/>
      </c>
      <c r="AM85" s="1551" t="str">
        <f>IF($S$85="нет","без дифференциации",IF($V$85=0,"",$V$85))</f>
        <v/>
      </c>
      <c r="AN85" s="2056">
        <f>$I$85</f>
        <v>0</v>
      </c>
      <c r="AO85" s="1551" t="str">
        <f>$I$85&amp;"."&amp;$M$85</f>
        <v>.</v>
      </c>
      <c r="AP85" s="1550" t="str">
        <f>$I$85&amp;"."&amp;$M$85&amp;"."&amp;$Q$85</f>
        <v>..</v>
      </c>
      <c r="AQ85" s="1550" t="str">
        <f>$I$85&amp;"."&amp;$M$85&amp;"."&amp;$Q$85&amp;"."&amp;$U$85</f>
        <v>...</v>
      </c>
      <c r="AR85" s="1751">
        <v>0</v>
      </c>
    </row>
    <row s="30764" customFormat="1" customHeight="1" ht="17.25" hidden="1">
      <c r="A86" s="605"/>
      <c r="C86" s="604"/>
      <c r="D86" s="2419"/>
      <c r="E86" s="2427"/>
      <c r="F86" s="2430"/>
      <c r="G86" s="2427"/>
      <c r="H86" s="2433"/>
      <c r="I86" s="2435"/>
      <c r="J86" s="2437"/>
      <c r="K86" s="2422"/>
      <c r="L86" s="2422"/>
      <c r="M86" s="2422"/>
      <c r="N86" s="2424"/>
      <c r="O86" s="2422"/>
      <c r="P86" s="2422"/>
      <c r="Q86" s="2422"/>
      <c r="R86" s="2425"/>
      <c r="S86" s="2422"/>
      <c r="T86" s="2218"/>
      <c r="U86" s="2218"/>
      <c r="V86" s="2218"/>
      <c r="W86" s="2219"/>
      <c r="X86" s="1550"/>
      <c r="Y86" s="1550"/>
      <c r="Z86" s="1550"/>
      <c r="AA86" s="1550"/>
      <c r="AB86" s="1550"/>
      <c r="AC86" s="1550"/>
      <c r="AD86" s="1550"/>
      <c r="AE86" s="1550"/>
      <c r="AF86" s="1550"/>
      <c r="AG86" s="1550"/>
      <c r="AH86" s="1550"/>
      <c r="AI86" s="1550"/>
      <c r="AJ86" s="1550"/>
      <c r="AK86" s="1550"/>
      <c r="AL86" s="1550"/>
      <c r="AM86" s="1550"/>
      <c r="AN86" s="1550"/>
      <c r="AO86" s="1550"/>
      <c r="AP86" s="1550"/>
      <c r="AQ86" s="1550"/>
      <c r="AR86" s="1751">
        <v>0</v>
      </c>
    </row>
    <row s="30764" customFormat="1" customHeight="1" ht="17.25" hidden="1">
      <c r="A87" s="605"/>
      <c r="C87" s="604"/>
      <c r="D87" s="2420"/>
      <c r="E87" s="2428"/>
      <c r="F87" s="2430"/>
      <c r="G87" s="2428"/>
      <c r="H87" s="2433"/>
      <c r="I87" s="2435"/>
      <c r="J87" s="2438"/>
      <c r="K87" s="2422"/>
      <c r="L87" s="2422"/>
      <c r="M87" s="2422"/>
      <c r="N87" s="2425"/>
      <c r="O87" s="2422"/>
      <c r="P87" s="2216"/>
      <c r="Q87" s="2218"/>
      <c r="R87" s="2218"/>
      <c r="S87" s="613"/>
      <c r="T87" s="613"/>
      <c r="U87" s="613"/>
      <c r="V87" s="613"/>
      <c r="W87" s="2219"/>
      <c r="X87" s="1550"/>
      <c r="Y87" s="1550"/>
      <c r="Z87" s="1550"/>
      <c r="AA87" s="1550"/>
      <c r="AB87" s="1550"/>
      <c r="AC87" s="1550"/>
      <c r="AD87" s="1550"/>
      <c r="AE87" s="1550"/>
      <c r="AF87" s="1550"/>
      <c r="AG87" s="1550"/>
      <c r="AH87" s="1550"/>
      <c r="AI87" s="1550"/>
      <c r="AJ87" s="1550"/>
      <c r="AK87" s="1550"/>
      <c r="AL87" s="1550"/>
      <c r="AM87" s="1550"/>
      <c r="AN87" s="1550"/>
      <c r="AO87" s="1550"/>
      <c r="AP87" s="1550"/>
      <c r="AQ87" s="1550"/>
      <c r="AR87" s="1751">
        <v>0</v>
      </c>
    </row>
    <row s="30764" customFormat="1" customHeight="1" ht="17.25" hidden="1">
      <c r="A88" s="605"/>
      <c r="C88" s="493"/>
      <c r="D88" s="2420"/>
      <c r="E88" s="2428"/>
      <c r="F88" s="2430"/>
      <c r="G88" s="2428"/>
      <c r="H88" s="2433"/>
      <c r="I88" s="2435"/>
      <c r="J88" s="2438"/>
      <c r="K88" s="2422"/>
      <c r="L88" s="2218"/>
      <c r="M88" s="2218"/>
      <c r="N88" s="2218"/>
      <c r="O88" s="2218"/>
      <c r="P88" s="2218"/>
      <c r="Q88" s="2218"/>
      <c r="R88" s="2218"/>
      <c r="S88" s="613"/>
      <c r="T88" s="613"/>
      <c r="U88" s="613"/>
      <c r="V88" s="613"/>
      <c r="W88" s="2219"/>
      <c r="Y88" s="1551"/>
      <c r="Z88" s="1551"/>
      <c r="AA88" s="1551"/>
      <c r="AB88" s="1551"/>
      <c r="AC88" s="1551"/>
      <c r="AD88" s="1551"/>
      <c r="AE88" s="1551"/>
      <c r="AF88" s="1551"/>
      <c r="AG88" s="1551"/>
      <c r="AH88" s="1551"/>
      <c r="AI88" s="1551"/>
      <c r="AJ88" s="1551"/>
      <c r="AK88" s="1551"/>
      <c r="AL88" s="1551"/>
      <c r="AM88" s="1551"/>
      <c r="AN88" s="1551"/>
      <c r="AO88" s="1551"/>
      <c r="AP88" s="1551"/>
      <c r="AQ88" s="1551"/>
      <c r="AR88" s="1751">
        <v>0</v>
      </c>
    </row>
    <row s="30764" customFormat="1" customHeight="1" ht="17.25" hidden="1">
      <c r="A89" s="605"/>
      <c r="C89" s="604"/>
      <c r="D89" s="2420"/>
      <c r="E89" s="2428"/>
      <c r="F89" s="2431"/>
      <c r="G89" s="2428"/>
      <c r="H89" s="1583"/>
      <c r="I89" s="2220"/>
      <c r="J89" s="2220"/>
      <c r="K89" s="2220"/>
      <c r="L89" s="2220"/>
      <c r="M89" s="2220"/>
      <c r="N89" s="2220"/>
      <c r="O89" s="2220"/>
      <c r="P89" s="2220"/>
      <c r="Q89" s="2220"/>
      <c r="R89" s="2220"/>
      <c r="S89" s="1585"/>
      <c r="T89" s="1585"/>
      <c r="U89" s="1585"/>
      <c r="V89" s="1585"/>
      <c r="W89" s="2221"/>
      <c r="X89" s="1550"/>
      <c r="Y89" s="1550"/>
      <c r="Z89" s="1550"/>
      <c r="AA89" s="1550"/>
      <c r="AB89" s="1550"/>
      <c r="AC89" s="1550"/>
      <c r="AD89" s="1550"/>
      <c r="AE89" s="1550"/>
      <c r="AF89" s="1550"/>
      <c r="AG89" s="1550"/>
      <c r="AH89" s="1550"/>
      <c r="AI89" s="1550"/>
      <c r="AJ89" s="1550"/>
      <c r="AK89" s="1550"/>
      <c r="AL89" s="1550"/>
      <c r="AM89" s="1550"/>
      <c r="AN89" s="1550"/>
      <c r="AO89" s="1550"/>
      <c r="AP89" s="1550"/>
      <c r="AQ89" s="1550"/>
      <c r="AR89" s="1751">
        <v>0</v>
      </c>
    </row>
    <row customHeight="1" ht="11.25">
      <c r="AR90" s="388">
        <v>0</v>
      </c>
    </row>
    <row customHeight="1" ht="11.25">
      <c r="E91" s="2458" t="s">
        <v>276</v>
      </c>
      <c r="F91" s="2458"/>
      <c r="G91" s="2458"/>
      <c r="H91" s="2458"/>
      <c r="I91" s="2458"/>
      <c r="J91" s="2458"/>
      <c r="K91" s="2458"/>
      <c r="L91" s="2458"/>
      <c r="M91" s="2458"/>
      <c r="N91" s="2458"/>
      <c r="O91" s="2458"/>
      <c r="P91" s="2458"/>
      <c r="Q91" s="2458"/>
      <c r="R91" s="2458"/>
      <c r="S91" s="2458"/>
      <c r="T91" s="2458"/>
      <c r="U91" s="2458"/>
      <c r="V91" s="2458"/>
      <c r="W91" s="2458"/>
      <c r="AR91" s="388">
        <v>0</v>
      </c>
    </row>
    <row customHeight="1" ht="36.75">
      <c r="E92" s="2456" t="s">
        <v>277</v>
      </c>
      <c r="F92" s="2456"/>
      <c r="G92" s="2457"/>
      <c r="H92" s="2457"/>
      <c r="I92" s="2457"/>
      <c r="J92" s="2457"/>
      <c r="K92" s="2457"/>
      <c r="L92" s="2457"/>
      <c r="M92" s="2457"/>
      <c r="N92" s="2457"/>
      <c r="O92" s="2457"/>
      <c r="P92" s="2457"/>
      <c r="Q92" s="2457"/>
      <c r="R92" s="2457"/>
      <c r="S92" s="2457"/>
      <c r="T92" s="2457"/>
      <c r="U92" s="2457"/>
      <c r="V92" s="2457"/>
      <c r="W92" s="2457"/>
      <c r="AR92" s="388">
        <v>0</v>
      </c>
    </row>
    <row customHeight="1" ht="28.5">
      <c r="E93" s="2456" t="s">
        <v>278</v>
      </c>
      <c r="F93" s="2456"/>
      <c r="G93" s="2457"/>
      <c r="H93" s="2457"/>
      <c r="I93" s="2457"/>
      <c r="J93" s="2457"/>
      <c r="K93" s="2457"/>
      <c r="L93" s="2457"/>
      <c r="M93" s="2457"/>
      <c r="N93" s="2457"/>
      <c r="O93" s="2457"/>
      <c r="P93" s="2457"/>
      <c r="Q93" s="2457"/>
      <c r="R93" s="2457"/>
      <c r="S93" s="2457"/>
      <c r="T93" s="2457"/>
      <c r="U93" s="2457"/>
      <c r="V93" s="2457"/>
      <c r="W93" s="2457"/>
      <c r="AR93" s="388">
        <v>0</v>
      </c>
    </row>
    <row customHeight="1" ht="27">
      <c r="E94" s="2456" t="s">
        <v>279</v>
      </c>
      <c r="F94" s="2456"/>
      <c r="G94" s="2457"/>
      <c r="H94" s="2457"/>
      <c r="I94" s="2457"/>
      <c r="J94" s="2457"/>
      <c r="K94" s="2457"/>
      <c r="L94" s="2457"/>
      <c r="M94" s="2457"/>
      <c r="N94" s="2457"/>
      <c r="O94" s="2457"/>
      <c r="P94" s="2457"/>
      <c r="Q94" s="2457"/>
      <c r="R94" s="2457"/>
      <c r="S94" s="2457"/>
      <c r="T94" s="2457"/>
      <c r="U94" s="2457"/>
      <c r="V94" s="2457"/>
      <c r="W94" s="2457"/>
      <c r="AR94" s="388">
        <v>0</v>
      </c>
    </row>
    <row customHeight="1" ht="17.25">
      <c r="E95" s="2456" t="s">
        <v>280</v>
      </c>
      <c r="F95" s="2456"/>
      <c r="G95" s="2457"/>
      <c r="H95" s="2457"/>
      <c r="I95" s="2457"/>
      <c r="J95" s="2457"/>
      <c r="K95" s="2457"/>
      <c r="L95" s="2457"/>
      <c r="M95" s="2457"/>
      <c r="N95" s="2457"/>
      <c r="O95" s="2457"/>
      <c r="P95" s="2457"/>
      <c r="Q95" s="2457"/>
      <c r="R95" s="2457"/>
      <c r="S95" s="2457"/>
      <c r="T95" s="2457"/>
      <c r="U95" s="2457"/>
      <c r="V95" s="2457"/>
      <c r="W95" s="2457"/>
      <c r="AR95" s="388">
        <v>0</v>
      </c>
    </row>
    <row customHeight="1" ht="15">
      <c r="E96" s="624"/>
      <c r="F96" s="1569"/>
      <c r="G96" s="441"/>
      <c r="H96" s="441"/>
      <c r="I96" s="441"/>
      <c r="J96" s="441"/>
      <c r="K96" s="441"/>
      <c r="L96" s="441"/>
      <c r="M96" s="441"/>
      <c r="N96" s="441"/>
      <c r="O96" s="441"/>
      <c r="P96" s="441"/>
      <c r="Q96" s="441"/>
      <c r="R96" s="441"/>
      <c r="S96" s="441"/>
      <c r="T96" s="441"/>
      <c r="U96" s="441"/>
      <c r="V96" s="441"/>
      <c r="W96" s="441"/>
      <c r="AR96" s="388">
        <v>0</v>
      </c>
    </row>
    <row customHeight="1" ht="15">
      <c r="E97" s="2458" t="s">
        <v>281</v>
      </c>
      <c r="F97" s="2458"/>
      <c r="G97" s="2458"/>
      <c r="H97" s="2458"/>
      <c r="I97" s="2458"/>
      <c r="J97" s="2458"/>
      <c r="K97" s="2458"/>
      <c r="L97" s="2458"/>
      <c r="M97" s="2458"/>
      <c r="N97" s="2458"/>
      <c r="O97" s="2458"/>
      <c r="P97" s="2458"/>
      <c r="Q97" s="2458"/>
      <c r="R97" s="2458"/>
      <c r="S97" s="2458"/>
      <c r="T97" s="2458"/>
      <c r="U97" s="2458"/>
      <c r="V97" s="2458"/>
      <c r="W97" s="2458"/>
      <c r="AR97" s="388">
        <v>0</v>
      </c>
    </row>
    <row customHeight="1" ht="17.25">
      <c r="E98" s="2456" t="s">
        <v>282</v>
      </c>
      <c r="F98" s="2456"/>
      <c r="G98" s="2457"/>
      <c r="H98" s="2457"/>
      <c r="I98" s="2457"/>
      <c r="J98" s="2457"/>
      <c r="K98" s="2457"/>
      <c r="L98" s="2457"/>
      <c r="M98" s="2457"/>
      <c r="N98" s="2457"/>
      <c r="O98" s="2457"/>
      <c r="P98" s="2457"/>
      <c r="Q98" s="2457"/>
      <c r="R98" s="2457"/>
      <c r="S98" s="2457"/>
      <c r="T98" s="2457"/>
      <c r="U98" s="2457"/>
      <c r="V98" s="2457"/>
      <c r="W98" s="2457"/>
      <c r="AR98" s="388">
        <v>0</v>
      </c>
    </row>
    <row customHeight="1" ht="17.25">
      <c r="E99" s="2456" t="s">
        <v>283</v>
      </c>
      <c r="F99" s="2456"/>
      <c r="G99" s="2457"/>
      <c r="H99" s="2457"/>
      <c r="I99" s="2457"/>
      <c r="J99" s="2457"/>
      <c r="K99" s="2457"/>
      <c r="L99" s="2457"/>
      <c r="M99" s="2457"/>
      <c r="N99" s="2457"/>
      <c r="O99" s="2457"/>
      <c r="P99" s="2457"/>
      <c r="Q99" s="2457"/>
      <c r="R99" s="2457"/>
      <c r="S99" s="2457"/>
      <c r="T99" s="2457"/>
      <c r="U99" s="2457"/>
      <c r="V99" s="2457"/>
      <c r="W99" s="2457"/>
      <c r="AR99" s="388">
        <v>0</v>
      </c>
    </row>
    <row s="30764" customFormat="1" customHeight="1" ht="11.25" hidden="1">
      <c r="A100" s="561"/>
      <c r="B100" s="561"/>
      <c r="Y100" s="1543"/>
      <c r="Z100" s="1543"/>
      <c r="AA100" s="1543"/>
      <c r="AB100" s="1543"/>
      <c r="AC100" s="1543"/>
      <c r="AD100" s="1543"/>
      <c r="AE100" s="1543"/>
      <c r="AF100" s="1543"/>
      <c r="AG100" s="1543"/>
      <c r="AH100" s="1543"/>
      <c r="AI100" s="1543"/>
      <c r="AJ100" s="1543"/>
      <c r="AK100" s="1543"/>
      <c r="AL100" s="1543"/>
      <c r="AM100" s="1543"/>
      <c r="AN100" s="1543"/>
      <c r="AO100" s="1543"/>
      <c r="AP100" s="1543"/>
      <c r="AQ100" s="1543"/>
      <c r="AR100" s="1634">
        <v>0</v>
      </c>
    </row>
    <row s="30764" customFormat="1" customHeight="1" ht="17.25" hidden="1">
      <c r="A101" s="605"/>
      <c r="C101" s="493"/>
      <c r="D101" s="2419">
        <v>1</v>
      </c>
      <c r="E101" s="2427" t="s">
        <v>284</v>
      </c>
      <c r="F101" s="2429" t="s">
        <v>19</v>
      </c>
      <c r="G101" s="2427"/>
      <c r="H101" s="2432"/>
      <c r="I101" s="2434"/>
      <c r="J101" s="2436"/>
      <c r="K101" s="2421"/>
      <c r="L101" s="2421"/>
      <c r="M101" s="2421"/>
      <c r="N101" s="2423"/>
      <c r="O101" s="2421"/>
      <c r="P101" s="2421"/>
      <c r="Q101" s="2421"/>
      <c r="R101" s="2426"/>
      <c r="S101" s="2421"/>
      <c r="T101" s="1754"/>
      <c r="U101" s="1754"/>
      <c r="V101" s="1756"/>
      <c r="W101" s="1580"/>
      <c r="Y101" s="1551"/>
      <c r="Z101" s="1551"/>
      <c r="AA101" s="1551"/>
      <c r="AB101" s="1551"/>
      <c r="AC101" s="1551" t="s">
        <v>285</v>
      </c>
      <c r="AD101" s="1551" t="s">
        <v>286</v>
      </c>
      <c r="AE101" s="1551" t="s">
        <v>287</v>
      </c>
      <c r="AF101" s="1551" t="s">
        <v>288</v>
      </c>
      <c r="AG101" s="1551"/>
      <c r="AH101" s="1551" t="str">
        <f>IF($E$101=0,"",$E$101)</f>
        <v>Тариф на питьевую воду (питьевое водоснабжение)</v>
      </c>
      <c r="AI101" s="1551" t="str">
        <f>IF($G$101=0,"",$G$101)</f>
        <v/>
      </c>
      <c r="AJ101" s="1551" t="str">
        <f>IF($J$101=0,"",$J$101)</f>
        <v/>
      </c>
      <c r="AK101" s="1551" t="str">
        <f>IF($K$101="нет","без дифференциации",IF($N$101=0,"",$N$101))</f>
        <v/>
      </c>
      <c r="AL101" s="1551" t="str">
        <f>IF($O$101="нет","без дифференциации",IF($R$101=0,"",$R$101))</f>
        <v/>
      </c>
      <c r="AM101" s="1551" t="str">
        <f>IF($S$101="нет","без дифференциации",IF($V$101=0,"",$V$101))</f>
        <v/>
      </c>
      <c r="AN101" s="1551">
        <f>$I$101</f>
        <v>0</v>
      </c>
      <c r="AO101" s="1551" t="str">
        <f>$I$101&amp;"."&amp;$M$101</f>
        <v>.</v>
      </c>
      <c r="AP101" s="1551" t="str">
        <f>$I$101&amp;"."&amp;$M$101&amp;"."&amp;$Q$101</f>
        <v>..</v>
      </c>
      <c r="AQ101" s="1551" t="str">
        <f>$I$101&amp;"."&amp;$M$101&amp;"."&amp;$Q$101&amp;"."&amp;$U$101</f>
        <v>...</v>
      </c>
      <c r="AR101" s="1634">
        <v>0</v>
      </c>
    </row>
    <row s="30764" customFormat="1" customHeight="1" ht="17.25" hidden="1">
      <c r="A102" s="605"/>
      <c r="C102" s="604"/>
      <c r="D102" s="2419"/>
      <c r="E102" s="2427"/>
      <c r="F102" s="2430"/>
      <c r="G102" s="2427"/>
      <c r="H102" s="2433"/>
      <c r="I102" s="2435"/>
      <c r="J102" s="2437"/>
      <c r="K102" s="2422"/>
      <c r="L102" s="2422"/>
      <c r="M102" s="2422"/>
      <c r="N102" s="2424"/>
      <c r="O102" s="2422"/>
      <c r="P102" s="2422"/>
      <c r="Q102" s="2422"/>
      <c r="R102" s="2425"/>
      <c r="S102" s="2422"/>
      <c r="T102" s="1581"/>
      <c r="U102" s="1581"/>
      <c r="V102" s="1581"/>
      <c r="W102" s="1582"/>
      <c r="Y102" s="1543"/>
      <c r="Z102" s="1543"/>
      <c r="AA102" s="1543"/>
      <c r="AB102" s="1543"/>
      <c r="AC102" s="1543"/>
      <c r="AD102" s="1543"/>
      <c r="AE102" s="1543"/>
      <c r="AF102" s="1543"/>
      <c r="AG102" s="1543"/>
      <c r="AH102" s="1543"/>
      <c r="AI102" s="1543"/>
      <c r="AJ102" s="1543"/>
      <c r="AK102" s="1543"/>
      <c r="AL102" s="1543"/>
      <c r="AM102" s="1543"/>
      <c r="AN102" s="1543"/>
      <c r="AO102" s="1543"/>
      <c r="AP102" s="1543"/>
      <c r="AQ102" s="1543"/>
      <c r="AR102" s="1634">
        <v>0</v>
      </c>
    </row>
    <row s="30764" customFormat="1" customHeight="1" ht="17.25" hidden="1">
      <c r="A103" s="605"/>
      <c r="C103" s="493"/>
      <c r="D103" s="2419"/>
      <c r="E103" s="2427"/>
      <c r="F103" s="2430"/>
      <c r="G103" s="2427"/>
      <c r="H103" s="2433"/>
      <c r="I103" s="2435"/>
      <c r="J103" s="2438"/>
      <c r="K103" s="2422"/>
      <c r="L103" s="2422"/>
      <c r="M103" s="2422"/>
      <c r="N103" s="2425"/>
      <c r="O103" s="2422"/>
      <c r="P103" s="1755"/>
      <c r="Q103" s="1581"/>
      <c r="R103" s="1581"/>
      <c r="S103" s="613"/>
      <c r="T103" s="613"/>
      <c r="U103" s="613"/>
      <c r="V103" s="613"/>
      <c r="W103" s="1582"/>
      <c r="Y103" s="1551"/>
      <c r="Z103" s="1551"/>
      <c r="AA103" s="1551"/>
      <c r="AB103" s="1551"/>
      <c r="AC103" s="1551"/>
      <c r="AD103" s="1551"/>
      <c r="AE103" s="1551"/>
      <c r="AF103" s="1551"/>
      <c r="AG103" s="1551"/>
      <c r="AH103" s="1551"/>
      <c r="AI103" s="1551"/>
      <c r="AJ103" s="1551"/>
      <c r="AK103" s="1551"/>
      <c r="AL103" s="1551"/>
      <c r="AM103" s="1551"/>
      <c r="AN103" s="1551"/>
      <c r="AO103" s="1551"/>
      <c r="AP103" s="1551"/>
      <c r="AQ103" s="1551"/>
      <c r="AR103" s="1725">
        <v>0</v>
      </c>
    </row>
    <row s="30764" customFormat="1" customHeight="1" ht="17.25" hidden="1">
      <c r="A104" s="605"/>
      <c r="C104" s="604"/>
      <c r="D104" s="2419"/>
      <c r="E104" s="2427"/>
      <c r="F104" s="2430"/>
      <c r="G104" s="2427"/>
      <c r="H104" s="2433"/>
      <c r="I104" s="2435"/>
      <c r="J104" s="2438"/>
      <c r="K104" s="2422"/>
      <c r="L104" s="1581"/>
      <c r="M104" s="1581"/>
      <c r="N104" s="1581"/>
      <c r="O104" s="1581"/>
      <c r="P104" s="1581"/>
      <c r="Q104" s="1581"/>
      <c r="R104" s="1581"/>
      <c r="S104" s="613"/>
      <c r="T104" s="613"/>
      <c r="U104" s="613"/>
      <c r="V104" s="613"/>
      <c r="W104" s="1582"/>
      <c r="Y104" s="1543"/>
      <c r="Z104" s="1543"/>
      <c r="AA104" s="1543"/>
      <c r="AB104" s="1543"/>
      <c r="AC104" s="1543"/>
      <c r="AD104" s="1543"/>
      <c r="AE104" s="1543"/>
      <c r="AF104" s="1543"/>
      <c r="AG104" s="1543"/>
      <c r="AH104" s="1543"/>
      <c r="AI104" s="1543"/>
      <c r="AJ104" s="1543"/>
      <c r="AK104" s="1543"/>
      <c r="AL104" s="1543"/>
      <c r="AM104" s="1543"/>
      <c r="AN104" s="1543"/>
      <c r="AO104" s="1543"/>
      <c r="AP104" s="1543"/>
      <c r="AQ104" s="1543"/>
      <c r="AR104" s="1725">
        <v>0</v>
      </c>
    </row>
    <row s="30764" customFormat="1" customHeight="1" ht="17.25" hidden="1">
      <c r="A105" s="605"/>
      <c r="C105" s="604"/>
      <c r="D105" s="2420"/>
      <c r="E105" s="2428"/>
      <c r="F105" s="2431"/>
      <c r="G105" s="2428"/>
      <c r="H105" s="1583"/>
      <c r="I105" s="1584"/>
      <c r="J105" s="1584"/>
      <c r="K105" s="1584"/>
      <c r="L105" s="1584"/>
      <c r="M105" s="1584"/>
      <c r="N105" s="1584"/>
      <c r="O105" s="1584"/>
      <c r="P105" s="1584"/>
      <c r="Q105" s="1584"/>
      <c r="R105" s="1584"/>
      <c r="S105" s="1585"/>
      <c r="T105" s="1585"/>
      <c r="U105" s="1585"/>
      <c r="V105" s="1585"/>
      <c r="W105" s="1586"/>
      <c r="Y105" s="1543"/>
      <c r="Z105" s="1543"/>
      <c r="AA105" s="1543"/>
      <c r="AB105" s="1543"/>
      <c r="AC105" s="1543"/>
      <c r="AD105" s="1543"/>
      <c r="AE105" s="1543"/>
      <c r="AF105" s="1543"/>
      <c r="AG105" s="1543"/>
      <c r="AH105" s="1543"/>
      <c r="AI105" s="1543"/>
      <c r="AJ105" s="1543"/>
      <c r="AK105" s="1543"/>
      <c r="AL105" s="1543"/>
      <c r="AM105" s="1543"/>
      <c r="AN105" s="1543"/>
      <c r="AO105" s="1543"/>
      <c r="AP105" s="1543"/>
      <c r="AQ105" s="1543"/>
      <c r="AR105" s="1634">
        <v>0</v>
      </c>
    </row>
    <row s="30764" customFormat="1" customHeight="1" ht="17.25" hidden="1">
      <c r="A106" s="605"/>
      <c r="C106" s="493"/>
      <c r="D106" s="2419">
        <v>2</v>
      </c>
      <c r="E106" s="2427" t="s">
        <v>289</v>
      </c>
      <c r="F106" s="2429" t="s">
        <v>19</v>
      </c>
      <c r="G106" s="2427"/>
      <c r="H106" s="2432"/>
      <c r="I106" s="2434"/>
      <c r="J106" s="2436"/>
      <c r="K106" s="2421"/>
      <c r="L106" s="2421"/>
      <c r="M106" s="2421"/>
      <c r="N106" s="2423"/>
      <c r="O106" s="2421"/>
      <c r="P106" s="2421"/>
      <c r="Q106" s="2421"/>
      <c r="R106" s="2426"/>
      <c r="S106" s="2421"/>
      <c r="T106" s="1727"/>
      <c r="U106" s="1727"/>
      <c r="V106" s="1729"/>
      <c r="W106" s="1580"/>
      <c r="X106" s="1551"/>
      <c r="Y106" s="1551"/>
      <c r="Z106" s="1551"/>
      <c r="AA106" s="1551"/>
      <c r="AB106" s="1551"/>
      <c r="AC106" s="1551" t="s">
        <v>290</v>
      </c>
      <c r="AD106" s="1551" t="s">
        <v>291</v>
      </c>
      <c r="AE106" s="1551" t="s">
        <v>292</v>
      </c>
      <c r="AF106" s="1551" t="s">
        <v>293</v>
      </c>
      <c r="AG106" s="1551"/>
      <c r="AH106" s="1551" t="str">
        <f>IF($E$106=0,"",$E$106)</f>
        <v>Тариф на техническую воду</v>
      </c>
      <c r="AI106" s="1551" t="str">
        <f>IF($G$106=0,"",$G$106)</f>
        <v/>
      </c>
      <c r="AJ106" s="1551" t="str">
        <f>IF($J$106=0,"",$J$106)</f>
        <v/>
      </c>
      <c r="AK106" s="1551" t="str">
        <f>IF($K$106="нет","без дифференциации",IF($N$106=0,"",$N$106))</f>
        <v/>
      </c>
      <c r="AL106" s="1551" t="str">
        <f>IF($O$106="нет","без дифференциации",IF($R$106=0,"",$R$106))</f>
        <v/>
      </c>
      <c r="AM106" s="1551" t="str">
        <f>IF($S$106="нет","без дифференциации",IF($V$106=0,"",$V$106))</f>
        <v/>
      </c>
      <c r="AN106" s="2056">
        <f>$I$106</f>
        <v>0</v>
      </c>
      <c r="AO106" s="1551" t="str">
        <f>$I$106&amp;"."&amp;$M$106</f>
        <v>.</v>
      </c>
      <c r="AP106" s="1543" t="str">
        <f>$I$106&amp;"."&amp;$M$106&amp;"."&amp;$Q$106</f>
        <v>..</v>
      </c>
      <c r="AQ106" s="1543" t="str">
        <f>$I$106&amp;"."&amp;$M$106&amp;"."&amp;$Q$106&amp;"."&amp;$U$106</f>
        <v>...</v>
      </c>
      <c r="AR106" s="1634">
        <v>0</v>
      </c>
    </row>
    <row s="30764" customFormat="1" customHeight="1" ht="17.25" hidden="1">
      <c r="A107" s="605"/>
      <c r="C107" s="604"/>
      <c r="D107" s="2419"/>
      <c r="E107" s="2427"/>
      <c r="F107" s="2430"/>
      <c r="G107" s="2427"/>
      <c r="H107" s="2433"/>
      <c r="I107" s="2435"/>
      <c r="J107" s="2437"/>
      <c r="K107" s="2422"/>
      <c r="L107" s="2422"/>
      <c r="M107" s="2422"/>
      <c r="N107" s="2424"/>
      <c r="O107" s="2422"/>
      <c r="P107" s="2422"/>
      <c r="Q107" s="2422"/>
      <c r="R107" s="2425"/>
      <c r="S107" s="2422"/>
      <c r="T107" s="1581"/>
      <c r="U107" s="1581"/>
      <c r="V107" s="1581"/>
      <c r="W107" s="1582"/>
      <c r="X107" s="1543"/>
      <c r="Y107" s="1543"/>
      <c r="Z107" s="1543"/>
      <c r="AA107" s="1543"/>
      <c r="AB107" s="1543"/>
      <c r="AC107" s="1543"/>
      <c r="AD107" s="1543"/>
      <c r="AE107" s="1543"/>
      <c r="AF107" s="1543"/>
      <c r="AG107" s="1543"/>
      <c r="AH107" s="1543"/>
      <c r="AI107" s="1543"/>
      <c r="AJ107" s="1543"/>
      <c r="AK107" s="1543"/>
      <c r="AL107" s="1543"/>
      <c r="AM107" s="1543"/>
      <c r="AN107" s="1543"/>
      <c r="AO107" s="1543"/>
      <c r="AP107" s="1543"/>
      <c r="AQ107" s="1543"/>
      <c r="AR107" s="1634">
        <v>0</v>
      </c>
    </row>
    <row s="30764" customFormat="1" customHeight="1" ht="17.25" hidden="1">
      <c r="A108" s="605"/>
      <c r="C108" s="604"/>
      <c r="D108" s="2420"/>
      <c r="E108" s="2428"/>
      <c r="F108" s="2430"/>
      <c r="G108" s="2428"/>
      <c r="H108" s="2433"/>
      <c r="I108" s="2435"/>
      <c r="J108" s="2438"/>
      <c r="K108" s="2422"/>
      <c r="L108" s="2422"/>
      <c r="M108" s="2422"/>
      <c r="N108" s="2425"/>
      <c r="O108" s="2422"/>
      <c r="P108" s="1728"/>
      <c r="Q108" s="1581"/>
      <c r="R108" s="1581"/>
      <c r="S108" s="613"/>
      <c r="T108" s="613"/>
      <c r="U108" s="613"/>
      <c r="V108" s="613"/>
      <c r="W108" s="1582"/>
      <c r="X108" s="1543"/>
      <c r="Y108" s="1543"/>
      <c r="Z108" s="1543"/>
      <c r="AA108" s="1543"/>
      <c r="AB108" s="1543"/>
      <c r="AC108" s="1543"/>
      <c r="AD108" s="1543"/>
      <c r="AE108" s="1543"/>
      <c r="AF108" s="1543"/>
      <c r="AG108" s="1543"/>
      <c r="AH108" s="1543"/>
      <c r="AI108" s="1543"/>
      <c r="AJ108" s="1543"/>
      <c r="AK108" s="1543"/>
      <c r="AL108" s="1543"/>
      <c r="AM108" s="1543"/>
      <c r="AN108" s="1543"/>
      <c r="AO108" s="1543"/>
      <c r="AP108" s="1543"/>
      <c r="AQ108" s="1543"/>
      <c r="AR108" s="1634">
        <v>0</v>
      </c>
    </row>
    <row s="30764" customFormat="1" customHeight="1" ht="17.25" hidden="1">
      <c r="A109" s="605"/>
      <c r="C109" s="604"/>
      <c r="D109" s="2420"/>
      <c r="E109" s="2428"/>
      <c r="F109" s="2430"/>
      <c r="G109" s="2428"/>
      <c r="H109" s="2433"/>
      <c r="I109" s="2435"/>
      <c r="J109" s="2438"/>
      <c r="K109" s="2422"/>
      <c r="L109" s="1581"/>
      <c r="M109" s="1581"/>
      <c r="N109" s="1581"/>
      <c r="O109" s="1581"/>
      <c r="P109" s="1581"/>
      <c r="Q109" s="1581"/>
      <c r="R109" s="1581"/>
      <c r="S109" s="613"/>
      <c r="T109" s="613"/>
      <c r="U109" s="613"/>
      <c r="V109" s="613"/>
      <c r="W109" s="1582"/>
      <c r="X109" s="1543"/>
      <c r="Y109" s="1543"/>
      <c r="Z109" s="1543"/>
      <c r="AA109" s="1543"/>
      <c r="AB109" s="1543"/>
      <c r="AC109" s="1543"/>
      <c r="AD109" s="1543"/>
      <c r="AE109" s="1543"/>
      <c r="AF109" s="1543"/>
      <c r="AG109" s="1543"/>
      <c r="AH109" s="1543"/>
      <c r="AI109" s="1543"/>
      <c r="AJ109" s="1543"/>
      <c r="AK109" s="1543"/>
      <c r="AL109" s="1543"/>
      <c r="AM109" s="1543"/>
      <c r="AN109" s="1543"/>
      <c r="AO109" s="1543"/>
      <c r="AP109" s="1543"/>
      <c r="AQ109" s="1543"/>
      <c r="AR109" s="1634">
        <v>0</v>
      </c>
    </row>
    <row s="30764" customFormat="1" customHeight="1" ht="17.25" hidden="1">
      <c r="A110" s="605"/>
      <c r="C110" s="604"/>
      <c r="D110" s="2420"/>
      <c r="E110" s="2428"/>
      <c r="F110" s="2431"/>
      <c r="G110" s="2428"/>
      <c r="H110" s="1583"/>
      <c r="I110" s="1584"/>
      <c r="J110" s="1584"/>
      <c r="K110" s="1584"/>
      <c r="L110" s="1584"/>
      <c r="M110" s="1584"/>
      <c r="N110" s="1584"/>
      <c r="O110" s="1584"/>
      <c r="P110" s="1584"/>
      <c r="Q110" s="1584"/>
      <c r="R110" s="1584"/>
      <c r="S110" s="1585"/>
      <c r="T110" s="1585"/>
      <c r="U110" s="1585"/>
      <c r="V110" s="1585"/>
      <c r="W110" s="1586"/>
      <c r="X110" s="1543"/>
      <c r="Y110" s="1543"/>
      <c r="Z110" s="1543"/>
      <c r="AA110" s="1543"/>
      <c r="AB110" s="1543"/>
      <c r="AC110" s="1543"/>
      <c r="AD110" s="1543"/>
      <c r="AE110" s="1543"/>
      <c r="AF110" s="1543"/>
      <c r="AG110" s="1543"/>
      <c r="AH110" s="1543"/>
      <c r="AI110" s="1543"/>
      <c r="AJ110" s="1543"/>
      <c r="AK110" s="1543"/>
      <c r="AL110" s="1543"/>
      <c r="AM110" s="1543"/>
      <c r="AN110" s="1543"/>
      <c r="AO110" s="1543"/>
      <c r="AP110" s="1543"/>
      <c r="AQ110" s="1543"/>
      <c r="AR110" s="1634">
        <v>0</v>
      </c>
    </row>
    <row s="30764" customFormat="1" customHeight="1" ht="17.25" hidden="1">
      <c r="A111" s="605"/>
      <c r="C111" s="493"/>
      <c r="D111" s="2419">
        <v>3</v>
      </c>
      <c r="E111" s="2427" t="s">
        <v>294</v>
      </c>
      <c r="F111" s="2429" t="s">
        <v>19</v>
      </c>
      <c r="G111" s="2427"/>
      <c r="H111" s="2432"/>
      <c r="I111" s="2434"/>
      <c r="J111" s="2436"/>
      <c r="K111" s="2421"/>
      <c r="L111" s="2421"/>
      <c r="M111" s="2421"/>
      <c r="N111" s="2423"/>
      <c r="O111" s="2421"/>
      <c r="P111" s="2421"/>
      <c r="Q111" s="2421"/>
      <c r="R111" s="2426"/>
      <c r="S111" s="2421"/>
      <c r="T111" s="1727"/>
      <c r="U111" s="1727"/>
      <c r="V111" s="1729"/>
      <c r="W111" s="1580"/>
      <c r="X111" s="1551"/>
      <c r="Y111" s="1551"/>
      <c r="Z111" s="1551"/>
      <c r="AA111" s="1551"/>
      <c r="AB111" s="1551"/>
      <c r="AC111" s="1551" t="s">
        <v>295</v>
      </c>
      <c r="AD111" s="1551" t="s">
        <v>296</v>
      </c>
      <c r="AE111" s="1551" t="s">
        <v>297</v>
      </c>
      <c r="AF111" s="1551" t="s">
        <v>298</v>
      </c>
      <c r="AG111" s="1551"/>
      <c r="AH111" s="1551" t="str">
        <f>IF($E$111=0,"",$E$111)</f>
        <v>Тариф на транспортировку воды</v>
      </c>
      <c r="AI111" s="1551" t="str">
        <f>IF($G$111=0,"",$G$111)</f>
        <v/>
      </c>
      <c r="AJ111" s="1551" t="str">
        <f>IF($J$111=0,"",$J$111)</f>
        <v/>
      </c>
      <c r="AK111" s="1551" t="str">
        <f>IF($K$111="нет","без дифференциации",IF($N$111=0,"",$N$111))</f>
        <v/>
      </c>
      <c r="AL111" s="1551" t="str">
        <f>IF($O$111="нет","без дифференциации",IF($R$111=0,"",$R$111))</f>
        <v/>
      </c>
      <c r="AM111" s="1551" t="str">
        <f>IF($S$111="нет","без дифференциации",IF($V$111=0,"",$V$111))</f>
        <v/>
      </c>
      <c r="AN111" s="2056">
        <f>$I$111</f>
        <v>0</v>
      </c>
      <c r="AO111" s="1551" t="str">
        <f>$I$111&amp;"."&amp;$M$111</f>
        <v>.</v>
      </c>
      <c r="AP111" s="1543" t="str">
        <f>$I$111&amp;"."&amp;$M$111&amp;"."&amp;$Q$111</f>
        <v>..</v>
      </c>
      <c r="AQ111" s="1543" t="str">
        <f>$I$111&amp;"."&amp;$M$111&amp;"."&amp;$Q$111&amp;"."&amp;$U$111</f>
        <v>...</v>
      </c>
      <c r="AR111" s="1634">
        <v>0</v>
      </c>
    </row>
    <row s="30764" customFormat="1" customHeight="1" ht="17.25" hidden="1">
      <c r="A112" s="605"/>
      <c r="C112" s="604"/>
      <c r="D112" s="2419"/>
      <c r="E112" s="2427"/>
      <c r="F112" s="2430"/>
      <c r="G112" s="2427"/>
      <c r="H112" s="2433"/>
      <c r="I112" s="2435"/>
      <c r="J112" s="2437"/>
      <c r="K112" s="2422"/>
      <c r="L112" s="2422"/>
      <c r="M112" s="2422"/>
      <c r="N112" s="2424"/>
      <c r="O112" s="2422"/>
      <c r="P112" s="2422"/>
      <c r="Q112" s="2422"/>
      <c r="R112" s="2425"/>
      <c r="S112" s="2422"/>
      <c r="T112" s="1581"/>
      <c r="U112" s="1581"/>
      <c r="V112" s="1581"/>
      <c r="W112" s="1582"/>
      <c r="X112" s="1543"/>
      <c r="Y112" s="1543"/>
      <c r="Z112" s="1543"/>
      <c r="AA112" s="1543"/>
      <c r="AB112" s="1543"/>
      <c r="AC112" s="1543"/>
      <c r="AD112" s="1543"/>
      <c r="AE112" s="1543"/>
      <c r="AF112" s="1543"/>
      <c r="AG112" s="1543"/>
      <c r="AH112" s="1543"/>
      <c r="AI112" s="1543"/>
      <c r="AJ112" s="1543"/>
      <c r="AK112" s="1543"/>
      <c r="AL112" s="1543"/>
      <c r="AM112" s="1543"/>
      <c r="AN112" s="1543"/>
      <c r="AO112" s="1543"/>
      <c r="AP112" s="1543"/>
      <c r="AQ112" s="1543"/>
      <c r="AR112" s="1634">
        <v>0</v>
      </c>
    </row>
    <row s="30764" customFormat="1" customHeight="1" ht="17.25" hidden="1">
      <c r="A113" s="605"/>
      <c r="C113" s="604"/>
      <c r="D113" s="2420"/>
      <c r="E113" s="2428"/>
      <c r="F113" s="2430"/>
      <c r="G113" s="2428"/>
      <c r="H113" s="2433"/>
      <c r="I113" s="2435"/>
      <c r="J113" s="2438"/>
      <c r="K113" s="2422"/>
      <c r="L113" s="2422"/>
      <c r="M113" s="2422"/>
      <c r="N113" s="2425"/>
      <c r="O113" s="2422"/>
      <c r="P113" s="1728"/>
      <c r="Q113" s="1581"/>
      <c r="R113" s="1581"/>
      <c r="S113" s="613"/>
      <c r="T113" s="613"/>
      <c r="U113" s="613"/>
      <c r="V113" s="613"/>
      <c r="W113" s="1582"/>
      <c r="X113" s="1543"/>
      <c r="Y113" s="1543"/>
      <c r="Z113" s="1543"/>
      <c r="AA113" s="1543"/>
      <c r="AB113" s="1543"/>
      <c r="AC113" s="1543"/>
      <c r="AD113" s="1543"/>
      <c r="AE113" s="1543"/>
      <c r="AF113" s="1543"/>
      <c r="AG113" s="1543"/>
      <c r="AH113" s="1543"/>
      <c r="AI113" s="1543"/>
      <c r="AJ113" s="1543"/>
      <c r="AK113" s="1543"/>
      <c r="AL113" s="1543"/>
      <c r="AM113" s="1543"/>
      <c r="AN113" s="1543"/>
      <c r="AO113" s="1543"/>
      <c r="AP113" s="1543"/>
      <c r="AQ113" s="1543"/>
      <c r="AR113" s="1634">
        <v>0</v>
      </c>
    </row>
    <row s="30764" customFormat="1" customHeight="1" ht="17.25" hidden="1">
      <c r="A114" s="605"/>
      <c r="C114" s="604"/>
      <c r="D114" s="2420"/>
      <c r="E114" s="2428"/>
      <c r="F114" s="2430"/>
      <c r="G114" s="2428"/>
      <c r="H114" s="2433"/>
      <c r="I114" s="2435"/>
      <c r="J114" s="2438"/>
      <c r="K114" s="2422"/>
      <c r="L114" s="1581"/>
      <c r="M114" s="1581"/>
      <c r="N114" s="1581"/>
      <c r="O114" s="1581"/>
      <c r="P114" s="1581"/>
      <c r="Q114" s="1581"/>
      <c r="R114" s="1581"/>
      <c r="S114" s="613"/>
      <c r="T114" s="613"/>
      <c r="U114" s="613"/>
      <c r="V114" s="613"/>
      <c r="W114" s="1582"/>
      <c r="X114" s="1543"/>
      <c r="Y114" s="1543"/>
      <c r="Z114" s="1543"/>
      <c r="AA114" s="1543"/>
      <c r="AB114" s="1543"/>
      <c r="AC114" s="1543"/>
      <c r="AD114" s="1543"/>
      <c r="AE114" s="1543"/>
      <c r="AF114" s="1543"/>
      <c r="AG114" s="1543"/>
      <c r="AH114" s="1543"/>
      <c r="AI114" s="1543"/>
      <c r="AJ114" s="1543"/>
      <c r="AK114" s="1543"/>
      <c r="AL114" s="1543"/>
      <c r="AM114" s="1543"/>
      <c r="AN114" s="1543"/>
      <c r="AO114" s="1543"/>
      <c r="AP114" s="1543"/>
      <c r="AQ114" s="1543"/>
      <c r="AR114" s="1634">
        <v>0</v>
      </c>
    </row>
    <row s="30764" customFormat="1" customHeight="1" ht="17.25" hidden="1">
      <c r="A115" s="605"/>
      <c r="C115" s="604"/>
      <c r="D115" s="2420"/>
      <c r="E115" s="2428"/>
      <c r="F115" s="2431"/>
      <c r="G115" s="2428"/>
      <c r="H115" s="1583"/>
      <c r="I115" s="1584"/>
      <c r="J115" s="1584"/>
      <c r="K115" s="1584"/>
      <c r="L115" s="1584"/>
      <c r="M115" s="1584"/>
      <c r="N115" s="1584"/>
      <c r="O115" s="1584"/>
      <c r="P115" s="1584"/>
      <c r="Q115" s="1584"/>
      <c r="R115" s="1584"/>
      <c r="S115" s="1585"/>
      <c r="T115" s="1585"/>
      <c r="U115" s="1585"/>
      <c r="V115" s="1585"/>
      <c r="W115" s="1586"/>
      <c r="X115" s="1543"/>
      <c r="Y115" s="1543"/>
      <c r="Z115" s="1543"/>
      <c r="AA115" s="1543"/>
      <c r="AB115" s="1543"/>
      <c r="AC115" s="1543"/>
      <c r="AD115" s="1543"/>
      <c r="AE115" s="1543"/>
      <c r="AF115" s="1543"/>
      <c r="AG115" s="1543"/>
      <c r="AH115" s="1543"/>
      <c r="AI115" s="1543"/>
      <c r="AJ115" s="1543"/>
      <c r="AK115" s="1543"/>
      <c r="AL115" s="1543"/>
      <c r="AM115" s="1543"/>
      <c r="AN115" s="1543"/>
      <c r="AO115" s="1543"/>
      <c r="AP115" s="1543"/>
      <c r="AQ115" s="1543"/>
      <c r="AR115" s="1634">
        <v>0</v>
      </c>
    </row>
    <row s="30764" customFormat="1" customHeight="1" ht="17.25" hidden="1">
      <c r="A116" s="605"/>
      <c r="C116" s="493"/>
      <c r="D116" s="2419">
        <v>4</v>
      </c>
      <c r="E116" s="2427" t="s">
        <v>299</v>
      </c>
      <c r="F116" s="2429" t="s">
        <v>19</v>
      </c>
      <c r="G116" s="2427"/>
      <c r="H116" s="2432"/>
      <c r="I116" s="2434"/>
      <c r="J116" s="2436"/>
      <c r="K116" s="2421"/>
      <c r="L116" s="2421"/>
      <c r="M116" s="2421"/>
      <c r="N116" s="2423"/>
      <c r="O116" s="2421"/>
      <c r="P116" s="2421"/>
      <c r="Q116" s="2421"/>
      <c r="R116" s="2426"/>
      <c r="S116" s="2421"/>
      <c r="T116" s="1727"/>
      <c r="U116" s="1727"/>
      <c r="V116" s="1729"/>
      <c r="W116" s="1580"/>
      <c r="X116" s="1551"/>
      <c r="Y116" s="1551"/>
      <c r="Z116" s="1551"/>
      <c r="AA116" s="1551"/>
      <c r="AB116" s="1551"/>
      <c r="AC116" s="1551" t="s">
        <v>300</v>
      </c>
      <c r="AD116" s="1551" t="s">
        <v>301</v>
      </c>
      <c r="AE116" s="1551" t="s">
        <v>302</v>
      </c>
      <c r="AF116" s="1551" t="s">
        <v>303</v>
      </c>
      <c r="AG116" s="1551"/>
      <c r="AH116" s="1551" t="str">
        <f>IF($E$116=0,"",$E$116)</f>
        <v>Тариф на подвоз воды</v>
      </c>
      <c r="AI116" s="1551" t="str">
        <f>IF($G$116=0,"",$G$116)</f>
        <v/>
      </c>
      <c r="AJ116" s="1551" t="str">
        <f>IF($J$116=0,"",$J$116)</f>
        <v/>
      </c>
      <c r="AK116" s="1551" t="str">
        <f>IF($K$116="нет","без дифференциации",IF($N$116=0,"",$N$116))</f>
        <v/>
      </c>
      <c r="AL116" s="1551" t="str">
        <f>IF($O$116="нет","без дифференциации",IF($R$116=0,"",$R$116))</f>
        <v/>
      </c>
      <c r="AM116" s="1551" t="str">
        <f>IF($S$116="нет","без дифференциации",IF($V$116=0,"",$V$116))</f>
        <v/>
      </c>
      <c r="AN116" s="2056">
        <f>$I$116</f>
        <v>0</v>
      </c>
      <c r="AO116" s="1551" t="str">
        <f>$I$116&amp;"."&amp;$M$116</f>
        <v>.</v>
      </c>
      <c r="AP116" s="1543" t="str">
        <f>$I$116&amp;"."&amp;$M$116&amp;"."&amp;$Q$116</f>
        <v>..</v>
      </c>
      <c r="AQ116" s="1543" t="str">
        <f>$I$116&amp;"."&amp;$M$116&amp;"."&amp;$Q$116&amp;"."&amp;$U$116</f>
        <v>...</v>
      </c>
      <c r="AR116" s="1634">
        <v>0</v>
      </c>
    </row>
    <row s="30764" customFormat="1" customHeight="1" ht="17.25" hidden="1">
      <c r="A117" s="605"/>
      <c r="C117" s="604"/>
      <c r="D117" s="2419"/>
      <c r="E117" s="2427"/>
      <c r="F117" s="2430"/>
      <c r="G117" s="2427"/>
      <c r="H117" s="2433"/>
      <c r="I117" s="2435"/>
      <c r="J117" s="2437"/>
      <c r="K117" s="2422"/>
      <c r="L117" s="2422"/>
      <c r="M117" s="2422"/>
      <c r="N117" s="2424"/>
      <c r="O117" s="2422"/>
      <c r="P117" s="2422"/>
      <c r="Q117" s="2422"/>
      <c r="R117" s="2425"/>
      <c r="S117" s="2422"/>
      <c r="T117" s="1581"/>
      <c r="U117" s="1581"/>
      <c r="V117" s="1581"/>
      <c r="W117" s="1582"/>
      <c r="X117" s="1543"/>
      <c r="Y117" s="1543"/>
      <c r="Z117" s="1543"/>
      <c r="AA117" s="1543"/>
      <c r="AB117" s="1543"/>
      <c r="AC117" s="1543"/>
      <c r="AD117" s="1543"/>
      <c r="AE117" s="1543"/>
      <c r="AF117" s="1543"/>
      <c r="AG117" s="1543"/>
      <c r="AH117" s="1543"/>
      <c r="AI117" s="1543"/>
      <c r="AJ117" s="1543"/>
      <c r="AK117" s="1543"/>
      <c r="AL117" s="1543"/>
      <c r="AM117" s="1543"/>
      <c r="AN117" s="1543"/>
      <c r="AO117" s="1543"/>
      <c r="AP117" s="1543"/>
      <c r="AQ117" s="1543"/>
      <c r="AR117" s="1634">
        <v>0</v>
      </c>
    </row>
    <row s="30764" customFormat="1" customHeight="1" ht="17.25" hidden="1">
      <c r="A118" s="605"/>
      <c r="C118" s="604"/>
      <c r="D118" s="2420"/>
      <c r="E118" s="2428"/>
      <c r="F118" s="2430"/>
      <c r="G118" s="2428"/>
      <c r="H118" s="2433"/>
      <c r="I118" s="2435"/>
      <c r="J118" s="2438"/>
      <c r="K118" s="2422"/>
      <c r="L118" s="2422"/>
      <c r="M118" s="2422"/>
      <c r="N118" s="2425"/>
      <c r="O118" s="2422"/>
      <c r="P118" s="1728"/>
      <c r="Q118" s="1581"/>
      <c r="R118" s="1581"/>
      <c r="S118" s="613"/>
      <c r="T118" s="613"/>
      <c r="U118" s="613"/>
      <c r="V118" s="613"/>
      <c r="W118" s="1582"/>
      <c r="X118" s="1543"/>
      <c r="Y118" s="1543"/>
      <c r="Z118" s="1543"/>
      <c r="AA118" s="1543"/>
      <c r="AB118" s="1543"/>
      <c r="AC118" s="1543"/>
      <c r="AD118" s="1543"/>
      <c r="AE118" s="1543"/>
      <c r="AF118" s="1543"/>
      <c r="AG118" s="1543"/>
      <c r="AH118" s="1543"/>
      <c r="AI118" s="1543"/>
      <c r="AJ118" s="1543"/>
      <c r="AK118" s="1543"/>
      <c r="AL118" s="1543"/>
      <c r="AM118" s="1543"/>
      <c r="AN118" s="1543"/>
      <c r="AO118" s="1543"/>
      <c r="AP118" s="1543"/>
      <c r="AQ118" s="1543"/>
      <c r="AR118" s="1634">
        <v>0</v>
      </c>
    </row>
    <row s="30764" customFormat="1" customHeight="1" ht="17.25" hidden="1">
      <c r="A119" s="605"/>
      <c r="C119" s="604"/>
      <c r="D119" s="2420"/>
      <c r="E119" s="2428"/>
      <c r="F119" s="2430"/>
      <c r="G119" s="2428"/>
      <c r="H119" s="2433"/>
      <c r="I119" s="2435"/>
      <c r="J119" s="2438"/>
      <c r="K119" s="2422"/>
      <c r="L119" s="1581"/>
      <c r="M119" s="1581"/>
      <c r="N119" s="1581"/>
      <c r="O119" s="1581"/>
      <c r="P119" s="1581"/>
      <c r="Q119" s="1581"/>
      <c r="R119" s="1581"/>
      <c r="S119" s="613"/>
      <c r="T119" s="613"/>
      <c r="U119" s="613"/>
      <c r="V119" s="613"/>
      <c r="W119" s="1582"/>
      <c r="X119" s="1543"/>
      <c r="Y119" s="1543"/>
      <c r="Z119" s="1543"/>
      <c r="AA119" s="1543"/>
      <c r="AB119" s="1543"/>
      <c r="AC119" s="1543"/>
      <c r="AD119" s="1543"/>
      <c r="AE119" s="1543"/>
      <c r="AF119" s="1543"/>
      <c r="AG119" s="1543"/>
      <c r="AH119" s="1543"/>
      <c r="AI119" s="1543"/>
      <c r="AJ119" s="1543"/>
      <c r="AK119" s="1543"/>
      <c r="AL119" s="1543"/>
      <c r="AM119" s="1543"/>
      <c r="AN119" s="1543"/>
      <c r="AO119" s="1543"/>
      <c r="AP119" s="1543"/>
      <c r="AQ119" s="1543"/>
      <c r="AR119" s="1634">
        <v>0</v>
      </c>
    </row>
    <row s="30764" customFormat="1" customHeight="1" ht="17.25" hidden="1">
      <c r="A120" s="605"/>
      <c r="C120" s="604"/>
      <c r="D120" s="2420"/>
      <c r="E120" s="2428"/>
      <c r="F120" s="2431"/>
      <c r="G120" s="2428"/>
      <c r="H120" s="1583"/>
      <c r="I120" s="1584"/>
      <c r="J120" s="1584"/>
      <c r="K120" s="1584"/>
      <c r="L120" s="1584"/>
      <c r="M120" s="1584"/>
      <c r="N120" s="1584"/>
      <c r="O120" s="1584"/>
      <c r="P120" s="1584"/>
      <c r="Q120" s="1584"/>
      <c r="R120" s="1584"/>
      <c r="S120" s="1585"/>
      <c r="T120" s="1585"/>
      <c r="U120" s="1585"/>
      <c r="V120" s="1585"/>
      <c r="W120" s="1586"/>
      <c r="X120" s="1543"/>
      <c r="Y120" s="1543"/>
      <c r="Z120" s="1543"/>
      <c r="AA120" s="1543"/>
      <c r="AB120" s="1543"/>
      <c r="AC120" s="1543"/>
      <c r="AD120" s="1543"/>
      <c r="AE120" s="1543"/>
      <c r="AF120" s="1543"/>
      <c r="AG120" s="1543"/>
      <c r="AH120" s="1543"/>
      <c r="AI120" s="1543"/>
      <c r="AJ120" s="1543"/>
      <c r="AK120" s="1543"/>
      <c r="AL120" s="1543"/>
      <c r="AM120" s="1543"/>
      <c r="AN120" s="1543"/>
      <c r="AO120" s="1543"/>
      <c r="AP120" s="1543"/>
      <c r="AQ120" s="1543"/>
      <c r="AR120" s="1634">
        <v>0</v>
      </c>
    </row>
    <row s="30764" customFormat="1" customHeight="1" ht="17.25" hidden="1">
      <c r="A121" s="605"/>
      <c r="C121" s="493"/>
      <c r="D121" s="2419">
        <v>5</v>
      </c>
      <c r="E121" s="2427" t="s">
        <v>304</v>
      </c>
      <c r="F121" s="2429" t="s">
        <v>19</v>
      </c>
      <c r="G121" s="2427"/>
      <c r="H121" s="2432"/>
      <c r="I121" s="2434"/>
      <c r="J121" s="2436"/>
      <c r="K121" s="2421"/>
      <c r="L121" s="2421"/>
      <c r="M121" s="2421"/>
      <c r="N121" s="2423"/>
      <c r="O121" s="2421"/>
      <c r="P121" s="2421"/>
      <c r="Q121" s="2421"/>
      <c r="R121" s="2426"/>
      <c r="S121" s="2421"/>
      <c r="T121" s="2227"/>
      <c r="U121" s="2227"/>
      <c r="V121" s="2229"/>
      <c r="W121" s="1580"/>
      <c r="X121" s="1551"/>
      <c r="Y121" s="1551"/>
      <c r="Z121" s="1551"/>
      <c r="AA121" s="1551"/>
      <c r="AB121" s="1551"/>
      <c r="AC121" s="1551" t="s">
        <v>305</v>
      </c>
      <c r="AD121" s="1551" t="s">
        <v>306</v>
      </c>
      <c r="AE121" s="1551" t="s">
        <v>307</v>
      </c>
      <c r="AF121" s="1551" t="s">
        <v>308</v>
      </c>
      <c r="AG121" s="1551"/>
      <c r="AH121" s="1551" t="str">
        <f>IF($E$121=0,"",$E$121)</f>
        <v>Тариф на подключение (технологическое присоединение) к централизованной системе холодного водоснабжения</v>
      </c>
      <c r="AI121" s="1551" t="str">
        <f>IF($G$121=0,"",$G$121)</f>
        <v/>
      </c>
      <c r="AJ121" s="1551" t="str">
        <f>IF($J$121=0,"",$J$121)</f>
        <v/>
      </c>
      <c r="AK121" s="1551" t="str">
        <f>IF($K$121="нет","без дифференциации",IF($N$121=0,"",$N$121))</f>
        <v/>
      </c>
      <c r="AL121" s="1551" t="str">
        <f>IF($O$121="нет","без дифференциации",IF($R$121=0,"",$R$121))</f>
        <v/>
      </c>
      <c r="AM121" s="1551" t="str">
        <f>IF($S$121="нет","без дифференциации",IF($V$121=0,"",$V$121))</f>
        <v/>
      </c>
      <c r="AN121" s="2056">
        <f>$I$121</f>
        <v>0</v>
      </c>
      <c r="AO121" s="1551" t="str">
        <f>$I$121&amp;"."&amp;$M$121</f>
        <v>.</v>
      </c>
      <c r="AP121" s="1550" t="str">
        <f>$I$121&amp;"."&amp;$M$121&amp;"."&amp;$Q$121</f>
        <v>..</v>
      </c>
      <c r="AQ121" s="1550" t="str">
        <f>$I$121&amp;"."&amp;$M$121&amp;"."&amp;$Q$121&amp;"."&amp;$U$121</f>
        <v>...</v>
      </c>
      <c r="AR121" s="1751">
        <v>0</v>
      </c>
    </row>
    <row s="30764" customFormat="1" customHeight="1" ht="17.25" hidden="1">
      <c r="A122" s="605"/>
      <c r="C122" s="604"/>
      <c r="D122" s="2419"/>
      <c r="E122" s="2427"/>
      <c r="F122" s="2430"/>
      <c r="G122" s="2427"/>
      <c r="H122" s="2433"/>
      <c r="I122" s="2435"/>
      <c r="J122" s="2437"/>
      <c r="K122" s="2422"/>
      <c r="L122" s="2422"/>
      <c r="M122" s="2422"/>
      <c r="N122" s="2424"/>
      <c r="O122" s="2422"/>
      <c r="P122" s="2422"/>
      <c r="Q122" s="2422"/>
      <c r="R122" s="2425"/>
      <c r="S122" s="2422"/>
      <c r="T122" s="2232"/>
      <c r="U122" s="2232"/>
      <c r="V122" s="2232"/>
      <c r="W122" s="2233"/>
      <c r="X122" s="1550"/>
      <c r="Y122" s="1550"/>
      <c r="Z122" s="1550"/>
      <c r="AA122" s="1550"/>
      <c r="AB122" s="1550"/>
      <c r="AC122" s="1550"/>
      <c r="AD122" s="1550"/>
      <c r="AE122" s="1550"/>
      <c r="AF122" s="1550"/>
      <c r="AG122" s="1550"/>
      <c r="AH122" s="1550"/>
      <c r="AI122" s="1550"/>
      <c r="AJ122" s="1550"/>
      <c r="AK122" s="1550"/>
      <c r="AL122" s="1550"/>
      <c r="AM122" s="1550"/>
      <c r="AN122" s="1550"/>
      <c r="AO122" s="1550"/>
      <c r="AP122" s="1550"/>
      <c r="AQ122" s="1550"/>
      <c r="AR122" s="1751">
        <v>0</v>
      </c>
    </row>
    <row s="30764" customFormat="1" customHeight="1" ht="17.25" hidden="1">
      <c r="A123" s="605"/>
      <c r="C123" s="604"/>
      <c r="D123" s="2420"/>
      <c r="E123" s="2428"/>
      <c r="F123" s="2430"/>
      <c r="G123" s="2428"/>
      <c r="H123" s="2433"/>
      <c r="I123" s="2435"/>
      <c r="J123" s="2438"/>
      <c r="K123" s="2422"/>
      <c r="L123" s="2422"/>
      <c r="M123" s="2422"/>
      <c r="N123" s="2425"/>
      <c r="O123" s="2422"/>
      <c r="P123" s="2228"/>
      <c r="Q123" s="2232"/>
      <c r="R123" s="2232"/>
      <c r="S123" s="613"/>
      <c r="T123" s="613"/>
      <c r="U123" s="613"/>
      <c r="V123" s="613"/>
      <c r="W123" s="2233"/>
      <c r="X123" s="1550"/>
      <c r="Y123" s="1550"/>
      <c r="Z123" s="1550"/>
      <c r="AA123" s="1550"/>
      <c r="AB123" s="1550"/>
      <c r="AC123" s="1550"/>
      <c r="AD123" s="1550"/>
      <c r="AE123" s="1550"/>
      <c r="AF123" s="1550"/>
      <c r="AG123" s="1550"/>
      <c r="AH123" s="1550"/>
      <c r="AI123" s="1550"/>
      <c r="AJ123" s="1550"/>
      <c r="AK123" s="1550"/>
      <c r="AL123" s="1550"/>
      <c r="AM123" s="1550"/>
      <c r="AN123" s="1550"/>
      <c r="AO123" s="1550"/>
      <c r="AP123" s="1550"/>
      <c r="AQ123" s="1550"/>
      <c r="AR123" s="1751">
        <v>0</v>
      </c>
    </row>
    <row s="30764" customFormat="1" customHeight="1" ht="17.25" hidden="1">
      <c r="A124" s="605"/>
      <c r="C124" s="604"/>
      <c r="D124" s="2420"/>
      <c r="E124" s="2428"/>
      <c r="F124" s="2430"/>
      <c r="G124" s="2428"/>
      <c r="H124" s="2433"/>
      <c r="I124" s="2435"/>
      <c r="J124" s="2438"/>
      <c r="K124" s="2422"/>
      <c r="L124" s="2232"/>
      <c r="M124" s="2232"/>
      <c r="N124" s="2232"/>
      <c r="O124" s="2232"/>
      <c r="P124" s="2232"/>
      <c r="Q124" s="2232"/>
      <c r="R124" s="2232"/>
      <c r="S124" s="613"/>
      <c r="T124" s="613"/>
      <c r="U124" s="613"/>
      <c r="V124" s="613"/>
      <c r="W124" s="2233"/>
      <c r="X124" s="1550"/>
      <c r="Y124" s="1550"/>
      <c r="Z124" s="1550"/>
      <c r="AA124" s="1550"/>
      <c r="AB124" s="1550"/>
      <c r="AC124" s="1550"/>
      <c r="AD124" s="1550"/>
      <c r="AE124" s="1550"/>
      <c r="AF124" s="1550"/>
      <c r="AG124" s="1550"/>
      <c r="AH124" s="1550"/>
      <c r="AI124" s="1550"/>
      <c r="AJ124" s="1550"/>
      <c r="AK124" s="1550"/>
      <c r="AL124" s="1550"/>
      <c r="AM124" s="1550"/>
      <c r="AN124" s="1550"/>
      <c r="AO124" s="1550"/>
      <c r="AP124" s="1550"/>
      <c r="AQ124" s="1550"/>
      <c r="AR124" s="1751">
        <v>0</v>
      </c>
    </row>
    <row s="30764" customFormat="1" customHeight="1" ht="17.25" hidden="1">
      <c r="A125" s="605"/>
      <c r="C125" s="604"/>
      <c r="D125" s="2420"/>
      <c r="E125" s="2428"/>
      <c r="F125" s="2431"/>
      <c r="G125" s="2428"/>
      <c r="H125" s="1583"/>
      <c r="I125" s="2230"/>
      <c r="J125" s="2230"/>
      <c r="K125" s="2230"/>
      <c r="L125" s="2230"/>
      <c r="M125" s="2230"/>
      <c r="N125" s="2230"/>
      <c r="O125" s="2230"/>
      <c r="P125" s="2230"/>
      <c r="Q125" s="2230"/>
      <c r="R125" s="2230"/>
      <c r="S125" s="1585"/>
      <c r="T125" s="1585"/>
      <c r="U125" s="1585"/>
      <c r="V125" s="1585"/>
      <c r="W125" s="2231"/>
      <c r="X125" s="1550"/>
      <c r="Y125" s="1550"/>
      <c r="Z125" s="1550"/>
      <c r="AA125" s="1550"/>
      <c r="AB125" s="1550"/>
      <c r="AC125" s="1550"/>
      <c r="AD125" s="1550"/>
      <c r="AE125" s="1550"/>
      <c r="AF125" s="1550"/>
      <c r="AG125" s="1550"/>
      <c r="AH125" s="1550"/>
      <c r="AI125" s="1550"/>
      <c r="AJ125" s="1550"/>
      <c r="AK125" s="1550"/>
      <c r="AL125" s="1550"/>
      <c r="AM125" s="1550"/>
      <c r="AN125" s="1550"/>
      <c r="AO125" s="1550"/>
      <c r="AP125" s="1550"/>
      <c r="AQ125" s="1550"/>
      <c r="AR125" s="1751">
        <v>0</v>
      </c>
    </row>
    <row s="30764" customFormat="1" customHeight="1" ht="11.25" hidden="1">
      <c r="A126" s="561"/>
      <c r="B126" s="561"/>
      <c r="Y126" s="1543"/>
      <c r="Z126" s="1543"/>
      <c r="AA126" s="1543"/>
      <c r="AB126" s="1543"/>
      <c r="AC126" s="1543"/>
      <c r="AD126" s="1543"/>
      <c r="AE126" s="1543"/>
      <c r="AF126" s="1543"/>
      <c r="AG126" s="1543"/>
      <c r="AH126" s="1543"/>
      <c r="AI126" s="1543"/>
      <c r="AJ126" s="1543"/>
      <c r="AK126" s="1543"/>
      <c r="AL126" s="1543"/>
      <c r="AM126" s="1543"/>
      <c r="AN126" s="1543"/>
      <c r="AO126" s="1543"/>
      <c r="AP126" s="1543"/>
      <c r="AQ126" s="1543"/>
      <c r="AR126" s="1751">
        <v>0</v>
      </c>
    </row>
    <row s="30764" customFormat="1" customHeight="1" ht="17.25" hidden="1">
      <c r="A127" s="605"/>
      <c r="C127" s="493"/>
      <c r="D127" s="2419">
        <v>1</v>
      </c>
      <c r="E127" s="2427" t="s">
        <v>309</v>
      </c>
      <c r="F127" s="2429" t="s">
        <v>19</v>
      </c>
      <c r="G127" s="2427"/>
      <c r="H127" s="2432"/>
      <c r="I127" s="2434"/>
      <c r="J127" s="2436"/>
      <c r="K127" s="2421"/>
      <c r="L127" s="2421"/>
      <c r="M127" s="2421"/>
      <c r="N127" s="2423"/>
      <c r="O127" s="2421"/>
      <c r="P127" s="2421"/>
      <c r="Q127" s="2421"/>
      <c r="R127" s="2426"/>
      <c r="S127" s="2421"/>
      <c r="T127" s="1754"/>
      <c r="U127" s="1754"/>
      <c r="V127" s="1756"/>
      <c r="W127" s="1580"/>
      <c r="Y127" s="1551"/>
      <c r="Z127" s="1551"/>
      <c r="AA127" s="1551"/>
      <c r="AB127" s="1551"/>
      <c r="AC127" s="1551" t="s">
        <v>310</v>
      </c>
      <c r="AD127" s="1551" t="s">
        <v>311</v>
      </c>
      <c r="AE127" s="1551" t="s">
        <v>312</v>
      </c>
      <c r="AF127" s="1551" t="s">
        <v>313</v>
      </c>
      <c r="AG127" s="1551"/>
      <c r="AH127" s="1551" t="str">
        <f>IF($E$127=0,"",$E$127)</f>
        <v>Тариф на горячую воду (горячее водоснабжение)</v>
      </c>
      <c r="AI127" s="1551" t="str">
        <f>IF($G$127=0,"",$G$127)</f>
        <v/>
      </c>
      <c r="AJ127" s="1551" t="str">
        <f>IF($J$127=0,"",$J$127)</f>
        <v/>
      </c>
      <c r="AK127" s="1551" t="str">
        <f>IF($K$127="нет","без дифференциации",IF($N$127=0,"",$N$127))</f>
        <v/>
      </c>
      <c r="AL127" s="1551" t="str">
        <f>IF($O$127="нет","без дифференциации",IF($R$127=0,"",$R$127))</f>
        <v/>
      </c>
      <c r="AM127" s="1551" t="str">
        <f>IF($S$127="нет","без дифференциации",IF($V$127=0,"",$V$127))</f>
        <v/>
      </c>
      <c r="AN127" s="1551">
        <f>$I$127</f>
        <v>0</v>
      </c>
      <c r="AO127" s="1551" t="str">
        <f>$I$127&amp;"."&amp;$M$127</f>
        <v>.</v>
      </c>
      <c r="AP127" s="1551" t="str">
        <f>$I$127&amp;"."&amp;$M$127&amp;"."&amp;$Q$127</f>
        <v>..</v>
      </c>
      <c r="AQ127" s="1551" t="str">
        <f>$I$127&amp;"."&amp;$M$127&amp;"."&amp;$Q$127&amp;"."&amp;$U$127</f>
        <v>...</v>
      </c>
      <c r="AR127" s="1751">
        <v>0</v>
      </c>
    </row>
    <row s="30764" customFormat="1" customHeight="1" ht="17.25" hidden="1">
      <c r="A128" s="605"/>
      <c r="C128" s="604"/>
      <c r="D128" s="2419"/>
      <c r="E128" s="2427"/>
      <c r="F128" s="2430"/>
      <c r="G128" s="2427"/>
      <c r="H128" s="2433"/>
      <c r="I128" s="2435"/>
      <c r="J128" s="2437"/>
      <c r="K128" s="2422"/>
      <c r="L128" s="2422"/>
      <c r="M128" s="2422"/>
      <c r="N128" s="2424"/>
      <c r="O128" s="2422"/>
      <c r="P128" s="2422"/>
      <c r="Q128" s="2422"/>
      <c r="R128" s="2425"/>
      <c r="S128" s="2422"/>
      <c r="T128" s="1581"/>
      <c r="U128" s="1581"/>
      <c r="V128" s="1581"/>
      <c r="W128" s="1582"/>
      <c r="Y128" s="1543"/>
      <c r="Z128" s="1543"/>
      <c r="AA128" s="1543"/>
      <c r="AB128" s="1543"/>
      <c r="AC128" s="1543"/>
      <c r="AD128" s="1543"/>
      <c r="AE128" s="1543"/>
      <c r="AF128" s="1543"/>
      <c r="AG128" s="1543"/>
      <c r="AH128" s="1543"/>
      <c r="AI128" s="1543"/>
      <c r="AJ128" s="1543"/>
      <c r="AK128" s="1543"/>
      <c r="AL128" s="1543"/>
      <c r="AM128" s="1543"/>
      <c r="AN128" s="1543"/>
      <c r="AO128" s="1543"/>
      <c r="AP128" s="1543"/>
      <c r="AQ128" s="1543"/>
      <c r="AR128" s="1751">
        <v>0</v>
      </c>
    </row>
    <row s="30764" customFormat="1" customHeight="1" ht="17.25" hidden="1">
      <c r="A129" s="605"/>
      <c r="C129" s="493"/>
      <c r="D129" s="2419"/>
      <c r="E129" s="2427"/>
      <c r="F129" s="2430"/>
      <c r="G129" s="2427"/>
      <c r="H129" s="2433"/>
      <c r="I129" s="2435"/>
      <c r="J129" s="2438"/>
      <c r="K129" s="2422"/>
      <c r="L129" s="2422"/>
      <c r="M129" s="2422"/>
      <c r="N129" s="2425"/>
      <c r="O129" s="2422"/>
      <c r="P129" s="1755"/>
      <c r="Q129" s="1581"/>
      <c r="R129" s="1581"/>
      <c r="S129" s="613"/>
      <c r="T129" s="613"/>
      <c r="U129" s="613"/>
      <c r="V129" s="613"/>
      <c r="W129" s="1582"/>
      <c r="Y129" s="1551"/>
      <c r="Z129" s="1551"/>
      <c r="AA129" s="1551"/>
      <c r="AB129" s="1551"/>
      <c r="AC129" s="1551"/>
      <c r="AD129" s="1551"/>
      <c r="AE129" s="1551"/>
      <c r="AF129" s="1551"/>
      <c r="AG129" s="1551"/>
      <c r="AH129" s="1551"/>
      <c r="AI129" s="1551"/>
      <c r="AJ129" s="1551"/>
      <c r="AK129" s="1551"/>
      <c r="AL129" s="1551"/>
      <c r="AM129" s="1551"/>
      <c r="AN129" s="1551"/>
      <c r="AO129" s="1551"/>
      <c r="AP129" s="1551"/>
      <c r="AQ129" s="1551"/>
      <c r="AR129" s="1751">
        <v>0</v>
      </c>
    </row>
    <row s="30764" customFormat="1" customHeight="1" ht="17.25" hidden="1">
      <c r="A130" s="605"/>
      <c r="C130" s="604"/>
      <c r="D130" s="2419"/>
      <c r="E130" s="2427"/>
      <c r="F130" s="2430"/>
      <c r="G130" s="2427"/>
      <c r="H130" s="2433"/>
      <c r="I130" s="2435"/>
      <c r="J130" s="2438"/>
      <c r="K130" s="2422"/>
      <c r="L130" s="1581"/>
      <c r="M130" s="1581"/>
      <c r="N130" s="1581"/>
      <c r="O130" s="1581"/>
      <c r="P130" s="1581"/>
      <c r="Q130" s="1581"/>
      <c r="R130" s="1581"/>
      <c r="S130" s="613"/>
      <c r="T130" s="613"/>
      <c r="U130" s="613"/>
      <c r="V130" s="613"/>
      <c r="W130" s="1582"/>
      <c r="Y130" s="1543"/>
      <c r="Z130" s="1543"/>
      <c r="AA130" s="1543"/>
      <c r="AB130" s="1543"/>
      <c r="AC130" s="1543"/>
      <c r="AD130" s="1543"/>
      <c r="AE130" s="1543"/>
      <c r="AF130" s="1543"/>
      <c r="AG130" s="1543"/>
      <c r="AH130" s="1543"/>
      <c r="AI130" s="1543"/>
      <c r="AJ130" s="1543"/>
      <c r="AK130" s="1543"/>
      <c r="AL130" s="1543"/>
      <c r="AM130" s="1543"/>
      <c r="AN130" s="1543"/>
      <c r="AO130" s="1543"/>
      <c r="AP130" s="1543"/>
      <c r="AQ130" s="1543"/>
      <c r="AR130" s="1751">
        <v>0</v>
      </c>
    </row>
    <row s="30764" customFormat="1" customHeight="1" ht="17.25" hidden="1">
      <c r="A131" s="605"/>
      <c r="C131" s="604"/>
      <c r="D131" s="2420"/>
      <c r="E131" s="2428"/>
      <c r="F131" s="2431"/>
      <c r="G131" s="2428"/>
      <c r="H131" s="1583"/>
      <c r="I131" s="1584"/>
      <c r="J131" s="1584"/>
      <c r="K131" s="1584"/>
      <c r="L131" s="1584"/>
      <c r="M131" s="1584"/>
      <c r="N131" s="1584"/>
      <c r="O131" s="1584"/>
      <c r="P131" s="1584"/>
      <c r="Q131" s="1584"/>
      <c r="R131" s="1584"/>
      <c r="S131" s="1585"/>
      <c r="T131" s="1585"/>
      <c r="U131" s="1585"/>
      <c r="V131" s="1585"/>
      <c r="W131" s="1586"/>
      <c r="Y131" s="1543"/>
      <c r="Z131" s="1543"/>
      <c r="AA131" s="1543"/>
      <c r="AB131" s="1543"/>
      <c r="AC131" s="1543"/>
      <c r="AD131" s="1543"/>
      <c r="AE131" s="1543"/>
      <c r="AF131" s="1543"/>
      <c r="AG131" s="1543"/>
      <c r="AH131" s="1543"/>
      <c r="AI131" s="1543"/>
      <c r="AJ131" s="1543"/>
      <c r="AK131" s="1543"/>
      <c r="AL131" s="1543"/>
      <c r="AM131" s="1543"/>
      <c r="AN131" s="1543"/>
      <c r="AO131" s="1543"/>
      <c r="AP131" s="1543"/>
      <c r="AQ131" s="1543"/>
      <c r="AR131" s="1751">
        <v>0</v>
      </c>
    </row>
    <row s="30764" customFormat="1" customHeight="1" ht="17.25" hidden="1">
      <c r="A132" s="605"/>
      <c r="C132" s="493"/>
      <c r="D132" s="2419">
        <v>2</v>
      </c>
      <c r="E132" s="2427" t="s">
        <v>314</v>
      </c>
      <c r="F132" s="2429" t="s">
        <v>19</v>
      </c>
      <c r="G132" s="2427"/>
      <c r="H132" s="2432"/>
      <c r="I132" s="2434"/>
      <c r="J132" s="2436"/>
      <c r="K132" s="2421"/>
      <c r="L132" s="2421"/>
      <c r="M132" s="2421"/>
      <c r="N132" s="2423"/>
      <c r="O132" s="2421"/>
      <c r="P132" s="2421"/>
      <c r="Q132" s="2421"/>
      <c r="R132" s="2426"/>
      <c r="S132" s="2421"/>
      <c r="T132" s="1754"/>
      <c r="U132" s="1754"/>
      <c r="V132" s="1756"/>
      <c r="W132" s="1580"/>
      <c r="X132" s="1551"/>
      <c r="Y132" s="1551"/>
      <c r="Z132" s="1551"/>
      <c r="AA132" s="1551"/>
      <c r="AB132" s="1551"/>
      <c r="AC132" s="1551" t="s">
        <v>315</v>
      </c>
      <c r="AD132" s="1551" t="s">
        <v>316</v>
      </c>
      <c r="AE132" s="1551" t="s">
        <v>317</v>
      </c>
      <c r="AF132" s="1551" t="s">
        <v>318</v>
      </c>
      <c r="AG132" s="1551"/>
      <c r="AH132" s="1551" t="str">
        <f>IF($E$132=0,"",$E$132)</f>
        <v>Тариф на транспортировку горячей воды</v>
      </c>
      <c r="AI132" s="1551" t="str">
        <f>IF($G$132=0,"",$G$132)</f>
        <v/>
      </c>
      <c r="AJ132" s="1551" t="str">
        <f>IF($J$132=0,"",$J$132)</f>
        <v/>
      </c>
      <c r="AK132" s="1551" t="str">
        <f>IF($K$132="нет","без дифференциации",IF($N$132=0,"",$N$132))</f>
        <v/>
      </c>
      <c r="AL132" s="1551" t="str">
        <f>IF($O$132="нет","без дифференциации",IF($R$132=0,"",$R$132))</f>
        <v/>
      </c>
      <c r="AM132" s="1551" t="str">
        <f>IF($S$132="нет","без дифференциации",IF($V$132=0,"",$V$132))</f>
        <v/>
      </c>
      <c r="AN132" s="2056">
        <f>$I$132</f>
        <v>0</v>
      </c>
      <c r="AO132" s="1551" t="str">
        <f>$I$132&amp;"."&amp;$M$132</f>
        <v>.</v>
      </c>
      <c r="AP132" s="1543" t="str">
        <f>$I$132&amp;"."&amp;$M$132&amp;"."&amp;$Q$132</f>
        <v>..</v>
      </c>
      <c r="AQ132" s="1543" t="str">
        <f>$I$132&amp;"."&amp;$M$132&amp;"."&amp;$Q$132&amp;"."&amp;$U$132</f>
        <v>...</v>
      </c>
      <c r="AR132" s="1751">
        <v>0</v>
      </c>
    </row>
    <row s="30764" customFormat="1" customHeight="1" ht="17.25" hidden="1">
      <c r="A133" s="605"/>
      <c r="C133" s="604"/>
      <c r="D133" s="2419"/>
      <c r="E133" s="2427"/>
      <c r="F133" s="2430"/>
      <c r="G133" s="2427"/>
      <c r="H133" s="2433"/>
      <c r="I133" s="2435"/>
      <c r="J133" s="2437"/>
      <c r="K133" s="2422"/>
      <c r="L133" s="2422"/>
      <c r="M133" s="2422"/>
      <c r="N133" s="2424"/>
      <c r="O133" s="2422"/>
      <c r="P133" s="2422"/>
      <c r="Q133" s="2422"/>
      <c r="R133" s="2425"/>
      <c r="S133" s="2422"/>
      <c r="T133" s="1581"/>
      <c r="U133" s="1581"/>
      <c r="V133" s="1581"/>
      <c r="W133" s="1582"/>
      <c r="X133" s="1543"/>
      <c r="Y133" s="1543"/>
      <c r="Z133" s="1543"/>
      <c r="AA133" s="1543"/>
      <c r="AB133" s="1543"/>
      <c r="AC133" s="1543"/>
      <c r="AD133" s="1543"/>
      <c r="AE133" s="1543"/>
      <c r="AF133" s="1543"/>
      <c r="AG133" s="1543"/>
      <c r="AH133" s="1543"/>
      <c r="AI133" s="1543"/>
      <c r="AJ133" s="1543"/>
      <c r="AK133" s="1543"/>
      <c r="AL133" s="1543"/>
      <c r="AM133" s="1543"/>
      <c r="AN133" s="1543"/>
      <c r="AO133" s="1543"/>
      <c r="AP133" s="1543"/>
      <c r="AQ133" s="1543"/>
      <c r="AR133" s="1751">
        <v>0</v>
      </c>
    </row>
    <row s="30764" customFormat="1" customHeight="1" ht="17.25" hidden="1">
      <c r="A134" s="605"/>
      <c r="C134" s="604"/>
      <c r="D134" s="2420"/>
      <c r="E134" s="2428"/>
      <c r="F134" s="2430"/>
      <c r="G134" s="2428"/>
      <c r="H134" s="2433"/>
      <c r="I134" s="2435"/>
      <c r="J134" s="2438"/>
      <c r="K134" s="2422"/>
      <c r="L134" s="2422"/>
      <c r="M134" s="2422"/>
      <c r="N134" s="2425"/>
      <c r="O134" s="2422"/>
      <c r="P134" s="1755"/>
      <c r="Q134" s="1581"/>
      <c r="R134" s="1581"/>
      <c r="S134" s="613"/>
      <c r="T134" s="613"/>
      <c r="U134" s="613"/>
      <c r="V134" s="613"/>
      <c r="W134" s="1582"/>
      <c r="X134" s="1543"/>
      <c r="Y134" s="1543"/>
      <c r="Z134" s="1543"/>
      <c r="AA134" s="1543"/>
      <c r="AB134" s="1543"/>
      <c r="AC134" s="1543"/>
      <c r="AD134" s="1543"/>
      <c r="AE134" s="1543"/>
      <c r="AF134" s="1543"/>
      <c r="AG134" s="1543"/>
      <c r="AH134" s="1543"/>
      <c r="AI134" s="1543"/>
      <c r="AJ134" s="1543"/>
      <c r="AK134" s="1543"/>
      <c r="AL134" s="1543"/>
      <c r="AM134" s="1543"/>
      <c r="AN134" s="1543"/>
      <c r="AO134" s="1543"/>
      <c r="AP134" s="1543"/>
      <c r="AQ134" s="1543"/>
      <c r="AR134" s="1751">
        <v>0</v>
      </c>
    </row>
    <row s="30764" customFormat="1" customHeight="1" ht="17.25" hidden="1">
      <c r="A135" s="605"/>
      <c r="C135" s="604"/>
      <c r="D135" s="2420"/>
      <c r="E135" s="2428"/>
      <c r="F135" s="2430"/>
      <c r="G135" s="2428"/>
      <c r="H135" s="2433"/>
      <c r="I135" s="2435"/>
      <c r="J135" s="2438"/>
      <c r="K135" s="2422"/>
      <c r="L135" s="1581"/>
      <c r="M135" s="1581"/>
      <c r="N135" s="1581"/>
      <c r="O135" s="1581"/>
      <c r="P135" s="1581"/>
      <c r="Q135" s="1581"/>
      <c r="R135" s="1581"/>
      <c r="S135" s="613"/>
      <c r="T135" s="613"/>
      <c r="U135" s="613"/>
      <c r="V135" s="613"/>
      <c r="W135" s="1582"/>
      <c r="X135" s="1543"/>
      <c r="Y135" s="1543"/>
      <c r="Z135" s="1543"/>
      <c r="AA135" s="1543"/>
      <c r="AB135" s="1543"/>
      <c r="AC135" s="1543"/>
      <c r="AD135" s="1543"/>
      <c r="AE135" s="1543"/>
      <c r="AF135" s="1543"/>
      <c r="AG135" s="1543"/>
      <c r="AH135" s="1543"/>
      <c r="AI135" s="1543"/>
      <c r="AJ135" s="1543"/>
      <c r="AK135" s="1543"/>
      <c r="AL135" s="1543"/>
      <c r="AM135" s="1543"/>
      <c r="AN135" s="1543"/>
      <c r="AO135" s="1543"/>
      <c r="AP135" s="1543"/>
      <c r="AQ135" s="1543"/>
      <c r="AR135" s="1751">
        <v>0</v>
      </c>
    </row>
    <row s="30764" customFormat="1" customHeight="1" ht="17.25" hidden="1">
      <c r="A136" s="605"/>
      <c r="C136" s="604"/>
      <c r="D136" s="2420"/>
      <c r="E136" s="2428"/>
      <c r="F136" s="2431"/>
      <c r="G136" s="2428"/>
      <c r="H136" s="1583"/>
      <c r="I136" s="1584"/>
      <c r="J136" s="1584"/>
      <c r="K136" s="1584"/>
      <c r="L136" s="1584"/>
      <c r="M136" s="1584"/>
      <c r="N136" s="1584"/>
      <c r="O136" s="1584"/>
      <c r="P136" s="1584"/>
      <c r="Q136" s="1584"/>
      <c r="R136" s="1584"/>
      <c r="S136" s="1585"/>
      <c r="T136" s="1585"/>
      <c r="U136" s="1585"/>
      <c r="V136" s="1585"/>
      <c r="W136" s="1586"/>
      <c r="X136" s="1543"/>
      <c r="Y136" s="1543"/>
      <c r="Z136" s="1543"/>
      <c r="AA136" s="1543"/>
      <c r="AB136" s="1543"/>
      <c r="AC136" s="1543"/>
      <c r="AD136" s="1543"/>
      <c r="AE136" s="1543"/>
      <c r="AF136" s="1543"/>
      <c r="AG136" s="1543"/>
      <c r="AH136" s="1543"/>
      <c r="AI136" s="1543"/>
      <c r="AJ136" s="1543"/>
      <c r="AK136" s="1543"/>
      <c r="AL136" s="1543"/>
      <c r="AM136" s="1543"/>
      <c r="AN136" s="1543"/>
      <c r="AO136" s="1543"/>
      <c r="AP136" s="1543"/>
      <c r="AQ136" s="1543"/>
      <c r="AR136" s="1751">
        <v>0</v>
      </c>
    </row>
    <row s="30764" customFormat="1" customHeight="1" ht="17.25" hidden="1">
      <c r="A137" s="605"/>
      <c r="C137" s="493"/>
      <c r="D137" s="2419">
        <v>3</v>
      </c>
      <c r="E137" s="2427" t="s">
        <v>319</v>
      </c>
      <c r="F137" s="2429" t="s">
        <v>19</v>
      </c>
      <c r="G137" s="2427"/>
      <c r="H137" s="2432"/>
      <c r="I137" s="2434"/>
      <c r="J137" s="2436"/>
      <c r="K137" s="2421"/>
      <c r="L137" s="2421"/>
      <c r="M137" s="2421"/>
      <c r="N137" s="2423"/>
      <c r="O137" s="2421"/>
      <c r="P137" s="2421"/>
      <c r="Q137" s="2421"/>
      <c r="R137" s="2426"/>
      <c r="S137" s="2421"/>
      <c r="T137" s="2227"/>
      <c r="U137" s="2227"/>
      <c r="V137" s="2229"/>
      <c r="W137" s="1580"/>
      <c r="X137" s="1551"/>
      <c r="Y137" s="1551"/>
      <c r="Z137" s="1551"/>
      <c r="AA137" s="1551"/>
      <c r="AB137" s="1551"/>
      <c r="AC137" s="1551" t="s">
        <v>320</v>
      </c>
      <c r="AD137" s="1551" t="s">
        <v>321</v>
      </c>
      <c r="AE137" s="1551" t="s">
        <v>322</v>
      </c>
      <c r="AF137" s="1551" t="s">
        <v>323</v>
      </c>
      <c r="AG137" s="1551"/>
      <c r="AH137" s="1551" t="str">
        <f>IF($E$137=0,"",$E$137)</f>
        <v>Тариф на подключение (технологическое присоединение) к централизованной системе горячего водоснабжения</v>
      </c>
      <c r="AI137" s="1551" t="str">
        <f>IF($G$137=0,"",$G$137)</f>
        <v/>
      </c>
      <c r="AJ137" s="1551" t="str">
        <f>IF($J$137=0,"",$J$137)</f>
        <v/>
      </c>
      <c r="AK137" s="1551" t="str">
        <f>IF($K$137="нет","без дифференциации",IF($N$137=0,"",$N$137))</f>
        <v/>
      </c>
      <c r="AL137" s="1551" t="str">
        <f>IF($O$137="нет","без дифференциации",IF($R$137=0,"",$R$137))</f>
        <v/>
      </c>
      <c r="AM137" s="1551" t="str">
        <f>IF($S$137="нет","без дифференциации",IF($V$137=0,"",$V$137))</f>
        <v/>
      </c>
      <c r="AN137" s="2056">
        <f>$I$137</f>
        <v>0</v>
      </c>
      <c r="AO137" s="1551" t="str">
        <f>$I$137&amp;"."&amp;$M$137</f>
        <v>.</v>
      </c>
      <c r="AP137" s="1550" t="str">
        <f>$I$137&amp;"."&amp;$M$137&amp;"."&amp;$Q$137</f>
        <v>..</v>
      </c>
      <c r="AQ137" s="1550" t="str">
        <f>$I$137&amp;"."&amp;$M$137&amp;"."&amp;$Q$137&amp;"."&amp;$U$137</f>
        <v>...</v>
      </c>
      <c r="AR137" s="1751">
        <v>0</v>
      </c>
    </row>
    <row s="30764" customFormat="1" customHeight="1" ht="17.25" hidden="1">
      <c r="A138" s="605"/>
      <c r="C138" s="604"/>
      <c r="D138" s="2419"/>
      <c r="E138" s="2427"/>
      <c r="F138" s="2430"/>
      <c r="G138" s="2427"/>
      <c r="H138" s="2433"/>
      <c r="I138" s="2435"/>
      <c r="J138" s="2437"/>
      <c r="K138" s="2422"/>
      <c r="L138" s="2422"/>
      <c r="M138" s="2422"/>
      <c r="N138" s="2424"/>
      <c r="O138" s="2422"/>
      <c r="P138" s="2422"/>
      <c r="Q138" s="2422"/>
      <c r="R138" s="2425"/>
      <c r="S138" s="2422"/>
      <c r="T138" s="2232"/>
      <c r="U138" s="2232"/>
      <c r="V138" s="2232"/>
      <c r="W138" s="2233"/>
      <c r="X138" s="1550"/>
      <c r="Y138" s="1550"/>
      <c r="Z138" s="1550"/>
      <c r="AA138" s="1550"/>
      <c r="AB138" s="1550"/>
      <c r="AC138" s="1550"/>
      <c r="AD138" s="1550"/>
      <c r="AE138" s="1550"/>
      <c r="AF138" s="1550"/>
      <c r="AG138" s="1550"/>
      <c r="AH138" s="1550"/>
      <c r="AI138" s="1550"/>
      <c r="AJ138" s="1550"/>
      <c r="AK138" s="1550"/>
      <c r="AL138" s="1550"/>
      <c r="AM138" s="1550"/>
      <c r="AN138" s="1550"/>
      <c r="AO138" s="1550"/>
      <c r="AP138" s="1550"/>
      <c r="AQ138" s="1550"/>
      <c r="AR138" s="1751">
        <v>0</v>
      </c>
    </row>
    <row s="30764" customFormat="1" customHeight="1" ht="17.25" hidden="1">
      <c r="A139" s="605"/>
      <c r="C139" s="604"/>
      <c r="D139" s="2420"/>
      <c r="E139" s="2428"/>
      <c r="F139" s="2430"/>
      <c r="G139" s="2428"/>
      <c r="H139" s="2433"/>
      <c r="I139" s="2435"/>
      <c r="J139" s="2438"/>
      <c r="K139" s="2422"/>
      <c r="L139" s="2422"/>
      <c r="M139" s="2422"/>
      <c r="N139" s="2425"/>
      <c r="O139" s="2422"/>
      <c r="P139" s="2228"/>
      <c r="Q139" s="2232"/>
      <c r="R139" s="2232"/>
      <c r="S139" s="613"/>
      <c r="T139" s="613"/>
      <c r="U139" s="613"/>
      <c r="V139" s="613"/>
      <c r="W139" s="2233"/>
      <c r="X139" s="1550"/>
      <c r="Y139" s="1550"/>
      <c r="Z139" s="1550"/>
      <c r="AA139" s="1550"/>
      <c r="AB139" s="1550"/>
      <c r="AC139" s="1550"/>
      <c r="AD139" s="1550"/>
      <c r="AE139" s="1550"/>
      <c r="AF139" s="1550"/>
      <c r="AG139" s="1550"/>
      <c r="AH139" s="1550"/>
      <c r="AI139" s="1550"/>
      <c r="AJ139" s="1550"/>
      <c r="AK139" s="1550"/>
      <c r="AL139" s="1550"/>
      <c r="AM139" s="1550"/>
      <c r="AN139" s="1550"/>
      <c r="AO139" s="1550"/>
      <c r="AP139" s="1550"/>
      <c r="AQ139" s="1550"/>
      <c r="AR139" s="1751">
        <v>0</v>
      </c>
    </row>
    <row s="30764" customFormat="1" customHeight="1" ht="17.25" hidden="1">
      <c r="A140" s="605"/>
      <c r="C140" s="604"/>
      <c r="D140" s="2420"/>
      <c r="E140" s="2428"/>
      <c r="F140" s="2430"/>
      <c r="G140" s="2428"/>
      <c r="H140" s="2433"/>
      <c r="I140" s="2435"/>
      <c r="J140" s="2438"/>
      <c r="K140" s="2422"/>
      <c r="L140" s="2232"/>
      <c r="M140" s="2232"/>
      <c r="N140" s="2232"/>
      <c r="O140" s="2232"/>
      <c r="P140" s="2232"/>
      <c r="Q140" s="2232"/>
      <c r="R140" s="2232"/>
      <c r="S140" s="613"/>
      <c r="T140" s="613"/>
      <c r="U140" s="613"/>
      <c r="V140" s="613"/>
      <c r="W140" s="2233"/>
      <c r="X140" s="1550"/>
      <c r="Y140" s="1550"/>
      <c r="Z140" s="1550"/>
      <c r="AA140" s="1550"/>
      <c r="AB140" s="1550"/>
      <c r="AC140" s="1550"/>
      <c r="AD140" s="1550"/>
      <c r="AE140" s="1550"/>
      <c r="AF140" s="1550"/>
      <c r="AG140" s="1550"/>
      <c r="AH140" s="1550"/>
      <c r="AI140" s="1550"/>
      <c r="AJ140" s="1550"/>
      <c r="AK140" s="1550"/>
      <c r="AL140" s="1550"/>
      <c r="AM140" s="1550"/>
      <c r="AN140" s="1550"/>
      <c r="AO140" s="1550"/>
      <c r="AP140" s="1550"/>
      <c r="AQ140" s="1550"/>
      <c r="AR140" s="1751">
        <v>0</v>
      </c>
    </row>
    <row s="30764" customFormat="1" customHeight="1" ht="17.25" hidden="1">
      <c r="A141" s="605"/>
      <c r="C141" s="604"/>
      <c r="D141" s="2420"/>
      <c r="E141" s="2428"/>
      <c r="F141" s="2431"/>
      <c r="G141" s="2428"/>
      <c r="H141" s="1583"/>
      <c r="I141" s="2230"/>
      <c r="J141" s="2230"/>
      <c r="K141" s="2230"/>
      <c r="L141" s="2230"/>
      <c r="M141" s="2230"/>
      <c r="N141" s="2230"/>
      <c r="O141" s="2230"/>
      <c r="P141" s="2230"/>
      <c r="Q141" s="2230"/>
      <c r="R141" s="2230"/>
      <c r="S141" s="1585"/>
      <c r="T141" s="1585"/>
      <c r="U141" s="1585"/>
      <c r="V141" s="1585"/>
      <c r="W141" s="2231"/>
      <c r="X141" s="1550"/>
      <c r="Y141" s="1550"/>
      <c r="Z141" s="1550"/>
      <c r="AA141" s="1550"/>
      <c r="AB141" s="1550"/>
      <c r="AC141" s="1550"/>
      <c r="AD141" s="1550"/>
      <c r="AE141" s="1550"/>
      <c r="AF141" s="1550"/>
      <c r="AG141" s="1550"/>
      <c r="AH141" s="1550"/>
      <c r="AI141" s="1550"/>
      <c r="AJ141" s="1550"/>
      <c r="AK141" s="1550"/>
      <c r="AL141" s="1550"/>
      <c r="AM141" s="1550"/>
      <c r="AN141" s="1550"/>
      <c r="AO141" s="1550"/>
      <c r="AP141" s="1550"/>
      <c r="AQ141" s="1550"/>
      <c r="AR141" s="1751">
        <v>0</v>
      </c>
    </row>
    <row s="30764" customFormat="1" customHeight="1" ht="11.25" hidden="1">
      <c r="A142" s="561"/>
      <c r="B142" s="561"/>
      <c r="Y142" s="1543"/>
      <c r="Z142" s="1543"/>
      <c r="AA142" s="1543"/>
      <c r="AB142" s="1543"/>
      <c r="AC142" s="1543"/>
      <c r="AD142" s="1543"/>
      <c r="AE142" s="1543"/>
      <c r="AF142" s="1543"/>
      <c r="AG142" s="1543"/>
      <c r="AH142" s="1543"/>
      <c r="AI142" s="1543"/>
      <c r="AJ142" s="1543"/>
      <c r="AK142" s="1543"/>
      <c r="AL142" s="1543"/>
      <c r="AM142" s="1543"/>
      <c r="AN142" s="1543"/>
      <c r="AO142" s="1543"/>
      <c r="AP142" s="1543"/>
      <c r="AQ142" s="1543"/>
      <c r="AR142" s="1751">
        <v>0</v>
      </c>
    </row>
    <row s="30764" customFormat="1" customHeight="1" ht="17.25" hidden="1">
      <c r="A143" s="605"/>
      <c r="C143" s="493"/>
      <c r="D143" s="2419">
        <v>1</v>
      </c>
      <c r="E143" s="2427" t="s">
        <v>324</v>
      </c>
      <c r="F143" s="2429" t="s">
        <v>19</v>
      </c>
      <c r="G143" s="2427"/>
      <c r="H143" s="2432"/>
      <c r="I143" s="2434"/>
      <c r="J143" s="2436"/>
      <c r="K143" s="2421"/>
      <c r="L143" s="2421"/>
      <c r="M143" s="2421"/>
      <c r="N143" s="2423"/>
      <c r="O143" s="2421"/>
      <c r="P143" s="2421"/>
      <c r="Q143" s="2421"/>
      <c r="R143" s="2426"/>
      <c r="S143" s="2421"/>
      <c r="T143" s="1754"/>
      <c r="U143" s="1754"/>
      <c r="V143" s="1756"/>
      <c r="W143" s="1580"/>
      <c r="Y143" s="1551"/>
      <c r="Z143" s="1551"/>
      <c r="AA143" s="1551"/>
      <c r="AB143" s="1551"/>
      <c r="AC143" s="1551" t="s">
        <v>325</v>
      </c>
      <c r="AD143" s="1551" t="s">
        <v>326</v>
      </c>
      <c r="AE143" s="1551" t="s">
        <v>327</v>
      </c>
      <c r="AF143" s="1551" t="s">
        <v>328</v>
      </c>
      <c r="AG143" s="1551"/>
      <c r="AH143" s="1551" t="str">
        <f>IF($E$143=0,"",$E$143)</f>
        <v>Тариф на водоотведение</v>
      </c>
      <c r="AI143" s="1551" t="str">
        <f>IF($G$143=0,"",$G$143)</f>
        <v/>
      </c>
      <c r="AJ143" s="1551" t="str">
        <f>IF($J$143=0,"",$J$143)</f>
        <v/>
      </c>
      <c r="AK143" s="1551" t="str">
        <f>IF($K$143="нет","без дифференциации",IF($N$143=0,"",$N$143))</f>
        <v/>
      </c>
      <c r="AL143" s="1551" t="str">
        <f>IF($O$143="нет","без дифференциации",IF($R$143=0,"",$R$143))</f>
        <v/>
      </c>
      <c r="AM143" s="1551" t="str">
        <f>IF($S$143="нет","без дифференциации",IF($V$143=0,"",$V$143))</f>
        <v/>
      </c>
      <c r="AN143" s="1551">
        <f>$I$143</f>
        <v>0</v>
      </c>
      <c r="AO143" s="1551" t="str">
        <f>$I$143&amp;"."&amp;$M$143</f>
        <v>.</v>
      </c>
      <c r="AP143" s="1551" t="str">
        <f>$I$143&amp;"."&amp;$M$143&amp;"."&amp;$Q$143</f>
        <v>..</v>
      </c>
      <c r="AQ143" s="1551" t="str">
        <f>$I$143&amp;"."&amp;$M$143&amp;"."&amp;$Q$143&amp;"."&amp;$U$143</f>
        <v>...</v>
      </c>
      <c r="AR143" s="1751">
        <v>0</v>
      </c>
    </row>
    <row s="30764" customFormat="1" customHeight="1" ht="17.25" hidden="1">
      <c r="A144" s="605"/>
      <c r="C144" s="604"/>
      <c r="D144" s="2419"/>
      <c r="E144" s="2427"/>
      <c r="F144" s="2430"/>
      <c r="G144" s="2427"/>
      <c r="H144" s="2433"/>
      <c r="I144" s="2435"/>
      <c r="J144" s="2437"/>
      <c r="K144" s="2422"/>
      <c r="L144" s="2422"/>
      <c r="M144" s="2422"/>
      <c r="N144" s="2424"/>
      <c r="O144" s="2422"/>
      <c r="P144" s="2422"/>
      <c r="Q144" s="2422"/>
      <c r="R144" s="2425"/>
      <c r="S144" s="2422"/>
      <c r="T144" s="1581"/>
      <c r="U144" s="1581"/>
      <c r="V144" s="1581"/>
      <c r="W144" s="1582"/>
      <c r="Y144" s="1543"/>
      <c r="Z144" s="1543"/>
      <c r="AA144" s="1543"/>
      <c r="AB144" s="1543"/>
      <c r="AC144" s="1543"/>
      <c r="AD144" s="1543"/>
      <c r="AE144" s="1543"/>
      <c r="AF144" s="1543"/>
      <c r="AG144" s="1543"/>
      <c r="AH144" s="1543"/>
      <c r="AI144" s="1543"/>
      <c r="AJ144" s="1543"/>
      <c r="AK144" s="1543"/>
      <c r="AL144" s="1543"/>
      <c r="AM144" s="1543"/>
      <c r="AN144" s="1543"/>
      <c r="AO144" s="1543"/>
      <c r="AP144" s="1543"/>
      <c r="AQ144" s="1543"/>
      <c r="AR144" s="1751">
        <v>0</v>
      </c>
    </row>
    <row s="30764" customFormat="1" customHeight="1" ht="17.25" hidden="1">
      <c r="A145" s="605"/>
      <c r="C145" s="493"/>
      <c r="D145" s="2419"/>
      <c r="E145" s="2427"/>
      <c r="F145" s="2430"/>
      <c r="G145" s="2427"/>
      <c r="H145" s="2433"/>
      <c r="I145" s="2435"/>
      <c r="J145" s="2438"/>
      <c r="K145" s="2422"/>
      <c r="L145" s="2422"/>
      <c r="M145" s="2422"/>
      <c r="N145" s="2425"/>
      <c r="O145" s="2422"/>
      <c r="P145" s="1755"/>
      <c r="Q145" s="1581"/>
      <c r="R145" s="1581"/>
      <c r="S145" s="613"/>
      <c r="T145" s="613"/>
      <c r="U145" s="613"/>
      <c r="V145" s="613"/>
      <c r="W145" s="1582"/>
      <c r="Y145" s="1551"/>
      <c r="Z145" s="1551"/>
      <c r="AA145" s="1551"/>
      <c r="AB145" s="1551"/>
      <c r="AC145" s="1551"/>
      <c r="AD145" s="1551"/>
      <c r="AE145" s="1551"/>
      <c r="AF145" s="1551"/>
      <c r="AG145" s="1551"/>
      <c r="AH145" s="1551"/>
      <c r="AI145" s="1551"/>
      <c r="AJ145" s="1551"/>
      <c r="AK145" s="1551"/>
      <c r="AL145" s="1551"/>
      <c r="AM145" s="1551"/>
      <c r="AN145" s="1551"/>
      <c r="AO145" s="1551"/>
      <c r="AP145" s="1551"/>
      <c r="AQ145" s="1551"/>
      <c r="AR145" s="1751">
        <v>0</v>
      </c>
    </row>
    <row s="30764" customFormat="1" customHeight="1" ht="17.25" hidden="1">
      <c r="A146" s="605"/>
      <c r="C146" s="604"/>
      <c r="D146" s="2419"/>
      <c r="E146" s="2427"/>
      <c r="F146" s="2430"/>
      <c r="G146" s="2427"/>
      <c r="H146" s="2433"/>
      <c r="I146" s="2435"/>
      <c r="J146" s="2438"/>
      <c r="K146" s="2422"/>
      <c r="L146" s="1581"/>
      <c r="M146" s="1581"/>
      <c r="N146" s="1581"/>
      <c r="O146" s="1581"/>
      <c r="P146" s="1581"/>
      <c r="Q146" s="1581"/>
      <c r="R146" s="1581"/>
      <c r="S146" s="613"/>
      <c r="T146" s="613"/>
      <c r="U146" s="613"/>
      <c r="V146" s="613"/>
      <c r="W146" s="1582"/>
      <c r="Y146" s="1543"/>
      <c r="Z146" s="1543"/>
      <c r="AA146" s="1543"/>
      <c r="AB146" s="1543"/>
      <c r="AC146" s="1543"/>
      <c r="AD146" s="1543"/>
      <c r="AE146" s="1543"/>
      <c r="AF146" s="1543"/>
      <c r="AG146" s="1543"/>
      <c r="AH146" s="1543"/>
      <c r="AI146" s="1543"/>
      <c r="AJ146" s="1543"/>
      <c r="AK146" s="1543"/>
      <c r="AL146" s="1543"/>
      <c r="AM146" s="1543"/>
      <c r="AN146" s="1543"/>
      <c r="AO146" s="1543"/>
      <c r="AP146" s="1543"/>
      <c r="AQ146" s="1543"/>
      <c r="AR146" s="1751">
        <v>0</v>
      </c>
    </row>
    <row s="30764" customFormat="1" customHeight="1" ht="17.25" hidden="1">
      <c r="A147" s="605"/>
      <c r="C147" s="604"/>
      <c r="D147" s="2420"/>
      <c r="E147" s="2428"/>
      <c r="F147" s="2431"/>
      <c r="G147" s="2428"/>
      <c r="H147" s="1583"/>
      <c r="I147" s="1584"/>
      <c r="J147" s="1584"/>
      <c r="K147" s="1584"/>
      <c r="L147" s="1584"/>
      <c r="M147" s="1584"/>
      <c r="N147" s="1584"/>
      <c r="O147" s="1584"/>
      <c r="P147" s="1584"/>
      <c r="Q147" s="1584"/>
      <c r="R147" s="1584"/>
      <c r="S147" s="1585"/>
      <c r="T147" s="1585"/>
      <c r="U147" s="1585"/>
      <c r="V147" s="1585"/>
      <c r="W147" s="1586"/>
      <c r="Y147" s="1543"/>
      <c r="Z147" s="1543"/>
      <c r="AA147" s="1543"/>
      <c r="AB147" s="1543"/>
      <c r="AC147" s="1543"/>
      <c r="AD147" s="1543"/>
      <c r="AE147" s="1543"/>
      <c r="AF147" s="1543"/>
      <c r="AG147" s="1543"/>
      <c r="AH147" s="1543"/>
      <c r="AI147" s="1543"/>
      <c r="AJ147" s="1543"/>
      <c r="AK147" s="1543"/>
      <c r="AL147" s="1543"/>
      <c r="AM147" s="1543"/>
      <c r="AN147" s="1543"/>
      <c r="AO147" s="1543"/>
      <c r="AP147" s="1543"/>
      <c r="AQ147" s="1543"/>
      <c r="AR147" s="1751">
        <v>0</v>
      </c>
    </row>
    <row s="30764" customFormat="1" customHeight="1" ht="17.25" hidden="1">
      <c r="A148" s="605"/>
      <c r="C148" s="493"/>
      <c r="D148" s="2419">
        <v>2</v>
      </c>
      <c r="E148" s="2427" t="s">
        <v>329</v>
      </c>
      <c r="F148" s="2429" t="s">
        <v>19</v>
      </c>
      <c r="G148" s="2427"/>
      <c r="H148" s="2432"/>
      <c r="I148" s="2434"/>
      <c r="J148" s="2436"/>
      <c r="K148" s="2421"/>
      <c r="L148" s="2421"/>
      <c r="M148" s="2421"/>
      <c r="N148" s="2423"/>
      <c r="O148" s="2421"/>
      <c r="P148" s="2421"/>
      <c r="Q148" s="2421"/>
      <c r="R148" s="2426"/>
      <c r="S148" s="2421"/>
      <c r="T148" s="1754"/>
      <c r="U148" s="1754"/>
      <c r="V148" s="1756"/>
      <c r="W148" s="1580"/>
      <c r="X148" s="1551"/>
      <c r="Y148" s="1551"/>
      <c r="Z148" s="1551"/>
      <c r="AA148" s="1551"/>
      <c r="AB148" s="1551"/>
      <c r="AC148" s="1551" t="s">
        <v>330</v>
      </c>
      <c r="AD148" s="1551" t="s">
        <v>331</v>
      </c>
      <c r="AE148" s="1551" t="s">
        <v>332</v>
      </c>
      <c r="AF148" s="1551" t="s">
        <v>333</v>
      </c>
      <c r="AG148" s="1551"/>
      <c r="AH148" s="1551" t="str">
        <f>IF($E$148=0,"",$E$148)</f>
        <v>Тариф на транспортировку сточных вод</v>
      </c>
      <c r="AI148" s="1551" t="str">
        <f>IF($G$148=0,"",$G$148)</f>
        <v/>
      </c>
      <c r="AJ148" s="1551" t="str">
        <f>IF($J$148=0,"",$J$148)</f>
        <v/>
      </c>
      <c r="AK148" s="1551" t="str">
        <f>IF($K$148="нет","без дифференциации",IF($N$148=0,"",$N$148))</f>
        <v/>
      </c>
      <c r="AL148" s="1551" t="str">
        <f>IF($O$148="нет","без дифференциации",IF($R$148=0,"",$R$148))</f>
        <v/>
      </c>
      <c r="AM148" s="1551" t="str">
        <f>IF($S$148="нет","без дифференциации",IF($V$148=0,"",$V$148))</f>
        <v/>
      </c>
      <c r="AN148" s="2056">
        <f>$I$148</f>
        <v>0</v>
      </c>
      <c r="AO148" s="1551" t="str">
        <f>$I$148&amp;"."&amp;$M$148</f>
        <v>.</v>
      </c>
      <c r="AP148" s="1543" t="str">
        <f>$I$148&amp;"."&amp;$M$148&amp;"."&amp;$Q$148</f>
        <v>..</v>
      </c>
      <c r="AQ148" s="1543" t="str">
        <f>$I$148&amp;"."&amp;$M$148&amp;"."&amp;$Q$148&amp;"."&amp;$U$148</f>
        <v>...</v>
      </c>
      <c r="AR148" s="1751">
        <v>0</v>
      </c>
    </row>
    <row s="30764" customFormat="1" customHeight="1" ht="17.25" hidden="1">
      <c r="A149" s="605"/>
      <c r="C149" s="604"/>
      <c r="D149" s="2419"/>
      <c r="E149" s="2427"/>
      <c r="F149" s="2430"/>
      <c r="G149" s="2427"/>
      <c r="H149" s="2433"/>
      <c r="I149" s="2435"/>
      <c r="J149" s="2437"/>
      <c r="K149" s="2422"/>
      <c r="L149" s="2422"/>
      <c r="M149" s="2422"/>
      <c r="N149" s="2424"/>
      <c r="O149" s="2422"/>
      <c r="P149" s="2422"/>
      <c r="Q149" s="2422"/>
      <c r="R149" s="2425"/>
      <c r="S149" s="2422"/>
      <c r="T149" s="1581"/>
      <c r="U149" s="1581"/>
      <c r="V149" s="1581"/>
      <c r="W149" s="1582"/>
      <c r="X149" s="1543"/>
      <c r="Y149" s="1543"/>
      <c r="Z149" s="1543"/>
      <c r="AA149" s="1543"/>
      <c r="AB149" s="1543"/>
      <c r="AC149" s="1543"/>
      <c r="AD149" s="1543"/>
      <c r="AE149" s="1543"/>
      <c r="AF149" s="1543"/>
      <c r="AG149" s="1543"/>
      <c r="AH149" s="1543"/>
      <c r="AI149" s="1543"/>
      <c r="AJ149" s="1543"/>
      <c r="AK149" s="1543"/>
      <c r="AL149" s="1543"/>
      <c r="AM149" s="1543"/>
      <c r="AN149" s="1543"/>
      <c r="AO149" s="1543"/>
      <c r="AP149" s="1543"/>
      <c r="AQ149" s="1543"/>
      <c r="AR149" s="1751">
        <v>0</v>
      </c>
    </row>
    <row s="30764" customFormat="1" customHeight="1" ht="17.25" hidden="1">
      <c r="A150" s="605"/>
      <c r="C150" s="604"/>
      <c r="D150" s="2420"/>
      <c r="E150" s="2428"/>
      <c r="F150" s="2430"/>
      <c r="G150" s="2428"/>
      <c r="H150" s="2433"/>
      <c r="I150" s="2435"/>
      <c r="J150" s="2438"/>
      <c r="K150" s="2422"/>
      <c r="L150" s="2422"/>
      <c r="M150" s="2422"/>
      <c r="N150" s="2425"/>
      <c r="O150" s="2422"/>
      <c r="P150" s="1755"/>
      <c r="Q150" s="1581"/>
      <c r="R150" s="1581"/>
      <c r="S150" s="613"/>
      <c r="T150" s="613"/>
      <c r="U150" s="613"/>
      <c r="V150" s="613"/>
      <c r="W150" s="1582"/>
      <c r="X150" s="1543"/>
      <c r="Y150" s="1543"/>
      <c r="Z150" s="1543"/>
      <c r="AA150" s="1543"/>
      <c r="AB150" s="1543"/>
      <c r="AC150" s="1543"/>
      <c r="AD150" s="1543"/>
      <c r="AE150" s="1543"/>
      <c r="AF150" s="1543"/>
      <c r="AG150" s="1543"/>
      <c r="AH150" s="1543"/>
      <c r="AI150" s="1543"/>
      <c r="AJ150" s="1543"/>
      <c r="AK150" s="1543"/>
      <c r="AL150" s="1543"/>
      <c r="AM150" s="1543"/>
      <c r="AN150" s="1543"/>
      <c r="AO150" s="1543"/>
      <c r="AP150" s="1543"/>
      <c r="AQ150" s="1543"/>
      <c r="AR150" s="1751">
        <v>0</v>
      </c>
    </row>
    <row s="30764" customFormat="1" customHeight="1" ht="17.25" hidden="1">
      <c r="A151" s="605"/>
      <c r="C151" s="604"/>
      <c r="D151" s="2420"/>
      <c r="E151" s="2428"/>
      <c r="F151" s="2430"/>
      <c r="G151" s="2428"/>
      <c r="H151" s="2433"/>
      <c r="I151" s="2435"/>
      <c r="J151" s="2438"/>
      <c r="K151" s="2422"/>
      <c r="L151" s="1581"/>
      <c r="M151" s="1581"/>
      <c r="N151" s="1581"/>
      <c r="O151" s="1581"/>
      <c r="P151" s="1581"/>
      <c r="Q151" s="1581"/>
      <c r="R151" s="1581"/>
      <c r="S151" s="613"/>
      <c r="T151" s="613"/>
      <c r="U151" s="613"/>
      <c r="V151" s="613"/>
      <c r="W151" s="1582"/>
      <c r="X151" s="1543"/>
      <c r="Y151" s="1543"/>
      <c r="Z151" s="1543"/>
      <c r="AA151" s="1543"/>
      <c r="AB151" s="1543"/>
      <c r="AC151" s="1543"/>
      <c r="AD151" s="1543"/>
      <c r="AE151" s="1543"/>
      <c r="AF151" s="1543"/>
      <c r="AG151" s="1543"/>
      <c r="AH151" s="1543"/>
      <c r="AI151" s="1543"/>
      <c r="AJ151" s="1543"/>
      <c r="AK151" s="1543"/>
      <c r="AL151" s="1543"/>
      <c r="AM151" s="1543"/>
      <c r="AN151" s="1543"/>
      <c r="AO151" s="1543"/>
      <c r="AP151" s="1543"/>
      <c r="AQ151" s="1543"/>
      <c r="AR151" s="1751">
        <v>0</v>
      </c>
    </row>
    <row s="30764" customFormat="1" customHeight="1" ht="17.25" hidden="1">
      <c r="A152" s="605"/>
      <c r="C152" s="604"/>
      <c r="D152" s="2420"/>
      <c r="E152" s="2428"/>
      <c r="F152" s="2431"/>
      <c r="G152" s="2428"/>
      <c r="H152" s="1583"/>
      <c r="I152" s="1584"/>
      <c r="J152" s="1584"/>
      <c r="K152" s="1584"/>
      <c r="L152" s="1584"/>
      <c r="M152" s="1584"/>
      <c r="N152" s="1584"/>
      <c r="O152" s="1584"/>
      <c r="P152" s="1584"/>
      <c r="Q152" s="1584"/>
      <c r="R152" s="1584"/>
      <c r="S152" s="1585"/>
      <c r="T152" s="1585"/>
      <c r="U152" s="1585"/>
      <c r="V152" s="1585"/>
      <c r="W152" s="1586"/>
      <c r="X152" s="1543"/>
      <c r="Y152" s="1543"/>
      <c r="Z152" s="1543"/>
      <c r="AA152" s="1543"/>
      <c r="AB152" s="1543"/>
      <c r="AC152" s="1543"/>
      <c r="AD152" s="1543"/>
      <c r="AE152" s="1543"/>
      <c r="AF152" s="1543"/>
      <c r="AG152" s="1543"/>
      <c r="AH152" s="1543"/>
      <c r="AI152" s="1543"/>
      <c r="AJ152" s="1543"/>
      <c r="AK152" s="1543"/>
      <c r="AL152" s="1543"/>
      <c r="AM152" s="1543"/>
      <c r="AN152" s="1543"/>
      <c r="AO152" s="1543"/>
      <c r="AP152" s="1543"/>
      <c r="AQ152" s="1543"/>
      <c r="AR152" s="1751">
        <v>0</v>
      </c>
    </row>
    <row s="30764" customFormat="1" customHeight="1" ht="17.25" hidden="1">
      <c r="A153" s="605"/>
      <c r="C153" s="493"/>
      <c r="D153" s="2419">
        <v>3</v>
      </c>
      <c r="E153" s="2427" t="s">
        <v>334</v>
      </c>
      <c r="F153" s="2429" t="s">
        <v>19</v>
      </c>
      <c r="G153" s="2427"/>
      <c r="H153" s="2432"/>
      <c r="I153" s="2434"/>
      <c r="J153" s="2436"/>
      <c r="K153" s="2421"/>
      <c r="L153" s="2421"/>
      <c r="M153" s="2421"/>
      <c r="N153" s="2423"/>
      <c r="O153" s="2421"/>
      <c r="P153" s="2421"/>
      <c r="Q153" s="2421"/>
      <c r="R153" s="2426"/>
      <c r="S153" s="2421"/>
      <c r="T153" s="2227"/>
      <c r="U153" s="2227"/>
      <c r="V153" s="2229"/>
      <c r="W153" s="1580"/>
      <c r="X153" s="1551"/>
      <c r="Y153" s="1551"/>
      <c r="Z153" s="1551"/>
      <c r="AA153" s="1551"/>
      <c r="AB153" s="1551"/>
      <c r="AC153" s="1551" t="s">
        <v>335</v>
      </c>
      <c r="AD153" s="1551" t="s">
        <v>336</v>
      </c>
      <c r="AE153" s="1551" t="s">
        <v>337</v>
      </c>
      <c r="AF153" s="1551" t="s">
        <v>338</v>
      </c>
      <c r="AG153" s="1551"/>
      <c r="AH153" s="1551" t="str">
        <f>IF($E$153=0,"",$E$153)</f>
        <v>Тариф на подключение (технологическое присоединение) к централизованной системе водоотведения</v>
      </c>
      <c r="AI153" s="1551" t="str">
        <f>IF($G$153=0,"",$G$153)</f>
        <v/>
      </c>
      <c r="AJ153" s="1551" t="str">
        <f>IF($J$153=0,"",$J$153)</f>
        <v/>
      </c>
      <c r="AK153" s="1551" t="str">
        <f>IF($K$153="нет","без дифференциации",IF($N$153=0,"",$N$153))</f>
        <v/>
      </c>
      <c r="AL153" s="1551" t="str">
        <f>IF($O$153="нет","без дифференциации",IF($R$153=0,"",$R$153))</f>
        <v/>
      </c>
      <c r="AM153" s="1551" t="str">
        <f>IF($S$153="нет","без дифференциации",IF($V$153=0,"",$V$153))</f>
        <v/>
      </c>
      <c r="AN153" s="2056">
        <f>$I$153</f>
        <v>0</v>
      </c>
      <c r="AO153" s="1551" t="str">
        <f>$I$153&amp;"."&amp;$M$153</f>
        <v>.</v>
      </c>
      <c r="AP153" s="1550" t="str">
        <f>$I$153&amp;"."&amp;$M$153&amp;"."&amp;$Q$153</f>
        <v>..</v>
      </c>
      <c r="AQ153" s="1550" t="str">
        <f>$I$153&amp;"."&amp;$M$153&amp;"."&amp;$Q$153&amp;"."&amp;$U$153</f>
        <v>...</v>
      </c>
      <c r="AR153" s="1751">
        <v>0</v>
      </c>
    </row>
    <row s="30764" customFormat="1" customHeight="1" ht="17.25" hidden="1">
      <c r="A154" s="605"/>
      <c r="C154" s="604"/>
      <c r="D154" s="2419"/>
      <c r="E154" s="2427"/>
      <c r="F154" s="2430"/>
      <c r="G154" s="2427"/>
      <c r="H154" s="2433"/>
      <c r="I154" s="2435"/>
      <c r="J154" s="2437"/>
      <c r="K154" s="2422"/>
      <c r="L154" s="2422"/>
      <c r="M154" s="2422"/>
      <c r="N154" s="2424"/>
      <c r="O154" s="2422"/>
      <c r="P154" s="2422"/>
      <c r="Q154" s="2422"/>
      <c r="R154" s="2425"/>
      <c r="S154" s="2422"/>
      <c r="T154" s="2232"/>
      <c r="U154" s="2232"/>
      <c r="V154" s="2232"/>
      <c r="W154" s="2233"/>
      <c r="X154" s="1550"/>
      <c r="Y154" s="1550"/>
      <c r="Z154" s="1550"/>
      <c r="AA154" s="1550"/>
      <c r="AB154" s="1550"/>
      <c r="AC154" s="1550"/>
      <c r="AD154" s="1550"/>
      <c r="AE154" s="1550"/>
      <c r="AF154" s="1550"/>
      <c r="AG154" s="1550"/>
      <c r="AH154" s="1550"/>
      <c r="AI154" s="1550"/>
      <c r="AJ154" s="1550"/>
      <c r="AK154" s="1550"/>
      <c r="AL154" s="1550"/>
      <c r="AM154" s="1550"/>
      <c r="AN154" s="1550"/>
      <c r="AO154" s="1550"/>
      <c r="AP154" s="1550"/>
      <c r="AQ154" s="1550"/>
      <c r="AR154" s="1751">
        <v>0</v>
      </c>
    </row>
    <row s="30764" customFormat="1" customHeight="1" ht="17.25" hidden="1">
      <c r="A155" s="605"/>
      <c r="C155" s="604"/>
      <c r="D155" s="2420"/>
      <c r="E155" s="2428"/>
      <c r="F155" s="2430"/>
      <c r="G155" s="2428"/>
      <c r="H155" s="2433"/>
      <c r="I155" s="2435"/>
      <c r="J155" s="2438"/>
      <c r="K155" s="2422"/>
      <c r="L155" s="2422"/>
      <c r="M155" s="2422"/>
      <c r="N155" s="2425"/>
      <c r="O155" s="2422"/>
      <c r="P155" s="2228"/>
      <c r="Q155" s="2232"/>
      <c r="R155" s="2232"/>
      <c r="S155" s="613"/>
      <c r="T155" s="613"/>
      <c r="U155" s="613"/>
      <c r="V155" s="613"/>
      <c r="W155" s="2233"/>
      <c r="X155" s="1550"/>
      <c r="Y155" s="1550"/>
      <c r="Z155" s="1550"/>
      <c r="AA155" s="1550"/>
      <c r="AB155" s="1550"/>
      <c r="AC155" s="1550"/>
      <c r="AD155" s="1550"/>
      <c r="AE155" s="1550"/>
      <c r="AF155" s="1550"/>
      <c r="AG155" s="1550"/>
      <c r="AH155" s="1550"/>
      <c r="AI155" s="1550"/>
      <c r="AJ155" s="1550"/>
      <c r="AK155" s="1550"/>
      <c r="AL155" s="1550"/>
      <c r="AM155" s="1550"/>
      <c r="AN155" s="1550"/>
      <c r="AO155" s="1550"/>
      <c r="AP155" s="1550"/>
      <c r="AQ155" s="1550"/>
      <c r="AR155" s="1751">
        <v>0</v>
      </c>
    </row>
    <row s="30764" customFormat="1" customHeight="1" ht="17.25" hidden="1">
      <c r="A156" s="605"/>
      <c r="C156" s="604"/>
      <c r="D156" s="2420"/>
      <c r="E156" s="2428"/>
      <c r="F156" s="2430"/>
      <c r="G156" s="2428"/>
      <c r="H156" s="2433"/>
      <c r="I156" s="2435"/>
      <c r="J156" s="2438"/>
      <c r="K156" s="2422"/>
      <c r="L156" s="2232"/>
      <c r="M156" s="2232"/>
      <c r="N156" s="2232"/>
      <c r="O156" s="2232"/>
      <c r="P156" s="2232"/>
      <c r="Q156" s="2232"/>
      <c r="R156" s="2232"/>
      <c r="S156" s="613"/>
      <c r="T156" s="613"/>
      <c r="U156" s="613"/>
      <c r="V156" s="613"/>
      <c r="W156" s="2233"/>
      <c r="X156" s="1550"/>
      <c r="Y156" s="1550"/>
      <c r="Z156" s="1550"/>
      <c r="AA156" s="1550"/>
      <c r="AB156" s="1550"/>
      <c r="AC156" s="1550"/>
      <c r="AD156" s="1550"/>
      <c r="AE156" s="1550"/>
      <c r="AF156" s="1550"/>
      <c r="AG156" s="1550"/>
      <c r="AH156" s="1550"/>
      <c r="AI156" s="1550"/>
      <c r="AJ156" s="1550"/>
      <c r="AK156" s="1550"/>
      <c r="AL156" s="1550"/>
      <c r="AM156" s="1550"/>
      <c r="AN156" s="1550"/>
      <c r="AO156" s="1550"/>
      <c r="AP156" s="1550"/>
      <c r="AQ156" s="1550"/>
      <c r="AR156" s="1751">
        <v>0</v>
      </c>
    </row>
    <row s="30764" customFormat="1" customHeight="1" ht="17.25" hidden="1">
      <c r="A157" s="605"/>
      <c r="C157" s="604"/>
      <c r="D157" s="2420"/>
      <c r="E157" s="2428"/>
      <c r="F157" s="2431"/>
      <c r="G157" s="2428"/>
      <c r="H157" s="1583"/>
      <c r="I157" s="2230"/>
      <c r="J157" s="2230"/>
      <c r="K157" s="2230"/>
      <c r="L157" s="2230"/>
      <c r="M157" s="2230"/>
      <c r="N157" s="2230"/>
      <c r="O157" s="2230"/>
      <c r="P157" s="2230"/>
      <c r="Q157" s="2230"/>
      <c r="R157" s="2230"/>
      <c r="S157" s="1585"/>
      <c r="T157" s="1585"/>
      <c r="U157" s="1585"/>
      <c r="V157" s="1585"/>
      <c r="W157" s="2231"/>
      <c r="X157" s="1550"/>
      <c r="Y157" s="1550"/>
      <c r="Z157" s="1550"/>
      <c r="AA157" s="1550"/>
      <c r="AB157" s="1550"/>
      <c r="AC157" s="1550"/>
      <c r="AD157" s="1550"/>
      <c r="AE157" s="1550"/>
      <c r="AF157" s="1550"/>
      <c r="AG157" s="1550"/>
      <c r="AH157" s="1550"/>
      <c r="AI157" s="1550"/>
      <c r="AJ157" s="1550"/>
      <c r="AK157" s="1550"/>
      <c r="AL157" s="1550"/>
      <c r="AM157" s="1550"/>
      <c r="AN157" s="1550"/>
      <c r="AO157" s="1550"/>
      <c r="AP157" s="1550"/>
      <c r="AQ157" s="1550"/>
      <c r="AR157" s="1751">
        <v>0</v>
      </c>
    </row>
    <row customHeight="1" ht="11.549999999999999">
      <c r="AR158" s="388">
        <v>11</v>
      </c>
    </row>
    <row customHeight="1" ht="11.549999999999999">
      <c r="AR159" s="388">
        <v>11</v>
      </c>
    </row>
    <row customHeight="1" ht="11.549999999999999">
      <c r="AR160" s="388">
        <v>11</v>
      </c>
    </row>
    <row customHeight="1" ht="11.549999999999999">
      <c r="E161" s="1634"/>
      <c r="AR161" s="388">
        <v>11</v>
      </c>
    </row>
    <row customHeight="1" ht="11.549999999999999">
      <c r="E162" s="1634"/>
      <c r="AR162" s="388">
        <v>11</v>
      </c>
    </row>
    <row customHeight="1" ht="11.549999999999999">
      <c r="E163" s="1634"/>
      <c r="AR163" s="388">
        <v>11</v>
      </c>
    </row>
    <row customHeight="1" ht="11.549999999999999">
      <c r="E164" s="1634"/>
      <c r="AR164" s="388">
        <v>11</v>
      </c>
    </row>
    <row customHeight="1" ht="11.549999999999999">
      <c r="E165" s="1634"/>
      <c r="AR165" s="388">
        <v>11</v>
      </c>
    </row>
    <row customHeight="1" ht="11.549999999999999">
      <c r="E166" s="1634"/>
      <c r="AR166" s="388">
        <v>11</v>
      </c>
    </row>
    <row customHeight="1" ht="11.549999999999999">
      <c r="E167" s="1634"/>
      <c r="AR167" s="388">
        <v>11</v>
      </c>
    </row>
    <row customHeight="1" ht="11.25" hidden="1">
      <c r="A168" s="437" t="s">
        <v>85</v>
      </c>
      <c r="B168" s="437">
        <v>0</v>
      </c>
      <c r="C168" s="388">
        <v>3</v>
      </c>
      <c r="D168" s="388">
        <v>6</v>
      </c>
      <c r="E168" s="388">
        <v>42</v>
      </c>
      <c r="F168" s="1567">
        <v>14</v>
      </c>
      <c r="G168" s="388">
        <v>42</v>
      </c>
      <c r="H168" s="388">
        <v>3</v>
      </c>
      <c r="I168" s="388">
        <v>5</v>
      </c>
      <c r="J168" s="388">
        <v>47</v>
      </c>
      <c r="K168" s="388">
        <v>3</v>
      </c>
      <c r="L168" s="388">
        <v>3</v>
      </c>
      <c r="M168" s="388">
        <v>5</v>
      </c>
      <c r="N168" s="388">
        <v>28</v>
      </c>
      <c r="O168" s="388">
        <v>3</v>
      </c>
      <c r="P168" s="388">
        <v>3</v>
      </c>
      <c r="Q168" s="388">
        <v>5</v>
      </c>
      <c r="R168" s="388">
        <v>34</v>
      </c>
      <c r="S168" s="566">
        <v>0</v>
      </c>
      <c r="T168" s="566">
        <v>0</v>
      </c>
      <c r="U168" s="566">
        <v>0</v>
      </c>
      <c r="V168" s="566">
        <v>0</v>
      </c>
      <c r="W168" s="388">
        <v>30</v>
      </c>
      <c r="X168" s="388">
        <v>3</v>
      </c>
      <c r="Y168" s="1543">
        <v>0</v>
      </c>
      <c r="Z168" s="1543">
        <v>0</v>
      </c>
      <c r="AA168" s="1543">
        <v>0</v>
      </c>
      <c r="AB168" s="1543">
        <v>0</v>
      </c>
      <c r="AC168" s="1543">
        <v>0</v>
      </c>
      <c r="AD168" s="1543">
        <v>0</v>
      </c>
      <c r="AE168" s="1543">
        <v>0</v>
      </c>
      <c r="AF168" s="1543">
        <v>0</v>
      </c>
      <c r="AG168" s="1543">
        <v>0</v>
      </c>
      <c r="AH168" s="1543">
        <v>0</v>
      </c>
      <c r="AI168" s="1543">
        <v>0</v>
      </c>
      <c r="AJ168" s="1543">
        <v>0</v>
      </c>
      <c r="AK168" s="1543">
        <v>0</v>
      </c>
      <c r="AL168" s="1543">
        <v>0</v>
      </c>
      <c r="AM168" s="1543">
        <v>0</v>
      </c>
      <c r="AN168" s="1543">
        <v>0</v>
      </c>
      <c r="AO168" s="1543">
        <v>0</v>
      </c>
      <c r="AP168" s="1543">
        <v>0</v>
      </c>
      <c r="AQ168" s="1543">
        <v>0</v>
      </c>
      <c r="AR168" s="388">
        <v>11</v>
      </c>
    </row>
  </sheetData>
  <sheetProtection sheet="1" formatColumns="0" formatRows="0" autoFilter="0" sort="1" insertRows="1" insertColumns="1" deleteRows="1" deleteColumns="1"/>
  <mergeCells count="439">
    <mergeCell ref="R23:R24"/>
    <mergeCell ref="S23:S24"/>
    <mergeCell ref="G23:G27"/>
    <mergeCell ref="H23:H26"/>
    <mergeCell ref="I23:I26"/>
    <mergeCell ref="J23:J26"/>
    <mergeCell ref="K23:K26"/>
    <mergeCell ref="L23:L25"/>
    <mergeCell ref="M23:M25"/>
    <mergeCell ref="N23:N25"/>
    <mergeCell ref="O23:O25"/>
    <mergeCell ref="M153:M155"/>
    <mergeCell ref="N153:N155"/>
    <mergeCell ref="O153:O155"/>
    <mergeCell ref="P153:P154"/>
    <mergeCell ref="Q153:Q154"/>
    <mergeCell ref="R153:R154"/>
    <mergeCell ref="S153:S154"/>
    <mergeCell ref="D153:D157"/>
    <mergeCell ref="E153:E157"/>
    <mergeCell ref="F153:F157"/>
    <mergeCell ref="G153:G157"/>
    <mergeCell ref="H153:H156"/>
    <mergeCell ref="I153:I156"/>
    <mergeCell ref="J153:J156"/>
    <mergeCell ref="K153:K156"/>
    <mergeCell ref="L153:L155"/>
    <mergeCell ref="N121:N123"/>
    <mergeCell ref="O121:O123"/>
    <mergeCell ref="P121:P122"/>
    <mergeCell ref="Q121:Q122"/>
    <mergeCell ref="R121:R122"/>
    <mergeCell ref="S121:S122"/>
    <mergeCell ref="D137:D141"/>
    <mergeCell ref="E137:E141"/>
    <mergeCell ref="F137:F141"/>
    <mergeCell ref="G137:G141"/>
    <mergeCell ref="H137:H140"/>
    <mergeCell ref="I137:I140"/>
    <mergeCell ref="J137:J140"/>
    <mergeCell ref="K137:K140"/>
    <mergeCell ref="L137:L139"/>
    <mergeCell ref="M137:M139"/>
    <mergeCell ref="N137:N139"/>
    <mergeCell ref="O137:O139"/>
    <mergeCell ref="P137:P138"/>
    <mergeCell ref="Q137:Q138"/>
    <mergeCell ref="R137:R138"/>
    <mergeCell ref="S137:S138"/>
    <mergeCell ref="D121:D125"/>
    <mergeCell ref="E121:E125"/>
    <mergeCell ref="F121:F125"/>
    <mergeCell ref="G121:G125"/>
    <mergeCell ref="H121:H124"/>
    <mergeCell ref="I121:I124"/>
    <mergeCell ref="J121:J124"/>
    <mergeCell ref="K121:K124"/>
    <mergeCell ref="L121:L123"/>
    <mergeCell ref="S148:S149"/>
    <mergeCell ref="D148:D152"/>
    <mergeCell ref="E148:E152"/>
    <mergeCell ref="F148:F152"/>
    <mergeCell ref="G148:G152"/>
    <mergeCell ref="H148:H151"/>
    <mergeCell ref="I148:I151"/>
    <mergeCell ref="J148:J151"/>
    <mergeCell ref="K148:K151"/>
    <mergeCell ref="L148:L150"/>
    <mergeCell ref="H143:H146"/>
    <mergeCell ref="I143:I146"/>
    <mergeCell ref="J143:J146"/>
    <mergeCell ref="K143:K146"/>
    <mergeCell ref="L143:L145"/>
    <mergeCell ref="M143:M145"/>
    <mergeCell ref="N143:N145"/>
    <mergeCell ref="M148:M150"/>
    <mergeCell ref="N148:N150"/>
    <mergeCell ref="O148:O150"/>
    <mergeCell ref="P143:P144"/>
    <mergeCell ref="Q143:Q144"/>
    <mergeCell ref="R143:R144"/>
    <mergeCell ref="P148:P149"/>
    <mergeCell ref="Q148:Q149"/>
    <mergeCell ref="R148:R149"/>
    <mergeCell ref="S143:S144"/>
    <mergeCell ref="D143:D147"/>
    <mergeCell ref="E143:E147"/>
    <mergeCell ref="F143:F147"/>
    <mergeCell ref="G143:G147"/>
    <mergeCell ref="M132:M134"/>
    <mergeCell ref="N132:N134"/>
    <mergeCell ref="O132:O134"/>
    <mergeCell ref="P132:P133"/>
    <mergeCell ref="Q132:Q133"/>
    <mergeCell ref="R132:R133"/>
    <mergeCell ref="S132:S133"/>
    <mergeCell ref="D132:D136"/>
    <mergeCell ref="E132:E136"/>
    <mergeCell ref="F132:F136"/>
    <mergeCell ref="G132:G136"/>
    <mergeCell ref="H132:H135"/>
    <mergeCell ref="I132:I135"/>
    <mergeCell ref="J132:J135"/>
    <mergeCell ref="K132:K135"/>
    <mergeCell ref="L132:L134"/>
    <mergeCell ref="O143:O145"/>
    <mergeCell ref="R13:R14"/>
    <mergeCell ref="S13:S14"/>
    <mergeCell ref="M70:M72"/>
    <mergeCell ref="N70:N72"/>
    <mergeCell ref="O70:O72"/>
    <mergeCell ref="N60:N62"/>
    <mergeCell ref="D127:D131"/>
    <mergeCell ref="E127:E131"/>
    <mergeCell ref="F127:F131"/>
    <mergeCell ref="G127:G131"/>
    <mergeCell ref="H127:H130"/>
    <mergeCell ref="I127:I130"/>
    <mergeCell ref="J127:J130"/>
    <mergeCell ref="K127:K130"/>
    <mergeCell ref="L127:L129"/>
    <mergeCell ref="P75:P76"/>
    <mergeCell ref="Q75:Q76"/>
    <mergeCell ref="R75:R76"/>
    <mergeCell ref="S75:S76"/>
    <mergeCell ref="P70:P71"/>
    <mergeCell ref="Q70:Q71"/>
    <mergeCell ref="R70:R71"/>
    <mergeCell ref="S70:S71"/>
    <mergeCell ref="S18:S19"/>
    <mergeCell ref="M127:M129"/>
    <mergeCell ref="N127:N129"/>
    <mergeCell ref="O127:O129"/>
    <mergeCell ref="P127:P128"/>
    <mergeCell ref="Q127:Q128"/>
    <mergeCell ref="R127:R128"/>
    <mergeCell ref="S127:S128"/>
    <mergeCell ref="O75:O77"/>
    <mergeCell ref="E99:W99"/>
    <mergeCell ref="E91:W91"/>
    <mergeCell ref="E92:W92"/>
    <mergeCell ref="E93:W93"/>
    <mergeCell ref="E94:W94"/>
    <mergeCell ref="E95:W95"/>
    <mergeCell ref="L101:L103"/>
    <mergeCell ref="M101:M103"/>
    <mergeCell ref="E97:W97"/>
    <mergeCell ref="E98:W98"/>
    <mergeCell ref="K111:K114"/>
    <mergeCell ref="E65:E69"/>
    <mergeCell ref="F65:F69"/>
    <mergeCell ref="H65:H68"/>
    <mergeCell ref="G65:G69"/>
    <mergeCell ref="G33:G59"/>
    <mergeCell ref="S60:S61"/>
    <mergeCell ref="S65:S66"/>
    <mergeCell ref="E60:E64"/>
    <mergeCell ref="F60:F64"/>
    <mergeCell ref="H60:H63"/>
    <mergeCell ref="P60:P61"/>
    <mergeCell ref="Q60:Q61"/>
    <mergeCell ref="R60:R61"/>
    <mergeCell ref="D60:D64"/>
    <mergeCell ref="D70:D74"/>
    <mergeCell ref="E70:E74"/>
    <mergeCell ref="F70:F74"/>
    <mergeCell ref="G70:G74"/>
    <mergeCell ref="H70:H73"/>
    <mergeCell ref="I70:I73"/>
    <mergeCell ref="J70:J73"/>
    <mergeCell ref="K70:K73"/>
    <mergeCell ref="L70:L72"/>
    <mergeCell ref="D33:D59"/>
    <mergeCell ref="E33:E59"/>
    <mergeCell ref="F33:F59"/>
    <mergeCell ref="P65:P66"/>
    <mergeCell ref="O60:O62"/>
    <mergeCell ref="Q65:Q66"/>
    <mergeCell ref="R65:R66"/>
    <mergeCell ref="O65:O67"/>
    <mergeCell ref="D75:D79"/>
    <mergeCell ref="E75:E79"/>
    <mergeCell ref="F75:F79"/>
    <mergeCell ref="H75:H78"/>
    <mergeCell ref="N65:N67"/>
    <mergeCell ref="G60:G64"/>
    <mergeCell ref="K60:K63"/>
    <mergeCell ref="G75:G79"/>
    <mergeCell ref="K75:K78"/>
    <mergeCell ref="N75:N77"/>
    <mergeCell ref="I75:I78"/>
    <mergeCell ref="J75:J78"/>
    <mergeCell ref="L75:L77"/>
    <mergeCell ref="M75:M77"/>
    <mergeCell ref="L65:L67"/>
    <mergeCell ref="M65:M67"/>
    <mergeCell ref="K65:K68"/>
    <mergeCell ref="D65:D69"/>
    <mergeCell ref="I65:I68"/>
    <mergeCell ref="J65:J68"/>
    <mergeCell ref="I60:I63"/>
    <mergeCell ref="J60:J63"/>
    <mergeCell ref="L60:L62"/>
    <mergeCell ref="M60:M62"/>
    <mergeCell ref="D18:D22"/>
    <mergeCell ref="E18:E22"/>
    <mergeCell ref="F18:F22"/>
    <mergeCell ref="Q18:Q19"/>
    <mergeCell ref="R18:R19"/>
    <mergeCell ref="H18:H21"/>
    <mergeCell ref="I18:I21"/>
    <mergeCell ref="J18:J21"/>
    <mergeCell ref="D28:D32"/>
    <mergeCell ref="E28:E32"/>
    <mergeCell ref="F28:F32"/>
    <mergeCell ref="G28:G32"/>
    <mergeCell ref="L18:L20"/>
    <mergeCell ref="M18:M20"/>
    <mergeCell ref="N18:N20"/>
    <mergeCell ref="D23:D27"/>
    <mergeCell ref="E23:E27"/>
    <mergeCell ref="F23:F27"/>
    <mergeCell ref="L10:M10"/>
    <mergeCell ref="P10:Q10"/>
    <mergeCell ref="L11:M11"/>
    <mergeCell ref="P11:Q11"/>
    <mergeCell ref="P13:P14"/>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101:D105"/>
    <mergeCell ref="E101:E105"/>
    <mergeCell ref="D106:D110"/>
    <mergeCell ref="E106:E110"/>
    <mergeCell ref="F106:F110"/>
    <mergeCell ref="G106:G110"/>
    <mergeCell ref="H106:H109"/>
    <mergeCell ref="I106:I109"/>
    <mergeCell ref="J106:J109"/>
    <mergeCell ref="F101:F105"/>
    <mergeCell ref="G101:G105"/>
    <mergeCell ref="H101:H104"/>
    <mergeCell ref="I101:I104"/>
    <mergeCell ref="J101:J104"/>
    <mergeCell ref="K13:K16"/>
    <mergeCell ref="G18:G22"/>
    <mergeCell ref="K18:K21"/>
    <mergeCell ref="L111:L113"/>
    <mergeCell ref="Q106:Q107"/>
    <mergeCell ref="R106:R107"/>
    <mergeCell ref="S106:S107"/>
    <mergeCell ref="K106:K109"/>
    <mergeCell ref="K101:K104"/>
    <mergeCell ref="N106:N108"/>
    <mergeCell ref="O106:O108"/>
    <mergeCell ref="P106:P107"/>
    <mergeCell ref="S111:S112"/>
    <mergeCell ref="N111:N113"/>
    <mergeCell ref="O111:O113"/>
    <mergeCell ref="P111:P112"/>
    <mergeCell ref="Q111:Q112"/>
    <mergeCell ref="R111:R112"/>
    <mergeCell ref="L106:L108"/>
    <mergeCell ref="N101:N103"/>
    <mergeCell ref="O101:O103"/>
    <mergeCell ref="P101:P102"/>
    <mergeCell ref="Q101:Q102"/>
    <mergeCell ref="R101:R102"/>
    <mergeCell ref="S101:S102"/>
    <mergeCell ref="M106:M108"/>
    <mergeCell ref="M116:M118"/>
    <mergeCell ref="N116:N118"/>
    <mergeCell ref="O116:O118"/>
    <mergeCell ref="P116:P117"/>
    <mergeCell ref="Q116:Q117"/>
    <mergeCell ref="R116:R117"/>
    <mergeCell ref="S116:S117"/>
    <mergeCell ref="D111:D115"/>
    <mergeCell ref="E111:E115"/>
    <mergeCell ref="M111:M113"/>
    <mergeCell ref="D116:D120"/>
    <mergeCell ref="E116:E120"/>
    <mergeCell ref="F116:F120"/>
    <mergeCell ref="G116:G120"/>
    <mergeCell ref="H116:H119"/>
    <mergeCell ref="I116:I119"/>
    <mergeCell ref="J116:J119"/>
    <mergeCell ref="K116:K119"/>
    <mergeCell ref="L116:L118"/>
    <mergeCell ref="F111:F115"/>
    <mergeCell ref="G111:G115"/>
    <mergeCell ref="H111:H114"/>
    <mergeCell ref="I111:I114"/>
    <mergeCell ref="J111:J114"/>
    <mergeCell ref="S85:S86"/>
    <mergeCell ref="E80:E84"/>
    <mergeCell ref="F80:F84"/>
    <mergeCell ref="G80:G84"/>
    <mergeCell ref="H80:H83"/>
    <mergeCell ref="I80:I83"/>
    <mergeCell ref="J80:J83"/>
    <mergeCell ref="K80:K83"/>
    <mergeCell ref="L80:L82"/>
    <mergeCell ref="D80:D84"/>
    <mergeCell ref="M121:M123"/>
    <mergeCell ref="M80:M82"/>
    <mergeCell ref="N80:N82"/>
    <mergeCell ref="O80:O82"/>
    <mergeCell ref="P80:P81"/>
    <mergeCell ref="Q80:Q81"/>
    <mergeCell ref="R80:R81"/>
    <mergeCell ref="S80:S81"/>
    <mergeCell ref="D85:D89"/>
    <mergeCell ref="E85:E89"/>
    <mergeCell ref="F85:F89"/>
    <mergeCell ref="G85:G89"/>
    <mergeCell ref="H85:H88"/>
    <mergeCell ref="I85:I88"/>
    <mergeCell ref="J85:J88"/>
    <mergeCell ref="K85:K88"/>
    <mergeCell ref="L85:L87"/>
    <mergeCell ref="M85:M87"/>
    <mergeCell ref="N85:N87"/>
    <mergeCell ref="O85:O87"/>
    <mergeCell ref="P85:P86"/>
    <mergeCell ref="Q85:Q86"/>
    <mergeCell ref="R85:R86"/>
    <mergeCell ref="O33:O35"/>
    <mergeCell ref="S33:S34"/>
    <mergeCell ref="P33:P34"/>
    <mergeCell ref="Q33:Q34"/>
    <mergeCell ref="R33:R34"/>
    <mergeCell ref="K33:K51"/>
    <mergeCell ref="M33:M35"/>
    <mergeCell ref="L33:L35"/>
    <mergeCell ref="N33:N35"/>
    <mergeCell ref="J33:J51"/>
    <mergeCell ref="H33:H51"/>
    <mergeCell ref="I33:I51"/>
    <mergeCell ref="H52:H58"/>
    <mergeCell ref="I52:I58"/>
    <mergeCell ref="J52:J58"/>
    <mergeCell ref="K52:K58"/>
    <mergeCell ref="L52:L54"/>
    <mergeCell ref="M52:M54"/>
    <mergeCell ref="N52:N54"/>
    <mergeCell ref="S52:S53"/>
    <mergeCell ref="O52:O54"/>
    <mergeCell ref="P52:P53"/>
    <mergeCell ref="Q52:Q53"/>
    <mergeCell ref="R52:R53"/>
    <mergeCell ref="L55:L57"/>
    <mergeCell ref="M55:M57"/>
    <mergeCell ref="N55:N57"/>
    <mergeCell ref="O55:O57"/>
    <mergeCell ref="S55:S56"/>
    <mergeCell ref="P55:P56"/>
    <mergeCell ref="Q55:Q56"/>
    <mergeCell ref="R55:R56"/>
    <mergeCell ref="L36:L38"/>
    <mergeCell ref="M36:M38"/>
    <mergeCell ref="N36:N38"/>
    <mergeCell ref="O36:O38"/>
    <mergeCell ref="S36:S37"/>
    <mergeCell ref="P36:P37"/>
    <mergeCell ref="Q36:Q37"/>
    <mergeCell ref="R36:R37"/>
    <mergeCell ref="L39:L41"/>
    <mergeCell ref="M39:M41"/>
    <mergeCell ref="N39:N41"/>
    <mergeCell ref="O39:O41"/>
    <mergeCell ref="S39:S40"/>
    <mergeCell ref="P39:P40"/>
    <mergeCell ref="Q39:Q40"/>
    <mergeCell ref="R39:R40"/>
    <mergeCell ref="L42:L44"/>
    <mergeCell ref="M42:M44"/>
    <mergeCell ref="N42:N44"/>
    <mergeCell ref="O42:O44"/>
    <mergeCell ref="S42:S43"/>
    <mergeCell ref="P42:P43"/>
    <mergeCell ref="Q42:Q43"/>
    <mergeCell ref="R42:R43"/>
    <mergeCell ref="L45:L47"/>
    <mergeCell ref="M45:M47"/>
    <mergeCell ref="N45:N47"/>
    <mergeCell ref="O45:O47"/>
    <mergeCell ref="S45:S46"/>
    <mergeCell ref="P45:P46"/>
    <mergeCell ref="Q45:Q46"/>
    <mergeCell ref="R45:R46"/>
    <mergeCell ref="L48:L50"/>
    <mergeCell ref="M48:M50"/>
    <mergeCell ref="N48:N50"/>
    <mergeCell ref="O48:O50"/>
    <mergeCell ref="S48:S49"/>
    <mergeCell ref="P48:P49"/>
    <mergeCell ref="Q48:Q49"/>
    <mergeCell ref="R48:R49"/>
    <mergeCell ref="N28:N30"/>
    <mergeCell ref="I28:I31"/>
    <mergeCell ref="L28:L30"/>
    <mergeCell ref="Q28:Q29"/>
    <mergeCell ref="R28:R29"/>
    <mergeCell ref="S28:S29"/>
    <mergeCell ref="P28:P29"/>
    <mergeCell ref="H28:H31"/>
    <mergeCell ref="J28:J31"/>
    <mergeCell ref="K28:K31"/>
    <mergeCell ref="M28:M30"/>
    <mergeCell ref="O28:O30"/>
  </mergeCells>
  <dataValidations count="17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 allowBlank="1" showInputMessage="1" showErrorMessage="1" prompt="Выберите виды деятельности, выполнив двойной щелчок левой кнопки мыши по ячейке." sqref="G50"/>
    <dataValidation allowBlank="1" showInputMessage="1" showErrorMessage="1" prompt="Для выбора выполните двойной щелчок левой клавиши мыши по соответствующей ячейке." sqref="F50"/>
    <dataValidation allowBlank="1" showInputMessage="1" showErrorMessage="1" prompt="Для выбора выполните двойной щелчок левой клавиши мыши по соответствующей ячейке." sqref="S49"/>
    <dataValidation type="textLength" operator="lessThanOrEqual" allowBlank="1" showInputMessage="1" showErrorMessage="1" errorTitle="Ошибка" error="Допускается ввод не более 900 символов!" sqref="R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type="textLength" operator="lessThanOrEqual" allowBlank="1" showInputMessage="1" showErrorMessage="1" errorTitle="Ошибка" error="Допускается ввод не более 900 символов!" sqref="J49">
      <formula1>900</formula1>
    </dataValidation>
    <dataValidation allowBlank="1" showInputMessage="1" showErrorMessage="1" prompt="Выберите виды деятельности, выполнив двойной щелчок левой кнопки мыши по ячейке." sqref="G49"/>
    <dataValidation allowBlank="1" showInputMessage="1" showErrorMessage="1" prompt="Для выбора выполните двойной щелчок левой клавиши мыши по соответствующей ячейке." sqref="F49"/>
    <dataValidation type="textLength" operator="lessThanOrEqual" allowBlank="1" showInputMessage="1" showErrorMessage="1" errorTitle="Ошибка" error="Допускается ввод не более 900 символов!" sqref="W48">
      <formula1>900</formula1>
    </dataValidation>
    <dataValidation type="textLength" operator="lessThanOrEqual" allowBlank="1" showInputMessage="1" showErrorMessage="1" errorTitle="Ошибка" error="Допускается ввод не более 900 символов!" sqref="V48">
      <formula1>900</formula1>
    </dataValidation>
    <dataValidation allowBlank="1" showInputMessage="1" showErrorMessage="1" prompt="Для выбора выполните двойной щелчок левой клавиши мыши по соответствующей ячейке." sqref="S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Для выбора выполните двойной щелчок левой клавиши мыши по соответствующей ячейке." sqref="O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Для выбора выполните двойной щелчок левой клавиши мыши по соответствующей ячейке." sqref="K48"/>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Выберите виды деятельности, выполнив двойной щелчок левой кнопки мыши по ячейке." sqref="G48"/>
    <dataValidation allowBlank="1" showInputMessage="1" showErrorMessage="1" prompt="Для выбора выполните двойной щелчок левой клавиши мыши по соответствующей ячейке." sqref="F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allowBlank="1" showInputMessage="1" showErrorMessage="1" prompt="Выберите виды деятельности, выполнив двойной щелчок левой кнопки мыши по ячейке." sqref="G47"/>
    <dataValidation allowBlank="1" showInputMessage="1" showErrorMessage="1" prompt="Для выбора выполните двойной щелчок левой клавиши мыши по соответствующей ячейке." sqref="F47"/>
    <dataValidation allowBlank="1" showInputMessage="1" showErrorMessage="1" prompt="Для выбора выполните двойной щелчок левой клавиши мыши по соответствующей ячейке." sqref="S46"/>
    <dataValidation type="textLength" operator="lessThanOrEqual" allowBlank="1" showInputMessage="1" showErrorMessage="1" errorTitle="Ошибка" error="Допускается ввод не более 900 символов!" sqref="R4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type="textLength" operator="lessThanOrEqual" allowBlank="1" showInputMessage="1" showErrorMessage="1" errorTitle="Ошибка" error="Допускается ввод не более 900 символов!" sqref="J46">
      <formula1>900</formula1>
    </dataValidation>
    <dataValidation allowBlank="1" showInputMessage="1" showErrorMessage="1" prompt="Выберите виды деятельности, выполнив двойной щелчок левой кнопки мыши по ячейке." sqref="G46"/>
    <dataValidation allowBlank="1" showInputMessage="1" showErrorMessage="1" prompt="Для выбора выполните двойной щелчок левой клавиши мыши по соответствующей ячейке." sqref="F46"/>
    <dataValidation type="textLength" operator="lessThanOrEqual" allowBlank="1" showInputMessage="1" showErrorMessage="1" errorTitle="Ошибка" error="Допускается ввод не более 900 символов!" sqref="W45">
      <formula1>900</formula1>
    </dataValidation>
    <dataValidation type="textLength" operator="lessThanOrEqual" allowBlank="1" showInputMessage="1" showErrorMessage="1" errorTitle="Ошибка" error="Допускается ввод не более 900 символов!" sqref="V45">
      <formula1>900</formula1>
    </dataValidation>
    <dataValidation allowBlank="1" showInputMessage="1" showErrorMessage="1" prompt="Для выбора выполните двойной щелчок левой клавиши мыши по соответствующей ячейке." sqref="S45"/>
    <dataValidation type="textLength" operator="lessThanOrEqual" allowBlank="1" showInputMessage="1" showErrorMessage="1" errorTitle="Ошибка" error="Допускается ввод не более 900 символов!" sqref="R45">
      <formula1>900</formula1>
    </dataValidation>
    <dataValidation allowBlank="1" showInputMessage="1" showErrorMessage="1" prompt="Для выбора выполните двойной щелчок левой клавиши мыши по соответствующей ячейке." sqref="O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dataValidation allowBlank="1" showInputMessage="1" showErrorMessage="1" prompt="Для выбора выполните двойной щелчок левой клавиши мыши по соответствующей ячейке." sqref="K45"/>
    <dataValidation type="textLength" operator="lessThanOrEqual" allowBlank="1" showInputMessage="1" showErrorMessage="1" errorTitle="Ошибка" error="Допускается ввод не более 900 символов!" sqref="J45">
      <formula1>900</formula1>
    </dataValidation>
    <dataValidation allowBlank="1" showInputMessage="1" showErrorMessage="1" prompt="Выберите виды деятельности, выполнив двойной щелчок левой кнопки мыши по ячейке." sqref="G45"/>
    <dataValidation allowBlank="1" showInputMessage="1" showErrorMessage="1" prompt="Для выбора выполните двойной щелчок левой клавиши мыши по соответствующей ячейке." sqref="F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allowBlank="1" showInputMessage="1" showErrorMessage="1" prompt="Выберите виды деятельности, выполнив двойной щелчок левой кнопки мыши по ячейке." sqref="G44"/>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Для выбора выполните двойной щелчок левой клавиши мыши по соответствующей ячейке." sqref="S43"/>
    <dataValidation type="textLength" operator="lessThanOrEqual" allowBlank="1" showInputMessage="1" showErrorMessage="1" errorTitle="Ошибка" error="Допускается ввод не более 900 символов!" sqref="R4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type="textLength" operator="lessThanOrEqual" allowBlank="1" showInputMessage="1" showErrorMessage="1" errorTitle="Ошибка" error="Допускается ввод не более 900 символов!" sqref="J43">
      <formula1>900</formula1>
    </dataValidation>
    <dataValidation allowBlank="1" showInputMessage="1" showErrorMessage="1" prompt="Выберите виды деятельности, выполнив двойной щелчок левой кнопки мыши по ячейке." sqref="G43"/>
    <dataValidation allowBlank="1" showInputMessage="1" showErrorMessage="1" prompt="Для выбора выполните двойной щелчок левой клавиши мыши по соответствующей ячейке." sqref="F43"/>
    <dataValidation type="textLength" operator="lessThanOrEqual" allowBlank="1" showInputMessage="1" showErrorMessage="1" errorTitle="Ошибка" error="Допускается ввод не более 900 символов!" sqref="W42">
      <formula1>900</formula1>
    </dataValidation>
    <dataValidation type="textLength" operator="lessThanOrEqual" allowBlank="1" showInputMessage="1" showErrorMessage="1" errorTitle="Ошибка" error="Допускается ввод не более 900 символов!" sqref="V42">
      <formula1>900</formula1>
    </dataValidation>
    <dataValidation allowBlank="1" showInputMessage="1" showErrorMessage="1" prompt="Для выбора выполните двойной щелчок левой клавиши мыши по соответствующей ячейке." sqref="S42"/>
    <dataValidation type="textLength" operator="lessThanOrEqual" allowBlank="1" showInputMessage="1" showErrorMessage="1" errorTitle="Ошибка" error="Допускается ввод не более 900 символов!" sqref="R42">
      <formula1>900</formula1>
    </dataValidation>
    <dataValidation allowBlank="1" showInputMessage="1" showErrorMessage="1" prompt="Для выбора выполните двойной щелчок левой клавиши мыши по соответствующей ячейке." sqref="O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allowBlank="1" showInputMessage="1" showErrorMessage="1" prompt="Для выбора выполните двойной щелчок левой клавиши мыши по соответствующей ячейке." sqref="K42"/>
    <dataValidation type="textLength" operator="lessThanOrEqual" allowBlank="1" showInputMessage="1" showErrorMessage="1" errorTitle="Ошибка" error="Допускается ввод не более 900 символов!" sqref="J42">
      <formula1>900</formula1>
    </dataValidation>
    <dataValidation allowBlank="1" showInputMessage="1" showErrorMessage="1" prompt="Выберите виды деятельности, выполнив двойной щелчок левой кнопки мыши по ячейке." sqref="G42"/>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1"/>
    <dataValidation allowBlank="1" showInputMessage="1" showErrorMessage="1" prompt="Выберите виды деятельности, выполнив двойной щелчок левой кнопки мыши по ячейке." sqref="G41"/>
    <dataValidation allowBlank="1" showInputMessage="1" showErrorMessage="1" prompt="Для выбора выполните двойной щелчок левой клавиши мыши по соответствующей ячейке." sqref="F41"/>
    <dataValidation allowBlank="1" showInputMessage="1" showErrorMessage="1" prompt="Для выбора выполните двойной щелчок левой клавиши мыши по соответствующей ячейке." sqref="S40"/>
    <dataValidation type="textLength" operator="lessThanOrEqual" allowBlank="1" showInputMessage="1" showErrorMessage="1" errorTitle="Ошибка" error="Допускается ввод не более 900 символов!" sqref="R4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type="textLength" operator="lessThanOrEqual" allowBlank="1" showInputMessage="1" showErrorMessage="1" errorTitle="Ошибка" error="Допускается ввод не более 900 символов!" sqref="J40">
      <formula1>900</formula1>
    </dataValidation>
    <dataValidation allowBlank="1" showInputMessage="1" showErrorMessage="1" prompt="Выберите виды деятельности, выполнив двойной щелчок левой кнопки мыши по ячейке." sqref="G40"/>
    <dataValidation allowBlank="1" showInputMessage="1" showErrorMessage="1" prompt="Для выбора выполните двойной щелчок левой клавиши мыши по соответствующей ячейке." sqref="F40"/>
    <dataValidation type="textLength" operator="lessThanOrEqual" allowBlank="1" showInputMessage="1" showErrorMessage="1" errorTitle="Ошибка" error="Допускается ввод не более 900 символов!" sqref="W39">
      <formula1>900</formula1>
    </dataValidation>
    <dataValidation type="textLength" operator="lessThanOrEqual" allowBlank="1" showInputMessage="1" showErrorMessage="1" errorTitle="Ошибка" error="Допускается ввод не более 900 символов!" sqref="V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O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allowBlank="1" showInputMessage="1" showErrorMessage="1" prompt="Для выбора выполните двойной щелчок левой клавиши мыши по соответствующей ячейке." sqref="K39"/>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Выберите виды деятельности, выполнив двойной щелчок левой кнопки мыши по ячейке." sqref="G39"/>
    <dataValidation allowBlank="1" showInputMessage="1" showErrorMessage="1" prompt="Для выбора выполните двойной щелчок левой клавиши мыши по соответствующей ячейке." sqref="F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Выберите виды деятельности, выполнив двойной щелчок левой кнопки мыши по ячейке." sqref="G38"/>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Для выбора выполните двойной щелчок левой клавиши мыши по соответствующей ячейке." sqref="S37"/>
    <dataValidation type="textLength" operator="lessThanOrEqual" allowBlank="1" showInputMessage="1" showErrorMessage="1" errorTitle="Ошибка" error="Допускается ввод не более 900 символов!" sqref="R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
    <dataValidation type="textLength" operator="lessThanOrEqual" allowBlank="1" showInputMessage="1" showErrorMessage="1" errorTitle="Ошибка" error="Допускается ввод не более 900 символов!" sqref="J37">
      <formula1>900</formula1>
    </dataValidation>
    <dataValidation allowBlank="1" showInputMessage="1" showErrorMessage="1" prompt="Выберите виды деятельности, выполнив двойной щелчок левой кнопки мыши по ячейке." sqref="G37"/>
    <dataValidation allowBlank="1" showInputMessage="1" showErrorMessage="1" prompt="Для выбора выполните двойной щелчок левой клавиши мыши по соответствующей ячейке." sqref="F37"/>
    <dataValidation type="textLength" operator="lessThanOrEqual" allowBlank="1" showInputMessage="1" showErrorMessage="1" errorTitle="Ошибка" error="Допускается ввод не более 900 символов!" sqref="W36">
      <formula1>900</formula1>
    </dataValidation>
    <dataValidation type="textLength" operator="lessThanOrEqual" allowBlank="1" showInputMessage="1" showErrorMessage="1" errorTitle="Ошибка" error="Допускается ввод не более 900 символов!" sqref="V36">
      <formula1>900</formula1>
    </dataValidation>
    <dataValidation allowBlank="1" showInputMessage="1" showErrorMessage="1" prompt="Для выбора выполните двойной щелчок левой клавиши мыши по соответствующей ячейке." sqref="S36"/>
    <dataValidation type="textLength" operator="lessThanOrEqual" allowBlank="1" showInputMessage="1" showErrorMessage="1" errorTitle="Ошибка" error="Допускается ввод не более 900 символов!" sqref="R36">
      <formula1>900</formula1>
    </dataValidation>
    <dataValidation allowBlank="1" showInputMessage="1" showErrorMessage="1" prompt="Для выбора выполните двойной щелчок левой клавиши мыши по соответствующей ячейке." sqref="O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allowBlank="1" showInputMessage="1" showErrorMessage="1" prompt="Для выбора выполните двойной щелчок левой клавиши мыши по соответствующей ячейке." sqref="K36"/>
    <dataValidation type="textLength" operator="lessThanOrEqual" allowBlank="1" showInputMessage="1" showErrorMessage="1" errorTitle="Ошибка" error="Допускается ввод не более 900 символов!" sqref="J36">
      <formula1>900</formula1>
    </dataValidation>
    <dataValidation allowBlank="1" showInputMessage="1" showErrorMessage="1" prompt="Выберите виды деятельности, выполнив двойной щелчок левой кнопки мыши по ячейке." sqref="G36"/>
    <dataValidation allowBlank="1" showInputMessage="1" showErrorMessage="1" prompt="Для выбора выполните двойной щелчок левой клавиши мыши по соответствующей ячейке." sqref="F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7"/>
    <dataValidation allowBlank="1" showInputMessage="1" showErrorMessage="1" prompt="Выберите виды деятельности, выполнив двойной щелчок левой кнопки мыши по ячейке." sqref="G57"/>
    <dataValidation allowBlank="1" showInputMessage="1" showErrorMessage="1" prompt="Для выбора выполните двойной щелчок левой клавиши мыши по соответствующей ячейке." sqref="F57"/>
    <dataValidation allowBlank="1" showInputMessage="1" showErrorMessage="1" prompt="Для выбора выполните двойной щелчок левой клавиши мыши по соответствующей ячейке." sqref="S56"/>
    <dataValidation type="textLength" operator="lessThanOrEqual" allowBlank="1" showInputMessage="1" showErrorMessage="1" errorTitle="Ошибка" error="Допускается ввод не более 900 символов!" sqref="R5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6"/>
    <dataValidation type="textLength" operator="lessThanOrEqual" allowBlank="1" showInputMessage="1" showErrorMessage="1" errorTitle="Ошибка" error="Допускается ввод не более 900 символов!" sqref="J56">
      <formula1>900</formula1>
    </dataValidation>
    <dataValidation allowBlank="1" showInputMessage="1" showErrorMessage="1" prompt="Выберите виды деятельности, выполнив двойной щелчок левой кнопки мыши по ячейке." sqref="G56"/>
    <dataValidation allowBlank="1" showInputMessage="1" showErrorMessage="1" prompt="Для выбора выполните двойной щелчок левой клавиши мыши по соответствующей ячейке." sqref="F56"/>
    <dataValidation type="textLength" operator="lessThanOrEqual" allowBlank="1" showInputMessage="1" showErrorMessage="1" errorTitle="Ошибка" error="Допускается ввод не более 900 символов!" sqref="W55">
      <formula1>900</formula1>
    </dataValidation>
    <dataValidation type="textLength" operator="lessThanOrEqual" allowBlank="1" showInputMessage="1" showErrorMessage="1" errorTitle="Ошибка" error="Допускается ввод не более 900 символов!" sqref="V55">
      <formula1>900</formula1>
    </dataValidation>
    <dataValidation allowBlank="1" showInputMessage="1" showErrorMessage="1" prompt="Для выбора выполните двойной щелчок левой клавиши мыши по соответствующей ячейке." sqref="S55"/>
    <dataValidation type="textLength" operator="lessThanOrEqual" allowBlank="1" showInputMessage="1" showErrorMessage="1" errorTitle="Ошибка" error="Допускается ввод не более 900 символов!" sqref="R55">
      <formula1>900</formula1>
    </dataValidation>
    <dataValidation allowBlank="1" showInputMessage="1" showErrorMessage="1" prompt="Для выбора выполните двойной щелчок левой клавиши мыши по соответствующей ячейке." sqref="O5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5"/>
    <dataValidation allowBlank="1" showInputMessage="1" showErrorMessage="1" prompt="Для выбора выполните двойной щелчок левой клавиши мыши по соответствующей ячейке." sqref="K55"/>
    <dataValidation type="textLength" operator="lessThanOrEqual" allowBlank="1" showInputMessage="1" showErrorMessage="1" errorTitle="Ошибка" error="Допускается ввод не более 900 символов!" sqref="J55">
      <formula1>900</formula1>
    </dataValidation>
    <dataValidation allowBlank="1" showInputMessage="1" showErrorMessage="1" prompt="Выберите виды деятельности, выполнив двойной щелчок левой кнопки мыши по ячейке." sqref="G55"/>
    <dataValidation allowBlank="1" showInputMessage="1" showErrorMessage="1" prompt="Для выбора выполните двойной щелчок левой клавиши мыши по соответствующей ячейке." sqref="F55"/>
    <dataValidation allowBlank="1" showInputMessage="1" showErrorMessage="1" prompt="Выберите виды деятельности, выполнив двойной щелчок левой кнопки мыши по ячейке." sqref="G58"/>
    <dataValidation allowBlank="1" showInputMessage="1" showErrorMessage="1" prompt="Для выбора выполните двойной щелчок левой клавиши мыши по соответствующей ячейке." sqref="F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4"/>
    <dataValidation allowBlank="1" showInputMessage="1" showErrorMessage="1" prompt="Выберите виды деятельности, выполнив двойной щелчок левой кнопки мыши по ячейке." sqref="G54"/>
    <dataValidation allowBlank="1" showInputMessage="1" showErrorMessage="1" prompt="Для выбора выполните двойной щелчок левой клавиши мыши по соответствующей ячейке." sqref="F54"/>
    <dataValidation allowBlank="1" showInputMessage="1" showErrorMessage="1" prompt="Для выбора выполните двойной щелчок левой клавиши мыши по соответствующей ячейке." sqref="S53"/>
    <dataValidation type="textLength" operator="lessThanOrEqual" allowBlank="1" showInputMessage="1" showErrorMessage="1" errorTitle="Ошибка" error="Допускается ввод не более 900 символов!" sqref="R5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3"/>
    <dataValidation type="textLength" operator="lessThanOrEqual" allowBlank="1" showInputMessage="1" showErrorMessage="1" errorTitle="Ошибка" error="Допускается ввод не более 900 символов!" sqref="J53">
      <formula1>900</formula1>
    </dataValidation>
    <dataValidation allowBlank="1" showInputMessage="1" showErrorMessage="1" prompt="Выберите виды деятельности, выполнив двойной щелчок левой кнопки мыши по ячейке." sqref="G53"/>
    <dataValidation allowBlank="1" showInputMessage="1" showErrorMessage="1" prompt="Для выбора выполните двойной щелчок левой клавиши мыши по соответствующей ячейке." sqref="F53"/>
    <dataValidation type="textLength" operator="lessThanOrEqual" allowBlank="1" showInputMessage="1" showErrorMessage="1" errorTitle="Ошибка" error="Допускается ввод не более 900 символов!" sqref="W52">
      <formula1>900</formula1>
    </dataValidation>
    <dataValidation type="textLength" operator="lessThanOrEqual" allowBlank="1" showInputMessage="1" showErrorMessage="1" errorTitle="Ошибка" error="Допускается ввод не более 900 символов!" sqref="V52">
      <formula1>900</formula1>
    </dataValidation>
    <dataValidation allowBlank="1" showInputMessage="1" showErrorMessage="1" prompt="Для выбора выполните двойной щелчок левой клавиши мыши по соответствующей ячейке." sqref="S52"/>
    <dataValidation type="textLength" operator="lessThanOrEqual" allowBlank="1" showInputMessage="1" showErrorMessage="1" errorTitle="Ошибка" error="Допускается ввод не более 900 символов!" sqref="R52">
      <formula1>900</formula1>
    </dataValidation>
    <dataValidation allowBlank="1" showInputMessage="1" showErrorMessage="1" prompt="Для выбора выполните двойной щелчок левой клавиши мыши по соответствующей ячейке." sqref="O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2"/>
    <dataValidation allowBlank="1" showInputMessage="1" showErrorMessage="1" prompt="Для выбора выполните двойной щелчок левой клавиши мыши по соответствующей ячейке." sqref="K52"/>
    <dataValidation type="textLength" operator="lessThanOrEqual" allowBlank="1" showInputMessage="1" showErrorMessage="1" errorTitle="Ошибка" error="Допускается ввод не более 900 символов!" sqref="J52">
      <formula1>900</formula1>
    </dataValidation>
    <dataValidation allowBlank="1" showInputMessage="1" showErrorMessage="1" prompt="Выберите виды деятельности, выполнив двойной щелчок левой кнопки мыши по ячейке." sqref="G52"/>
    <dataValidation allowBlank="1" showInputMessage="1" showErrorMessage="1" prompt="Для выбора выполните двойной щелчок левой клавиши мыши по соответствующей ячейке." sqref="F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allowBlank="1" showInputMessage="1" showErrorMessage="1" prompt="Для выбора выполните двойной щелчок левой клавиши мыши по соответствующей ячейке." sqref="S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type="textLength" operator="lessThanOrEqual" allowBlank="1" showInputMessage="1" showErrorMessage="1" errorTitle="Ошибка" error="Допускается ввод не более 900 символов!" sqref="J34">
      <formula1>900</formula1>
    </dataValidation>
    <dataValidation type="textLength" operator="lessThanOrEqual" allowBlank="1" showInputMessage="1" showErrorMessage="1" errorTitle="Ошибка" error="Допускается ввод не более 900 символов!" sqref="W33">
      <formula1>900</formula1>
    </dataValidation>
    <dataValidation type="textLength" operator="lessThanOrEqual" allowBlank="1" showInputMessage="1" showErrorMessage="1" errorTitle="Ошибка" error="Допускается ввод не более 900 символов!" sqref="V33">
      <formula1>900</formula1>
    </dataValidation>
    <dataValidation allowBlank="1" showInputMessage="1" showErrorMessage="1" prompt="Для выбора выполните двойной щелчок левой клавиши мыши по соответствующей ячейке." sqref="S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Для выбора выполните двойной щелчок левой клавиши мыши по соответствующей ячейке." sqref="O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K33"/>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Для выбора выполните двойной щелчок левой клавиши мыши по соответствующей ячейке." sqref="K60:K61 K13:K14 K70:K71 O70:O71 S70:S71 K18:K19 K65:K66 O60:O61 O18:O19 O65:O66 S60:S61 S18:S19 S65:S66 O13:O14 S13:S14 K101:K102 O101:O102 S101:S102 K106:K107 O106:O107 S106:S107 K116:K117 O116:O117 S116:S117 K111:K112 O111:O112 S75:S76 S111:S112 K75:K76 O75:O76 O153:O154 O127:O128 S127:S128 O132:O133 S132:S133 K127:K128 K132:K133 S121:S122 K148:K149 O148:O149 K143:K144 O143:O144 S148:S149 O137:O138 S143:S144 O80:O81 S80:S81 K80:K81 K85:K86 O85:O86 S85:S86 F101:F125 K121:K122 O121:O122 F127:F141 S137:S138 K137:K138 F143:F157 S153:S154 K153:K154 F13:F30 F32:F35 F51 F59:F89 K23:K24 O23:O24 S23:S24"/>
    <dataValidation type="textLength" operator="lessThanOrEqual" allowBlank="1" showInputMessage="1" showErrorMessage="1" errorTitle="Ошибка" error="Допускается ввод не более 900 символов!" sqref="J60:J61 J13:J14 J70:J71 R70:R71 V70:W70 J18:J19 J65:J66 R60:R61 R13:R14 R18:R19 R65:R66 V60:W60 V13:W13 V18:W18 V65:W65 J101:J102 R101:R102 V101:W101 J106:J107 R106:R107 V106:W106 J116:J117 R116:R117 V116:W116 J111:J112 R111:R112 V111:W111 J75:J76 R75:R76 V75:W75 J127:J128 R127:R128 V127:W127 J132:J133 R132:R133 V132:W132 J148:J149 R148:R149 V148:W148 J143:J144 R143:R144 V143:W143 J80:J81 R80:R81 V80:W80 J85:J86 R85:R86 V85:W85 J121:J122 R121:R122 V121:W121 J137:J138 R137:R138 V137:W137 J153:J154 R153:R154 V153:W153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0:N72 N18:N20 N65:N67 N60:N62 N13:N15 N101:N103 N116:N118 N106:N108 N111:N113 N75:N77 N127:N129 N132:N134 N148:N150 N143:N145 N80:N82 N85:N87 N121:N123 N137:N139 N153:N155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27:G141 G143:G157 G101:G125 G13:G30 G32:G35 G51 G59:G89"/>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Для выбора выполните двойной щелчок левой клавиши мыши по соответствующей ячейке." sqref="F31"/>
    <dataValidation allowBlank="1" showInputMessage="1" showErrorMessage="1" prompt="Выберите виды деятельности, выполнив двойной щелчок левой кнопки мыши по ячейке." sqref="G31"/>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Для выбора выполните двойной щелчок левой клавиши мыши по соответствующей ячейке." sqref="K2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formula1>DESCRIPTION_TERRITORY</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D40A74-44DE-5672-9BDB-17C76A282C6D}" mc:Ignorable="x14ac xr xr2 xr3">
  <sheetPr>
    <tabColor theme="2" tint="-0.1"/>
  </sheetPr>
  <dimension ref="A1:V30"/>
  <sheetViews>
    <sheetView showGridLines="0" zoomScale="90" workbookViewId="0">
      <pane xSplit="8" ySplit="18" topLeftCell="I19" activePane="bottomRight" state="frozen"/>
      <selection pane="bottomLeft" activeCell="A19" sqref="A19"/>
      <selection pane="topRight" activeCell="I1" sqref="I1"/>
      <selection pane="bottomRight" activeCell="A1" sqref="A1"/>
    </sheetView>
  </sheetViews>
  <sheetFormatPr defaultColWidth="10.57421875" customHeight="1" defaultRowHeight="15"/>
  <cols>
    <col min="1" max="1" style="30505" width="9.140625" hidden="1" customWidth="1"/>
    <col min="2" max="2" style="30541" width="9.140625" hidden="1" customWidth="1"/>
    <col min="3" max="3" style="37788" width="4.00390625" customWidth="1"/>
    <col min="4" max="4" style="30541" width="6.00390625" customWidth="1"/>
    <col min="5" max="5" style="30541" width="47.00390625" customWidth="1"/>
    <col min="6" max="6" style="30541" width="9.00390625" customWidth="1"/>
    <col min="7" max="7" style="30541" width="25.7109375" hidden="1" customWidth="1"/>
    <col min="8" max="8" style="30541" width="34.00390625" hidden="1" customWidth="1"/>
    <col min="9" max="9" style="30541" width="25.7109375" customWidth="1"/>
    <col min="10" max="10" style="30541" width="33.00390625" customWidth="1"/>
    <col min="11" max="11" style="30620" width="50.00390625" customWidth="1"/>
    <col min="12" max="20" style="30541" width="10.00390625" customWidth="1"/>
    <col min="21" max="21" style="37789" width="10.00390625" customWidth="1"/>
    <col min="22" max="22" style="30541" width="10.57421875" hidden="1"/>
  </cols>
  <sheetData>
    <row s="30620" customFormat="1" customHeight="1" ht="22.5" hidden="1">
      <c r="C1" s="956"/>
      <c r="G1" s="701">
        <v>4</v>
      </c>
      <c r="I1" s="701">
        <v>4</v>
      </c>
      <c r="U1" s="704"/>
      <c r="V1" s="701" t="s">
        <v>14</v>
      </c>
    </row>
    <row s="30541" customFormat="1" customHeight="1" ht="15" hidden="1">
      <c r="A2" s="646"/>
      <c r="C2" s="460"/>
      <c r="D2" s="630"/>
      <c r="E2" s="957"/>
      <c r="F2" s="806"/>
      <c r="G2" s="900"/>
      <c r="H2" s="900"/>
      <c r="I2" s="900"/>
      <c r="J2" s="900"/>
      <c r="U2" s="958"/>
      <c r="V2" s="793">
        <v>0</v>
      </c>
    </row>
    <row s="30620" customFormat="1" customHeight="1" ht="15" hidden="1">
      <c r="C3" s="956"/>
      <c r="U3" s="704"/>
      <c r="V3" s="701">
        <v>0</v>
      </c>
    </row>
    <row customHeight="1" ht="15.75">
      <c r="C4" s="460"/>
      <c r="D4" s="793"/>
      <c r="E4" s="793"/>
      <c r="F4" s="793"/>
      <c r="G4" s="793"/>
      <c r="H4" s="793"/>
      <c r="I4" s="793"/>
      <c r="J4" s="793"/>
      <c r="V4" s="789">
        <v>15</v>
      </c>
    </row>
    <row customHeight="1" ht="66">
      <c r="C5" s="460"/>
      <c r="D5" s="2521" t="s">
        <v>1240</v>
      </c>
      <c r="E5" s="2521"/>
      <c r="F5" s="2521"/>
      <c r="G5" s="2521"/>
      <c r="H5" s="2521"/>
      <c r="I5" s="2521"/>
      <c r="J5" s="2521"/>
      <c r="V5" s="789">
        <v>63</v>
      </c>
    </row>
    <row customHeight="1" ht="15.75">
      <c r="C6" s="460"/>
      <c r="D6" s="2460" t="str">
        <f>IF(org=0,"Не определено",org)</f>
        <v>АО "ДГК"</v>
      </c>
      <c r="E6" s="2460"/>
      <c r="F6" s="2460"/>
      <c r="G6" s="2460"/>
      <c r="H6" s="2460"/>
      <c r="I6" s="2460"/>
      <c r="J6" s="2460"/>
      <c r="K6" s="821"/>
      <c r="V6" s="789">
        <v>15</v>
      </c>
    </row>
    <row customHeight="1" ht="15.75">
      <c r="C7" s="460"/>
      <c r="D7" s="1036"/>
      <c r="E7" s="793"/>
      <c r="F7" s="793"/>
      <c r="G7" s="821">
        <v>22</v>
      </c>
      <c r="I7" s="821">
        <v>1</v>
      </c>
      <c r="J7" s="1036"/>
      <c r="V7" s="789">
        <v>15</v>
      </c>
    </row>
    <row s="30541" customFormat="1" customHeight="1" ht="1.05">
      <c r="A8" s="1043"/>
      <c r="C8" s="460"/>
      <c r="D8" s="793"/>
      <c r="E8" s="793"/>
      <c r="F8" s="793"/>
      <c r="G8" s="821"/>
      <c r="H8" s="1036"/>
      <c r="I8" s="821" t="s">
        <v>147</v>
      </c>
      <c r="J8" s="1036"/>
      <c r="K8" s="701"/>
      <c r="U8" s="959"/>
      <c r="V8" s="1042">
        <v>1</v>
      </c>
    </row>
    <row customHeight="1" ht="15.75">
      <c r="C9" s="460"/>
      <c r="D9" s="995"/>
      <c r="E9" s="2651" t="s">
        <v>137</v>
      </c>
      <c r="F9" s="2652"/>
      <c r="G9" s="2679" t="str">
        <f>IF(G8="","",INDEX(DIFFERENTIATION_UNMERGE_VD,MATCH(G8,DIFFERENTIATION_ID_DIFF,0)))</f>
        <v/>
      </c>
      <c r="H9" s="2680"/>
      <c r="I9" s="2679">
        <f>IF(I8="","",INDEX(DIFFERENTIATION_UNMERGE_VD,MATCH(I8,DIFFERENTIATION_ID_DIFF,0)))</f>
        <v>0</v>
      </c>
      <c r="J9" s="2680"/>
      <c r="K9" s="2459" t="s">
        <v>361</v>
      </c>
      <c r="V9" s="789">
        <v>15</v>
      </c>
    </row>
    <row s="30541" customFormat="1" customHeight="1" ht="15.75">
      <c r="A10" s="1043"/>
      <c r="C10" s="460"/>
      <c r="D10" s="995"/>
      <c r="E10" s="2651" t="s">
        <v>636</v>
      </c>
      <c r="F10" s="2652"/>
      <c r="G10" s="2679" t="str">
        <f>IF(G8="","",INDEX(DIFFERENTIATION_UNMERGE_AREA,MATCH(G8,DIFFERENTIATION_ID_DIFF,0)))</f>
        <v/>
      </c>
      <c r="H10" s="2680"/>
      <c r="I10" s="2679" t="str">
        <f>IF(I8="","",INDEX(DIFFERENTIATION_UNMERGE_AREA,MATCH(I8,DIFFERENTIATION_ID_DIFF,0)))</f>
        <v/>
      </c>
      <c r="J10" s="2680"/>
      <c r="K10" s="2483"/>
      <c r="U10" s="959"/>
      <c r="V10" s="1042">
        <v>15</v>
      </c>
    </row>
    <row s="30541" customFormat="1" customHeight="1" ht="15.75">
      <c r="A11" s="1043"/>
      <c r="C11" s="460"/>
      <c r="D11" s="995"/>
      <c r="E11" s="2651" t="s">
        <v>637</v>
      </c>
      <c r="F11" s="2652"/>
      <c r="G11" s="2679" t="str">
        <f>IF(G8="","",INDEX(DIFFERENTIATION_UNMERGE_SYSTEM,MATCH(G8,DIFFERENTIATION_ID_DIFF,0)))</f>
        <v/>
      </c>
      <c r="H11" s="2680"/>
      <c r="I11" s="2679" t="str">
        <f>IF(I8="","",INDEX(DIFFERENTIATION_UNMERGE_SYSTEM,MATCH(I8,DIFFERENTIATION_ID_DIFF,0)))</f>
        <v>без дифференциации</v>
      </c>
      <c r="J11" s="2680"/>
      <c r="K11" s="2483"/>
      <c r="U11" s="959"/>
      <c r="V11" s="1042">
        <v>15</v>
      </c>
    </row>
    <row s="30541" customFormat="1" customHeight="1" ht="15.75">
      <c r="A12" s="1043"/>
      <c r="C12" s="460"/>
      <c r="D12" s="2653" t="s">
        <v>360</v>
      </c>
      <c r="E12" s="2654"/>
      <c r="F12" s="2654"/>
      <c r="G12" s="1171"/>
      <c r="H12" s="1171"/>
      <c r="I12" s="1171"/>
      <c r="J12" s="1171"/>
      <c r="K12" s="2483"/>
      <c r="U12" s="959"/>
      <c r="V12" s="1042">
        <v>15</v>
      </c>
    </row>
    <row customHeight="1" ht="35.699999999999996">
      <c r="C13" s="460"/>
      <c r="D13" s="1089" t="s">
        <v>91</v>
      </c>
      <c r="E13" s="1091" t="s">
        <v>362</v>
      </c>
      <c r="F13" s="1091" t="s">
        <v>638</v>
      </c>
      <c r="G13" s="1092" t="s">
        <v>363</v>
      </c>
      <c r="H13" s="1091" t="s">
        <v>450</v>
      </c>
      <c r="I13" s="1092" t="s">
        <v>363</v>
      </c>
      <c r="J13" s="1091" t="s">
        <v>450</v>
      </c>
      <c r="K13" s="2516"/>
      <c r="V13" s="789">
        <v>34</v>
      </c>
    </row>
    <row customHeight="1" ht="15" hidden="1">
      <c r="C14" s="460"/>
      <c r="D14" s="877" t="s">
        <v>141</v>
      </c>
      <c r="E14" s="877" t="s">
        <v>105</v>
      </c>
      <c r="F14" s="877" t="s">
        <v>93</v>
      </c>
      <c r="G14" s="943" t="str">
        <f>G1&amp;".1"</f>
        <v>4.1</v>
      </c>
      <c r="H14" s="943"/>
      <c r="I14" s="943" t="str">
        <f>I1&amp;".1"</f>
        <v>4.1</v>
      </c>
      <c r="J14" s="943"/>
      <c r="K14" s="573"/>
      <c r="V14" s="789">
        <v>0</v>
      </c>
    </row>
    <row customHeight="1" ht="22.5" hidden="1">
      <c r="A15" s="789"/>
      <c r="C15" s="810"/>
      <c r="D15" s="805">
        <v>1</v>
      </c>
      <c r="E15" s="961" t="s">
        <v>880</v>
      </c>
      <c r="F15" s="805" t="s">
        <v>881</v>
      </c>
      <c r="G15" s="962"/>
      <c r="H15" s="962"/>
      <c r="I15" s="962"/>
      <c r="J15" s="962"/>
      <c r="K15" s="573" t="s">
        <v>882</v>
      </c>
      <c r="V15" s="789">
        <v>0</v>
      </c>
    </row>
    <row customHeight="1" ht="22.5" hidden="1">
      <c r="A16" s="789"/>
      <c r="C16" s="810"/>
      <c r="D16" s="805">
        <v>2</v>
      </c>
      <c r="E16" s="563" t="s">
        <v>883</v>
      </c>
      <c r="F16" s="805" t="s">
        <v>884</v>
      </c>
      <c r="G16" s="962"/>
      <c r="H16" s="962"/>
      <c r="I16" s="962"/>
      <c r="J16" s="962"/>
      <c r="K16" s="573" t="s">
        <v>885</v>
      </c>
      <c r="V16" s="789">
        <v>0</v>
      </c>
    </row>
    <row customHeight="1" ht="123.75" hidden="1">
      <c r="A17" s="789"/>
      <c r="C17" s="810"/>
      <c r="D17" s="805">
        <v>3</v>
      </c>
      <c r="E17" s="563" t="s">
        <v>1241</v>
      </c>
      <c r="F17" s="805" t="s">
        <v>366</v>
      </c>
      <c r="G17" s="962"/>
      <c r="H17" s="962"/>
      <c r="I17" s="962"/>
      <c r="J17" s="962"/>
      <c r="K17" s="573" t="s">
        <v>1242</v>
      </c>
      <c r="V17" s="789">
        <v>0</v>
      </c>
    </row>
    <row customHeight="1" ht="48.29999999999999">
      <c r="A18" s="789"/>
      <c r="C18" s="810"/>
      <c r="D18" s="805">
        <v>3</v>
      </c>
      <c r="E18" s="563" t="s">
        <v>886</v>
      </c>
      <c r="F18" s="805" t="s">
        <v>366</v>
      </c>
      <c r="G18" s="1093" t="s">
        <v>366</v>
      </c>
      <c r="H18" s="1094" t="s">
        <v>366</v>
      </c>
      <c r="I18" s="805" t="s">
        <v>366</v>
      </c>
      <c r="J18" s="862" t="s">
        <v>366</v>
      </c>
      <c r="K18" s="573" t="s">
        <v>1243</v>
      </c>
      <c r="V18" s="789">
        <v>46</v>
      </c>
    </row>
    <row customHeight="1" ht="35.699999999999996">
      <c r="A19" s="789"/>
      <c r="C19" s="810"/>
      <c r="D19" s="823" t="s">
        <v>384</v>
      </c>
      <c r="E19" s="843" t="s">
        <v>888</v>
      </c>
      <c r="F19" s="805" t="s">
        <v>889</v>
      </c>
      <c r="G19" s="1101"/>
      <c r="H19" s="390"/>
      <c r="I19" s="1101"/>
      <c r="J19" s="1102"/>
      <c r="K19" s="963"/>
      <c r="V19" s="789">
        <v>34</v>
      </c>
    </row>
    <row customHeight="1" ht="35.699999999999996">
      <c r="A20" s="789"/>
      <c r="C20" s="810"/>
      <c r="D20" s="2174" t="s">
        <v>392</v>
      </c>
      <c r="E20" s="843" t="s">
        <v>890</v>
      </c>
      <c r="F20" s="805" t="s">
        <v>891</v>
      </c>
      <c r="G20" s="1101"/>
      <c r="H20" s="390"/>
      <c r="I20" s="1101"/>
      <c r="J20" s="390"/>
      <c r="K20" s="963"/>
      <c r="V20" s="789">
        <v>34</v>
      </c>
    </row>
    <row customHeight="1" ht="48.29999999999999">
      <c r="A21" s="789"/>
      <c r="C21" s="810"/>
      <c r="D21" s="2174" t="s">
        <v>394</v>
      </c>
      <c r="E21" s="843" t="s">
        <v>892</v>
      </c>
      <c r="F21" s="805" t="s">
        <v>643</v>
      </c>
      <c r="G21" s="964"/>
      <c r="H21" s="390"/>
      <c r="I21" s="964"/>
      <c r="J21" s="390"/>
      <c r="K21" s="963"/>
      <c r="V21" s="789">
        <v>46</v>
      </c>
    </row>
    <row customHeight="1" ht="67.5" hidden="1">
      <c r="A22" s="789"/>
      <c r="C22" s="810"/>
      <c r="D22" s="805">
        <v>5</v>
      </c>
      <c r="E22" s="563" t="s">
        <v>1244</v>
      </c>
      <c r="F22" s="805" t="s">
        <v>630</v>
      </c>
      <c r="G22" s="965"/>
      <c r="H22" s="966"/>
      <c r="I22" s="965"/>
      <c r="J22" s="966"/>
      <c r="K22" s="573" t="s">
        <v>1245</v>
      </c>
      <c r="V22" s="789">
        <v>0</v>
      </c>
    </row>
    <row customHeight="1" ht="33.75" hidden="1">
      <c r="C23" s="735"/>
      <c r="D23" s="805">
        <v>6</v>
      </c>
      <c r="E23" s="563" t="s">
        <v>1246</v>
      </c>
      <c r="F23" s="805" t="s">
        <v>1247</v>
      </c>
      <c r="G23" s="965"/>
      <c r="H23" s="965"/>
      <c r="I23" s="965"/>
      <c r="J23" s="965"/>
      <c r="K23" s="573" t="s">
        <v>1248</v>
      </c>
      <c r="V23" s="789">
        <v>0</v>
      </c>
    </row>
    <row customHeight="1" ht="15.75">
      <c r="V24" s="789">
        <v>15</v>
      </c>
    </row>
    <row customHeight="1" ht="15.75">
      <c r="V25" s="789">
        <v>15</v>
      </c>
    </row>
    <row customHeight="1" ht="15.75">
      <c r="V26" s="789">
        <v>15</v>
      </c>
    </row>
    <row customHeight="1" ht="15.75">
      <c r="V27" s="789">
        <v>15</v>
      </c>
    </row>
    <row customHeight="1" ht="15.75">
      <c r="V28" s="789">
        <v>15</v>
      </c>
    </row>
    <row customHeight="1" ht="15.75">
      <c r="J29" s="1103"/>
      <c r="V29" s="789">
        <v>15</v>
      </c>
    </row>
    <row customHeight="1" ht="22.5" hidden="1">
      <c r="A30" s="733" t="s">
        <v>85</v>
      </c>
      <c r="B30" s="789">
        <v>0</v>
      </c>
      <c r="C30" s="967">
        <v>4</v>
      </c>
      <c r="D30" s="789">
        <v>6</v>
      </c>
      <c r="E30" s="789">
        <v>47</v>
      </c>
      <c r="F30" s="789">
        <v>9</v>
      </c>
      <c r="G30" s="1042">
        <v>0</v>
      </c>
      <c r="H30" s="1042">
        <v>0</v>
      </c>
      <c r="I30" s="789">
        <v>25</v>
      </c>
      <c r="J30" s="789">
        <v>33</v>
      </c>
      <c r="K30" s="701">
        <v>50</v>
      </c>
      <c r="L30" s="789">
        <v>10</v>
      </c>
      <c r="M30" s="789">
        <v>10</v>
      </c>
      <c r="N30" s="789">
        <v>10</v>
      </c>
      <c r="O30" s="789">
        <v>10</v>
      </c>
      <c r="P30" s="789">
        <v>10</v>
      </c>
      <c r="Q30" s="789">
        <v>10</v>
      </c>
      <c r="R30" s="789">
        <v>10</v>
      </c>
      <c r="S30" s="789">
        <v>10</v>
      </c>
      <c r="T30" s="789">
        <v>10</v>
      </c>
      <c r="U30" s="959">
        <v>10</v>
      </c>
      <c r="V30" s="789">
        <v>23</v>
      </c>
    </row>
  </sheetData>
  <sheetProtection sheet="1" formatColumns="0" formatRows="0" autoFilter="0" sort="1" insertRows="1" insertColumns="1" deleteRows="1" deleteColumns="1"/>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20A9529-6EB8-02F7-DD7F-7B499A1D17EB}"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38287" width="32.57421875" customWidth="1"/>
    <col min="2" max="2" style="30681" width="11.00390625" customWidth="1"/>
    <col min="3" max="3" style="30681" width="9.140625"/>
    <col min="4" max="4" style="30681" width="26.57421875" customWidth="1"/>
    <col min="5" max="5" style="38057" width="36.8515625" customWidth="1"/>
    <col min="6" max="6" style="38057" width="23.57421875" customWidth="1"/>
    <col min="7" max="7" style="38057" width="31.421875" customWidth="1"/>
    <col min="8" max="8" style="38057" width="40.8515625" customWidth="1"/>
    <col min="9" max="9" style="38057" width="14.57421875" customWidth="1"/>
    <col min="10" max="10" style="38057" width="26.8515625" customWidth="1"/>
    <col min="11" max="11" style="38057" width="50.00390625" customWidth="1"/>
    <col min="12" max="12" style="38057" width="52.421875" customWidth="1"/>
    <col min="13" max="13" style="38057" width="10.7109375" customWidth="1"/>
    <col min="14" max="14" style="38057" width="55.140625" customWidth="1"/>
    <col min="15" max="15" style="38057" width="31.8515625" customWidth="1"/>
    <col min="16" max="16" style="38057" width="23.8515625" customWidth="1"/>
    <col min="17" max="17" style="38057" width="46.57421875" customWidth="1"/>
    <col min="18" max="18" style="38057" width="24.00390625" customWidth="1"/>
    <col min="19" max="19" style="38057" width="20.57421875" customWidth="1"/>
    <col min="20" max="20" style="38057" width="22.00390625" customWidth="1"/>
    <col min="21" max="22" style="38057" width="26.421875" customWidth="1"/>
    <col min="23" max="23" style="38057" width="8.28125" hidden="1" customWidth="1"/>
    <col min="24" max="24" style="38057" width="59.7109375" customWidth="1"/>
    <col min="25" max="25" style="38057" width="49.140625" customWidth="1"/>
    <col min="26" max="26" style="38057" width="11.140625" customWidth="1"/>
    <col min="27" max="30" style="38057" width="29.00390625" customWidth="1"/>
    <col min="31" max="31" style="38057" width="9.140625"/>
    <col min="32" max="32" style="38057" width="34.7109375" customWidth="1"/>
    <col min="33" max="33" style="38057" width="9.140625"/>
    <col min="34" max="35" style="38057" width="34.421875" customWidth="1"/>
    <col min="36" max="36" style="38057" width="9.140625"/>
    <col min="37" max="37" style="38057" width="24.57421875" customWidth="1"/>
    <col min="38" max="38" style="38057" width="9.140625"/>
    <col min="39" max="39" style="38057" width="26.140625" customWidth="1"/>
    <col min="40" max="40" style="38057" width="1.7109375" customWidth="1"/>
    <col min="41" max="41" style="38057" width="9.140625"/>
    <col min="42" max="43" style="38057" width="47.8515625" customWidth="1"/>
    <col min="44" max="44" style="38057" width="1.7109375" customWidth="1"/>
    <col min="45" max="45" style="38057" width="21.421875" customWidth="1"/>
    <col min="46" max="46" style="38057" width="1.7109375" customWidth="1"/>
    <col min="47" max="47" style="38057" width="31.28125" customWidth="1"/>
    <col min="48" max="48" style="38057" width="1.7109375" customWidth="1"/>
    <col min="49" max="50" style="38057" width="9.140625"/>
    <col min="51" max="51" style="38057" width="3.7109375" customWidth="1"/>
    <col min="52" max="52" style="38057" width="60.8515625" customWidth="1"/>
    <col min="53" max="53" style="38057" width="49.28125" customWidth="1"/>
    <col min="54" max="54" style="38057" width="35.140625" customWidth="1"/>
    <col min="55" max="55" style="38057" width="9.140625"/>
    <col min="56" max="56" style="38057" width="1.7109375" customWidth="1"/>
    <col min="57" max="57" style="38288" width="12.57421875" customWidth="1"/>
    <col min="58" max="58" style="38288" width="14.28125" customWidth="1"/>
    <col min="59" max="59" style="38057" width="30.7109375" customWidth="1"/>
    <col min="60" max="60" style="38289" width="40.7109375" customWidth="1"/>
    <col min="61" max="61" style="38289" width="15.00390625" customWidth="1"/>
    <col min="62" max="62" style="38289" width="40.7109375" customWidth="1"/>
    <col min="63" max="63" style="38289" width="2.7109375" customWidth="1"/>
    <col min="64" max="64" style="38289" width="44.7109375" customWidth="1"/>
    <col min="65" max="65" style="38289" width="2.7109375" customWidth="1"/>
    <col min="66" max="66" style="38289" width="40.7109375" customWidth="1"/>
    <col min="67" max="68" style="38057" width="9.140625"/>
    <col min="69" max="69" style="38057" width="18.140625" customWidth="1"/>
    <col min="70" max="70" style="38057" width="57.8515625" customWidth="1"/>
    <col min="71" max="71" style="38057" width="1.7109375" customWidth="1"/>
    <col min="72" max="72" style="38057" width="22.57421875" customWidth="1"/>
    <col min="73" max="73" style="38057" width="57.8515625" customWidth="1"/>
    <col min="74" max="74" style="38057" width="1.7109375" customWidth="1"/>
    <col min="75" max="75" style="38057" width="22.57421875" customWidth="1"/>
    <col min="76" max="76" style="38057" width="57.8515625" customWidth="1"/>
    <col min="77" max="77" style="38057" width="1.7109375" customWidth="1"/>
    <col min="78" max="78" style="38057" width="22.57421875" customWidth="1"/>
    <col min="79" max="79" style="38057" width="57.8515625" customWidth="1"/>
    <col min="80" max="81" style="38057" width="9.140625"/>
    <col min="82" max="82" style="38057" width="49.57421875" customWidth="1"/>
  </cols>
  <sheetData>
    <row s="38190" customFormat="1" customHeight="1" ht="11.25">
      <c r="A1" s="1351" t="s">
        <v>1249</v>
      </c>
      <c r="B1" s="1351" t="s">
        <v>1250</v>
      </c>
      <c r="C1" s="1351" t="s">
        <v>1251</v>
      </c>
      <c r="D1" s="1351" t="s">
        <v>1252</v>
      </c>
      <c r="E1" s="1351" t="s">
        <v>1253</v>
      </c>
      <c r="F1" s="1351" t="s">
        <v>1254</v>
      </c>
      <c r="G1" s="1351" t="s">
        <v>1255</v>
      </c>
      <c r="H1" s="1351" t="s">
        <v>1256</v>
      </c>
      <c r="I1" s="1351" t="s">
        <v>1257</v>
      </c>
      <c r="J1" s="1351" t="s">
        <v>1258</v>
      </c>
      <c r="K1" s="1351" t="s">
        <v>1259</v>
      </c>
      <c r="L1" s="1351" t="s">
        <v>1260</v>
      </c>
      <c r="M1" s="1351"/>
      <c r="N1" s="1351" t="s">
        <v>1261</v>
      </c>
      <c r="O1" s="1351" t="s">
        <v>1262</v>
      </c>
      <c r="P1" s="1351" t="s">
        <v>1263</v>
      </c>
      <c r="Q1" s="1351" t="s">
        <v>1264</v>
      </c>
      <c r="R1" s="1351" t="s">
        <v>1265</v>
      </c>
      <c r="S1" s="1351" t="s">
        <v>1266</v>
      </c>
      <c r="T1" s="1351" t="s">
        <v>1267</v>
      </c>
      <c r="U1" s="1351" t="s">
        <v>1268</v>
      </c>
      <c r="V1" s="1351"/>
      <c r="W1" s="1081" t="s">
        <v>1269</v>
      </c>
      <c r="X1" s="1351" t="s">
        <v>1270</v>
      </c>
      <c r="Y1" s="1351" t="s">
        <v>1271</v>
      </c>
      <c r="Z1" s="1351"/>
      <c r="AA1" s="1351" t="s">
        <v>1272</v>
      </c>
      <c r="AB1" s="1351"/>
      <c r="AC1" s="1351" t="s">
        <v>1273</v>
      </c>
      <c r="AD1" s="1351"/>
      <c r="AF1" s="1351" t="s">
        <v>1274</v>
      </c>
      <c r="AH1" s="1351" t="s">
        <v>1275</v>
      </c>
      <c r="AI1" s="1351" t="s">
        <v>1276</v>
      </c>
      <c r="AK1" s="1351" t="s">
        <v>1277</v>
      </c>
      <c r="AM1" s="1351" t="s">
        <v>1278</v>
      </c>
      <c r="AP1" s="1351" t="s">
        <v>1279</v>
      </c>
      <c r="AQ1" s="1351" t="s">
        <v>1280</v>
      </c>
      <c r="AS1" s="1351" t="s">
        <v>1281</v>
      </c>
      <c r="AU1" s="1351" t="s">
        <v>1282</v>
      </c>
      <c r="AW1" s="1351" t="s">
        <v>1283</v>
      </c>
      <c r="AX1" s="1351" t="s">
        <v>1284</v>
      </c>
      <c r="AZ1" s="1436" t="s">
        <v>1285</v>
      </c>
      <c r="BB1" s="1351" t="s">
        <v>1286</v>
      </c>
      <c r="BC1" s="1351"/>
      <c r="BE1" s="1351" t="s">
        <v>1287</v>
      </c>
      <c r="BF1" s="1351" t="s">
        <v>1288</v>
      </c>
      <c r="BH1" s="1353" t="s">
        <v>879</v>
      </c>
      <c r="BI1" s="1354"/>
      <c r="BJ1" s="1355" t="s">
        <v>1289</v>
      </c>
      <c r="BK1" s="1354"/>
      <c r="BL1" s="1356" t="s">
        <v>978</v>
      </c>
      <c r="BM1" s="1354"/>
      <c r="BN1" s="1357" t="s">
        <v>1290</v>
      </c>
      <c r="BS1" s="1711"/>
    </row>
    <row customHeight="1" ht="11.25">
      <c r="A2" s="1358" t="s">
        <v>1291</v>
      </c>
      <c r="B2" s="1359">
        <v>2000</v>
      </c>
      <c r="C2" s="1359">
        <v>2022</v>
      </c>
      <c r="D2" s="1359" t="s">
        <v>64</v>
      </c>
      <c r="E2" s="1360" t="s">
        <v>1292</v>
      </c>
      <c r="F2" s="1360" t="s">
        <v>1293</v>
      </c>
      <c r="G2" s="1360" t="s">
        <v>1294</v>
      </c>
      <c r="H2" s="1361" t="s">
        <v>58</v>
      </c>
      <c r="I2" s="1360" t="s">
        <v>141</v>
      </c>
      <c r="J2" s="1360" t="s">
        <v>1295</v>
      </c>
      <c r="K2" s="1362" t="s">
        <v>1296</v>
      </c>
      <c r="L2" s="1363"/>
      <c r="M2" s="1362">
        <v>1</v>
      </c>
      <c r="N2" s="1446" t="s">
        <v>1297</v>
      </c>
      <c r="O2" s="1361" t="s">
        <v>508</v>
      </c>
      <c r="P2" s="1364" t="s">
        <v>1298</v>
      </c>
      <c r="Q2" s="1365" t="s">
        <v>507</v>
      </c>
      <c r="R2" s="427" t="s">
        <v>1299</v>
      </c>
      <c r="S2" s="427" t="s">
        <v>1300</v>
      </c>
      <c r="T2" s="1366" t="s">
        <v>1301</v>
      </c>
      <c r="U2" s="1363" t="s">
        <v>1302</v>
      </c>
      <c r="V2" s="1367">
        <v>1</v>
      </c>
      <c r="W2" s="1368"/>
      <c r="X2" s="1368" t="s">
        <v>1303</v>
      </c>
      <c r="Y2" s="1359" t="s">
        <v>1304</v>
      </c>
      <c r="Z2" s="1369"/>
      <c r="AA2" s="1359" t="s">
        <v>1305</v>
      </c>
      <c r="AB2" s="1370" t="s">
        <v>1305</v>
      </c>
      <c r="AC2" s="1359" t="s">
        <v>1306</v>
      </c>
      <c r="AD2" s="1370" t="s">
        <v>1306</v>
      </c>
      <c r="AF2" s="1361" t="s">
        <v>1302</v>
      </c>
      <c r="AH2" s="1360" t="s">
        <v>1307</v>
      </c>
      <c r="AI2" s="1360" t="s">
        <v>1307</v>
      </c>
      <c r="AK2" s="1360" t="s">
        <v>1308</v>
      </c>
      <c r="AM2" s="1360" t="s">
        <v>1309</v>
      </c>
      <c r="AP2" s="1371" t="s">
        <v>1303</v>
      </c>
      <c r="AQ2" s="1372" t="s">
        <v>1303</v>
      </c>
      <c r="AS2" s="1359" t="s">
        <v>1310</v>
      </c>
      <c r="AU2" s="1404" t="s">
        <v>1311</v>
      </c>
      <c r="AW2" s="1404" t="s">
        <v>1312</v>
      </c>
      <c r="AX2" s="1404" t="s">
        <v>1312</v>
      </c>
      <c r="AZ2" s="1404" t="s">
        <v>56</v>
      </c>
      <c r="BB2" s="1404" t="s">
        <v>1313</v>
      </c>
      <c r="BC2" s="1404" t="s">
        <v>1314</v>
      </c>
      <c r="BE2" s="1404">
        <v>2000</v>
      </c>
      <c r="BF2" s="1404" t="s">
        <v>1315</v>
      </c>
    </row>
    <row customHeight="1" ht="11.25">
      <c r="A3" s="1358" t="s">
        <v>1316</v>
      </c>
      <c r="B3" s="1359">
        <v>2001</v>
      </c>
      <c r="C3" s="1359">
        <v>2023</v>
      </c>
      <c r="D3" s="1359" t="s">
        <v>19</v>
      </c>
      <c r="E3" s="1360" t="s">
        <v>1317</v>
      </c>
      <c r="F3" s="1360" t="s">
        <v>1318</v>
      </c>
      <c r="G3" s="1360" t="s">
        <v>1319</v>
      </c>
      <c r="H3" s="1361" t="s">
        <v>1320</v>
      </c>
      <c r="I3" s="1360" t="s">
        <v>105</v>
      </c>
      <c r="J3" s="1360" t="s">
        <v>628</v>
      </c>
      <c r="K3" s="1362" t="s">
        <v>1321</v>
      </c>
      <c r="L3" s="1363">
        <f>_xlfn.IFERROR(MATCH(K3,OFFER_METHOD,0),0)</f>
        <v>0</v>
      </c>
      <c r="M3" s="1362">
        <v>2</v>
      </c>
      <c r="N3" s="1446" t="s">
        <v>1322</v>
      </c>
      <c r="O3" s="1361" t="s">
        <v>1323</v>
      </c>
      <c r="P3" s="1364" t="s">
        <v>37</v>
      </c>
      <c r="Q3" s="1365" t="s">
        <v>1324</v>
      </c>
      <c r="R3" s="427" t="s">
        <v>1325</v>
      </c>
      <c r="S3" s="427" t="s">
        <v>1326</v>
      </c>
      <c r="T3" s="1366" t="s">
        <v>1327</v>
      </c>
      <c r="U3" s="1363" t="s">
        <v>1328</v>
      </c>
      <c r="V3" s="1367">
        <v>2</v>
      </c>
      <c r="W3" s="1368"/>
      <c r="X3" s="1368" t="s">
        <v>1329</v>
      </c>
      <c r="Y3" s="1359" t="s">
        <v>1304</v>
      </c>
      <c r="Z3" s="1369"/>
      <c r="AA3" s="1359" t="s">
        <v>1330</v>
      </c>
      <c r="AB3" s="1370" t="s">
        <v>1330</v>
      </c>
      <c r="AC3" s="1359" t="s">
        <v>1331</v>
      </c>
      <c r="AD3" s="1370" t="s">
        <v>1331</v>
      </c>
      <c r="AF3" s="1361" t="s">
        <v>1328</v>
      </c>
      <c r="AH3" s="1360" t="s">
        <v>1332</v>
      </c>
      <c r="AI3" s="1360" t="s">
        <v>1333</v>
      </c>
      <c r="AK3" s="1360" t="s">
        <v>1334</v>
      </c>
      <c r="AM3" s="1360" t="s">
        <v>1335</v>
      </c>
      <c r="AP3" s="1371" t="s">
        <v>1336</v>
      </c>
      <c r="AQ3" s="1372" t="s">
        <v>1336</v>
      </c>
      <c r="AS3" s="1359" t="s">
        <v>1337</v>
      </c>
      <c r="AU3" s="1404" t="s">
        <v>1338</v>
      </c>
      <c r="AW3" s="1404" t="s">
        <v>1339</v>
      </c>
      <c r="AX3" s="1404" t="s">
        <v>1339</v>
      </c>
      <c r="AZ3" s="1404" t="s">
        <v>1340</v>
      </c>
      <c r="BB3" s="1404" t="s">
        <v>1341</v>
      </c>
      <c r="BC3" s="1404" t="s">
        <v>1314</v>
      </c>
      <c r="BE3" s="1404">
        <v>2001</v>
      </c>
      <c r="BF3" s="1404" t="s">
        <v>1342</v>
      </c>
      <c r="BH3" s="1351" t="s">
        <v>1343</v>
      </c>
      <c r="BJ3" s="1351" t="s">
        <v>1344</v>
      </c>
      <c r="BL3" s="1351" t="s">
        <v>1345</v>
      </c>
      <c r="BN3" s="1351" t="s">
        <v>1346</v>
      </c>
      <c r="BR3" s="1351" t="s">
        <v>1347</v>
      </c>
      <c r="BS3" s="1712"/>
      <c r="BT3" s="1354"/>
      <c r="BU3" s="1351" t="s">
        <v>1348</v>
      </c>
      <c r="BV3" s="1354"/>
      <c r="BW3" s="1974"/>
      <c r="BX3" s="1976" t="s">
        <v>1349</v>
      </c>
      <c r="CA3" s="1351" t="s">
        <v>1350</v>
      </c>
    </row>
    <row customHeight="1" ht="11.25">
      <c r="A4" s="1358" t="s">
        <v>1351</v>
      </c>
      <c r="B4" s="1359">
        <v>2002</v>
      </c>
      <c r="C4" s="1359">
        <v>2024</v>
      </c>
      <c r="E4" s="1360" t="s">
        <v>1352</v>
      </c>
      <c r="F4" s="1360" t="s">
        <v>1353</v>
      </c>
      <c r="H4" s="1361" t="s">
        <v>1354</v>
      </c>
      <c r="I4" s="1360" t="s">
        <v>93</v>
      </c>
      <c r="J4" s="1360" t="s">
        <v>1355</v>
      </c>
      <c r="K4" s="1362" t="s">
        <v>1356</v>
      </c>
      <c r="L4" s="1363">
        <f>_xlfn.IFERROR(MATCH(K4,OFFER_METHOD,0),0)</f>
        <v>0</v>
      </c>
      <c r="M4" s="1362">
        <v>3</v>
      </c>
      <c r="N4" s="1446" t="s">
        <v>1357</v>
      </c>
      <c r="O4" s="1360" t="s">
        <v>1358</v>
      </c>
      <c r="Q4" s="1365" t="s">
        <v>1359</v>
      </c>
      <c r="R4" s="427" t="s">
        <v>1360</v>
      </c>
      <c r="S4" s="427" t="s">
        <v>1361</v>
      </c>
      <c r="T4" s="1366" t="s">
        <v>1362</v>
      </c>
      <c r="U4" s="1363" t="s">
        <v>1363</v>
      </c>
      <c r="V4" s="1367">
        <v>3</v>
      </c>
      <c r="W4" s="1368"/>
      <c r="X4" s="1368" t="s">
        <v>1364</v>
      </c>
      <c r="Y4" s="1359" t="s">
        <v>1304</v>
      </c>
      <c r="Z4" s="1375"/>
      <c r="AC4" s="1359" t="s">
        <v>1365</v>
      </c>
      <c r="AD4" s="1370" t="s">
        <v>1365</v>
      </c>
      <c r="AF4" s="1361" t="s">
        <v>1363</v>
      </c>
      <c r="AH4" s="1361" t="s">
        <v>1366</v>
      </c>
      <c r="AK4" s="1360" t="s">
        <v>1367</v>
      </c>
      <c r="AM4" s="1360" t="s">
        <v>1368</v>
      </c>
      <c r="AP4" s="1371" t="s">
        <v>1329</v>
      </c>
      <c r="AQ4" s="1372" t="s">
        <v>1329</v>
      </c>
      <c r="AS4" s="1359" t="s">
        <v>1369</v>
      </c>
      <c r="AU4" s="1404" t="s">
        <v>1370</v>
      </c>
      <c r="AW4" s="1404" t="s">
        <v>1371</v>
      </c>
      <c r="AX4" s="1404" t="s">
        <v>1371</v>
      </c>
      <c r="AZ4" s="1404" t="s">
        <v>1372</v>
      </c>
      <c r="BB4" s="1404" t="s">
        <v>1373</v>
      </c>
      <c r="BC4" s="1404" t="s">
        <v>1374</v>
      </c>
      <c r="BE4" s="1404">
        <v>2002</v>
      </c>
      <c r="BF4" s="1404" t="s">
        <v>1375</v>
      </c>
      <c r="BH4" s="1352" t="s">
        <v>1376</v>
      </c>
      <c r="BJ4" s="1352" t="s">
        <v>1376</v>
      </c>
      <c r="BL4" s="1352" t="s">
        <v>1376</v>
      </c>
      <c r="BN4" s="1352" t="s">
        <v>1376</v>
      </c>
      <c r="BQ4" s="1716" t="s">
        <v>1377</v>
      </c>
      <c r="BR4" s="1443" t="s">
        <v>1378</v>
      </c>
      <c r="BS4" s="558"/>
      <c r="BT4" s="1716" t="s">
        <v>1379</v>
      </c>
      <c r="BU4" s="1443" t="s">
        <v>1380</v>
      </c>
      <c r="BV4" s="1354"/>
      <c r="BW4" s="1981" t="s">
        <v>1381</v>
      </c>
      <c r="BX4" s="1975" t="s">
        <v>1382</v>
      </c>
      <c r="BZ4" s="1716" t="s">
        <v>1383</v>
      </c>
      <c r="CA4" s="1443" t="s">
        <v>1384</v>
      </c>
    </row>
    <row customHeight="1" ht="11.25">
      <c r="A5" s="1358" t="s">
        <v>1385</v>
      </c>
      <c r="B5" s="1359">
        <v>2003</v>
      </c>
      <c r="C5" s="1359">
        <v>2025</v>
      </c>
      <c r="E5" s="1360" t="s">
        <v>1386</v>
      </c>
      <c r="F5" s="1360" t="s">
        <v>1387</v>
      </c>
      <c r="H5" s="1361" t="s">
        <v>1388</v>
      </c>
      <c r="I5" s="1360" t="s">
        <v>94</v>
      </c>
      <c r="K5" s="1362" t="s">
        <v>1389</v>
      </c>
      <c r="L5" s="1363">
        <f>_xlfn.IFERROR(MATCH(K5,OFFER_METHOD,0),0)</f>
        <v>0</v>
      </c>
      <c r="M5" s="1362">
        <v>4</v>
      </c>
      <c r="N5" s="1376" t="s">
        <v>1390</v>
      </c>
      <c r="O5" s="1360" t="s">
        <v>1391</v>
      </c>
      <c r="Q5" s="1365" t="s">
        <v>1392</v>
      </c>
      <c r="R5" s="427" t="s">
        <v>535</v>
      </c>
      <c r="T5" s="1361" t="s">
        <v>1393</v>
      </c>
      <c r="U5" s="1363" t="s">
        <v>1394</v>
      </c>
      <c r="V5" s="1367">
        <v>4</v>
      </c>
      <c r="W5" s="1368"/>
      <c r="X5" s="1368" t="s">
        <v>196</v>
      </c>
      <c r="Y5" s="1359" t="s">
        <v>1395</v>
      </c>
      <c r="Z5" s="1375">
        <v>1</v>
      </c>
      <c r="AF5" s="1361" t="s">
        <v>1396</v>
      </c>
      <c r="AH5" s="1360" t="s">
        <v>1397</v>
      </c>
      <c r="AK5" s="1360" t="s">
        <v>1398</v>
      </c>
      <c r="AM5" s="1360" t="s">
        <v>1399</v>
      </c>
      <c r="AP5" s="1371" t="s">
        <v>196</v>
      </c>
      <c r="AQ5" s="1372" t="s">
        <v>196</v>
      </c>
      <c r="AU5" s="1404" t="s">
        <v>1400</v>
      </c>
      <c r="AW5" s="1404" t="s">
        <v>1401</v>
      </c>
      <c r="AX5" s="1404" t="s">
        <v>1401</v>
      </c>
      <c r="AZ5" s="1404" t="s">
        <v>1402</v>
      </c>
      <c r="BB5" s="1404" t="s">
        <v>1403</v>
      </c>
      <c r="BC5" s="1404" t="s">
        <v>1404</v>
      </c>
      <c r="BE5" s="1404">
        <v>2003</v>
      </c>
      <c r="BF5" s="1404" t="s">
        <v>1405</v>
      </c>
      <c r="BH5" s="1352" t="s">
        <v>1406</v>
      </c>
      <c r="BJ5" s="1352" t="s">
        <v>1406</v>
      </c>
      <c r="BL5" s="1352" t="s">
        <v>1406</v>
      </c>
      <c r="BN5" s="1352" t="s">
        <v>1407</v>
      </c>
      <c r="BQ5" s="1565">
        <v>4213775</v>
      </c>
      <c r="BR5" s="1352" t="s">
        <v>1303</v>
      </c>
      <c r="BS5" s="1713"/>
      <c r="BT5" s="1565">
        <v>64236871</v>
      </c>
      <c r="BU5" s="1352" t="s">
        <v>289</v>
      </c>
      <c r="BV5" s="1354"/>
      <c r="BW5" s="1979">
        <v>4213767</v>
      </c>
      <c r="BX5" s="1977" t="s">
        <v>1408</v>
      </c>
      <c r="BZ5" s="1565">
        <v>64237509</v>
      </c>
      <c r="CA5" s="1579" t="s">
        <v>1409</v>
      </c>
    </row>
    <row customHeight="1" ht="11.25">
      <c r="A6" s="1358" t="s">
        <v>1410</v>
      </c>
      <c r="B6" s="1359">
        <v>2004</v>
      </c>
      <c r="C6" s="1359">
        <v>2026</v>
      </c>
      <c r="E6" s="1360" t="s">
        <v>1411</v>
      </c>
      <c r="F6" s="1377"/>
      <c r="H6" s="1361" t="s">
        <v>1412</v>
      </c>
      <c r="I6" s="1360" t="s">
        <v>124</v>
      </c>
      <c r="J6" s="1351" t="s">
        <v>1413</v>
      </c>
      <c r="L6" s="1363">
        <f>SUM(kind_of_control_method_filter)</f>
        <v>0</v>
      </c>
      <c r="N6" s="1376" t="s">
        <v>1414</v>
      </c>
      <c r="O6" s="1360" t="s">
        <v>1415</v>
      </c>
      <c r="R6" s="427" t="s">
        <v>507</v>
      </c>
      <c r="T6" s="1361" t="s">
        <v>1416</v>
      </c>
      <c r="U6" s="1363" t="s">
        <v>1396</v>
      </c>
      <c r="V6" s="1367">
        <v>5</v>
      </c>
      <c r="W6" s="1368"/>
      <c r="X6" s="1359" t="s">
        <v>205</v>
      </c>
      <c r="Y6" s="1359" t="s">
        <v>1417</v>
      </c>
      <c r="Z6" s="1375"/>
      <c r="AA6" s="1378"/>
      <c r="AH6" s="1360" t="s">
        <v>1418</v>
      </c>
      <c r="AK6" s="1360" t="s">
        <v>1419</v>
      </c>
      <c r="AM6" s="1360" t="s">
        <v>1420</v>
      </c>
      <c r="AP6" s="1371" t="s">
        <v>205</v>
      </c>
      <c r="AQ6" s="1372" t="s">
        <v>205</v>
      </c>
      <c r="AU6" s="1404" t="s">
        <v>1421</v>
      </c>
      <c r="AW6" s="1404" t="s">
        <v>1422</v>
      </c>
      <c r="AX6" s="1404" t="s">
        <v>1422</v>
      </c>
      <c r="BB6" s="1404" t="s">
        <v>1423</v>
      </c>
      <c r="BC6" s="1404" t="s">
        <v>1404</v>
      </c>
      <c r="BE6" s="1404">
        <v>2004</v>
      </c>
      <c r="BF6" s="1404" t="s">
        <v>1424</v>
      </c>
      <c r="BH6" s="1352" t="s">
        <v>1425</v>
      </c>
      <c r="BJ6" s="1352" t="s">
        <v>1426</v>
      </c>
      <c r="BL6" s="1352" t="s">
        <v>1426</v>
      </c>
      <c r="BN6" s="1352" t="s">
        <v>1427</v>
      </c>
      <c r="BQ6" s="1565">
        <v>4213784</v>
      </c>
      <c r="BR6" s="1579" t="s">
        <v>1336</v>
      </c>
      <c r="BS6" s="1714"/>
      <c r="BT6" s="1565">
        <v>64236872</v>
      </c>
      <c r="BU6" s="1352" t="s">
        <v>294</v>
      </c>
      <c r="BV6" s="1354"/>
      <c r="BW6" s="1979">
        <v>4213768</v>
      </c>
      <c r="BX6" s="1977" t="s">
        <v>314</v>
      </c>
      <c r="BZ6" s="1565">
        <v>64237510</v>
      </c>
      <c r="CA6" s="1352" t="s">
        <v>1428</v>
      </c>
    </row>
    <row customHeight="1" ht="11.25">
      <c r="A7" s="1358" t="s">
        <v>1429</v>
      </c>
      <c r="B7" s="1359">
        <v>2005</v>
      </c>
      <c r="E7" s="1360" t="s">
        <v>1430</v>
      </c>
      <c r="F7" s="1377"/>
      <c r="H7" s="1361" t="s">
        <v>1431</v>
      </c>
      <c r="I7" s="1360" t="s">
        <v>95</v>
      </c>
      <c r="J7" s="1360" t="s">
        <v>1432</v>
      </c>
      <c r="N7" s="1380" t="s">
        <v>1433</v>
      </c>
      <c r="O7" s="1360" t="s">
        <v>1434</v>
      </c>
      <c r="U7" s="1363" t="s">
        <v>19</v>
      </c>
      <c r="V7" s="654" t="s">
        <v>95</v>
      </c>
      <c r="W7" s="1368"/>
      <c r="X7" s="1359" t="s">
        <v>240</v>
      </c>
      <c r="Y7" s="1359" t="s">
        <v>1395</v>
      </c>
      <c r="Z7" s="1375"/>
      <c r="AA7" s="1378"/>
      <c r="AH7" s="1360" t="s">
        <v>1435</v>
      </c>
      <c r="AK7" s="1360" t="s">
        <v>1436</v>
      </c>
      <c r="AM7" s="1360" t="s">
        <v>1437</v>
      </c>
      <c r="AP7" s="1371" t="s">
        <v>240</v>
      </c>
      <c r="AQ7" s="1372" t="s">
        <v>240</v>
      </c>
      <c r="AU7" s="1404" t="s">
        <v>1438</v>
      </c>
      <c r="AW7" s="1404" t="s">
        <v>1439</v>
      </c>
      <c r="AX7" s="1404" t="s">
        <v>1439</v>
      </c>
      <c r="AZ7" s="1351" t="s">
        <v>1440</v>
      </c>
      <c r="BB7" s="1404" t="s">
        <v>1441</v>
      </c>
      <c r="BC7" s="1404" t="s">
        <v>1404</v>
      </c>
      <c r="BE7" s="1404">
        <v>2005</v>
      </c>
      <c r="BF7" s="1404" t="s">
        <v>1442</v>
      </c>
      <c r="BH7" s="1352" t="s">
        <v>1443</v>
      </c>
      <c r="BJ7" s="1352" t="s">
        <v>1425</v>
      </c>
      <c r="BL7" s="1352" t="s">
        <v>1425</v>
      </c>
      <c r="BN7" s="1352" t="s">
        <v>1444</v>
      </c>
      <c r="BQ7" s="1565">
        <v>4213781</v>
      </c>
      <c r="BR7" s="1352" t="s">
        <v>1329</v>
      </c>
      <c r="BS7" s="1713"/>
      <c r="BT7" s="1565">
        <v>64236873</v>
      </c>
      <c r="BU7" s="1352" t="s">
        <v>299</v>
      </c>
      <c r="BV7" s="1354"/>
      <c r="BW7" s="1979">
        <v>4213769</v>
      </c>
      <c r="BX7" s="1977" t="s">
        <v>1445</v>
      </c>
      <c r="BZ7" s="1565">
        <v>64237511</v>
      </c>
      <c r="CA7" s="1352" t="s">
        <v>329</v>
      </c>
    </row>
    <row customHeight="1" ht="11.25">
      <c r="A8" s="1358" t="s">
        <v>1446</v>
      </c>
      <c r="B8" s="1359">
        <v>2006</v>
      </c>
      <c r="E8" s="1360" t="s">
        <v>1447</v>
      </c>
      <c r="F8" s="1377"/>
      <c r="H8" s="1361" t="s">
        <v>1448</v>
      </c>
      <c r="I8" s="1360" t="s">
        <v>96</v>
      </c>
      <c r="J8" s="1360" t="s">
        <v>1449</v>
      </c>
      <c r="N8" s="1447" t="s">
        <v>1450</v>
      </c>
      <c r="O8" s="1360" t="s">
        <v>1451</v>
      </c>
      <c r="V8" s="654" t="s">
        <v>96</v>
      </c>
      <c r="W8" s="1368"/>
      <c r="X8" s="1359" t="s">
        <v>246</v>
      </c>
      <c r="Y8" s="1359" t="s">
        <v>1395</v>
      </c>
      <c r="Z8" s="1375"/>
      <c r="AA8" s="1378"/>
      <c r="AK8" s="1360" t="s">
        <v>1452</v>
      </c>
      <c r="AP8" s="1371" t="s">
        <v>246</v>
      </c>
      <c r="AQ8" s="1372" t="s">
        <v>246</v>
      </c>
      <c r="AU8" s="1404" t="s">
        <v>1453</v>
      </c>
      <c r="AW8" s="1404" t="s">
        <v>1454</v>
      </c>
      <c r="AX8" s="1404" t="s">
        <v>1454</v>
      </c>
      <c r="AZ8" s="1404" t="s">
        <v>1455</v>
      </c>
      <c r="BB8" s="1404" t="s">
        <v>1456</v>
      </c>
      <c r="BC8" s="1404" t="s">
        <v>1404</v>
      </c>
      <c r="BE8" s="1404">
        <v>2006</v>
      </c>
      <c r="BF8" s="1404" t="s">
        <v>1457</v>
      </c>
      <c r="BH8" s="1352" t="s">
        <v>1458</v>
      </c>
      <c r="BJ8" s="1352" t="s">
        <v>1459</v>
      </c>
      <c r="BL8" s="1352" t="s">
        <v>1459</v>
      </c>
      <c r="BN8" s="1352" t="s">
        <v>1460</v>
      </c>
      <c r="BQ8" s="1565">
        <v>4213776</v>
      </c>
      <c r="BR8" s="1352" t="s">
        <v>196</v>
      </c>
      <c r="BS8" s="1713"/>
      <c r="BT8" s="1565">
        <v>64236874</v>
      </c>
      <c r="BU8" s="1579" t="s">
        <v>1461</v>
      </c>
      <c r="BV8" s="1354"/>
      <c r="BW8" s="1979">
        <v>4213770</v>
      </c>
      <c r="BX8" s="1980" t="s">
        <v>1462</v>
      </c>
      <c r="BZ8" s="1565">
        <v>64237512</v>
      </c>
      <c r="CA8" s="1352" t="s">
        <v>324</v>
      </c>
    </row>
    <row customHeight="1" ht="11.25">
      <c r="A9" s="1358" t="s">
        <v>1463</v>
      </c>
      <c r="B9" s="1359">
        <v>2007</v>
      </c>
      <c r="E9" s="1360" t="s">
        <v>1464</v>
      </c>
      <c r="F9" s="1377"/>
      <c r="G9" s="1351" t="s">
        <v>1465</v>
      </c>
      <c r="H9" s="1351" t="s">
        <v>1466</v>
      </c>
      <c r="I9" s="1360" t="s">
        <v>142</v>
      </c>
      <c r="O9" s="1360" t="s">
        <v>1467</v>
      </c>
      <c r="V9" s="654" t="s">
        <v>142</v>
      </c>
      <c r="W9" s="1368"/>
      <c r="X9" s="1359" t="s">
        <v>252</v>
      </c>
      <c r="Y9" s="1359" t="s">
        <v>1304</v>
      </c>
      <c r="Z9" s="1375">
        <v>1</v>
      </c>
      <c r="AA9" s="1378"/>
      <c r="AK9" s="1360" t="s">
        <v>1468</v>
      </c>
      <c r="AP9" s="1371" t="s">
        <v>1469</v>
      </c>
      <c r="AQ9" s="1372" t="s">
        <v>1469</v>
      </c>
      <c r="AW9" s="1404" t="s">
        <v>1470</v>
      </c>
      <c r="AX9" s="1404" t="s">
        <v>1470</v>
      </c>
      <c r="AZ9" s="1404" t="s">
        <v>1471</v>
      </c>
      <c r="BB9" s="1404" t="s">
        <v>1472</v>
      </c>
      <c r="BC9" s="1404" t="s">
        <v>1404</v>
      </c>
      <c r="BE9" s="1404">
        <v>2007</v>
      </c>
      <c r="BF9" s="1404" t="s">
        <v>1473</v>
      </c>
      <c r="BH9" s="1352" t="s">
        <v>1474</v>
      </c>
      <c r="BJ9" s="1352" t="s">
        <v>1475</v>
      </c>
      <c r="BL9" s="1352" t="s">
        <v>1475</v>
      </c>
      <c r="BN9" s="1352" t="s">
        <v>1476</v>
      </c>
      <c r="BQ9" s="1565">
        <v>4213777</v>
      </c>
      <c r="BR9" s="1352" t="s">
        <v>205</v>
      </c>
      <c r="BS9" s="1713"/>
      <c r="BT9" s="1565">
        <v>64236875</v>
      </c>
      <c r="BU9" s="1352" t="s">
        <v>304</v>
      </c>
      <c r="BV9" s="1354"/>
      <c r="BW9" s="1974"/>
      <c r="BX9" s="1974"/>
    </row>
    <row customHeight="1" ht="11.25">
      <c r="A10" s="1358" t="s">
        <v>1477</v>
      </c>
      <c r="B10" s="1359">
        <v>2008</v>
      </c>
      <c r="E10" s="1360" t="s">
        <v>1478</v>
      </c>
      <c r="F10" s="1377"/>
      <c r="G10" s="1360" t="s">
        <v>1479</v>
      </c>
      <c r="H10" s="1360" t="s">
        <v>1480</v>
      </c>
      <c r="I10" s="1360" t="s">
        <v>178</v>
      </c>
      <c r="J10" s="1351" t="s">
        <v>1481</v>
      </c>
      <c r="K10" s="1351" t="s">
        <v>1482</v>
      </c>
      <c r="O10" s="1360" t="s">
        <v>1483</v>
      </c>
      <c r="V10" s="655" t="s">
        <v>178</v>
      </c>
      <c r="W10" s="1381"/>
      <c r="X10" s="1381" t="s">
        <v>1484</v>
      </c>
      <c r="Y10" s="1382" t="s">
        <v>1485</v>
      </c>
      <c r="Z10" s="1375"/>
      <c r="AP10" s="1371" t="s">
        <v>1484</v>
      </c>
      <c r="AQ10" s="1372" t="s">
        <v>1484</v>
      </c>
      <c r="AW10" s="1404" t="s">
        <v>1486</v>
      </c>
      <c r="AX10" s="1404" t="s">
        <v>1486</v>
      </c>
      <c r="AZ10" s="1404" t="s">
        <v>1487</v>
      </c>
      <c r="BB10" s="1404" t="s">
        <v>1488</v>
      </c>
      <c r="BC10" s="1404" t="s">
        <v>1404</v>
      </c>
      <c r="BE10" s="1404">
        <v>2008</v>
      </c>
      <c r="BF10" s="1404" t="s">
        <v>1489</v>
      </c>
      <c r="BH10" s="1352" t="s">
        <v>1490</v>
      </c>
      <c r="BJ10" s="1352" t="s">
        <v>1491</v>
      </c>
      <c r="BL10" s="1352" t="s">
        <v>1491</v>
      </c>
      <c r="BN10" s="1352" t="s">
        <v>1492</v>
      </c>
      <c r="BQ10" s="1565">
        <v>4213778</v>
      </c>
      <c r="BR10" s="1352" t="s">
        <v>240</v>
      </c>
      <c r="BS10" s="1713"/>
      <c r="BT10" s="1565">
        <v>64236876</v>
      </c>
      <c r="BU10" s="1352" t="s">
        <v>284</v>
      </c>
      <c r="BV10" s="1354"/>
      <c r="BW10" s="1974"/>
      <c r="BX10" s="1974"/>
    </row>
    <row customHeight="1" ht="11.25">
      <c r="A11" s="1358" t="s">
        <v>1493</v>
      </c>
      <c r="B11" s="1359">
        <v>2009</v>
      </c>
      <c r="E11" s="1360" t="s">
        <v>1494</v>
      </c>
      <c r="F11" s="1377"/>
      <c r="G11" s="1360" t="s">
        <v>1495</v>
      </c>
      <c r="H11" s="1360" t="s">
        <v>1496</v>
      </c>
      <c r="I11" s="1360" t="s">
        <v>179</v>
      </c>
      <c r="J11" s="1361" t="s">
        <v>1497</v>
      </c>
      <c r="K11" s="1383" t="s">
        <v>1498</v>
      </c>
      <c r="O11" s="1361" t="s">
        <v>1499</v>
      </c>
      <c r="V11" s="654" t="s">
        <v>179</v>
      </c>
      <c r="W11" s="559"/>
      <c r="X11" s="1368" t="s">
        <v>1469</v>
      </c>
      <c r="Y11" s="1359" t="s">
        <v>1500</v>
      </c>
      <c r="Z11" s="1375"/>
      <c r="AP11" s="1371" t="s">
        <v>252</v>
      </c>
      <c r="AQ11" s="1373" t="s">
        <v>252</v>
      </c>
      <c r="AW11" s="1404" t="s">
        <v>1501</v>
      </c>
      <c r="AX11" s="1404" t="s">
        <v>1501</v>
      </c>
      <c r="AZ11" s="1404" t="s">
        <v>1502</v>
      </c>
      <c r="BB11" s="1404" t="s">
        <v>1503</v>
      </c>
      <c r="BC11" s="1404" t="s">
        <v>1404</v>
      </c>
      <c r="BE11" s="1404">
        <v>2009</v>
      </c>
      <c r="BF11" s="1404" t="s">
        <v>1504</v>
      </c>
      <c r="BH11" s="1352" t="s">
        <v>1505</v>
      </c>
      <c r="BJ11" s="1352" t="s">
        <v>1474</v>
      </c>
      <c r="BL11" s="1352" t="s">
        <v>1474</v>
      </c>
      <c r="BN11" s="1352" t="s">
        <v>1506</v>
      </c>
      <c r="BQ11" s="1565">
        <v>4213780</v>
      </c>
      <c r="BR11" s="1352" t="s">
        <v>246</v>
      </c>
      <c r="BS11" s="1713"/>
      <c r="BW11" s="1974"/>
      <c r="BX11" s="1974"/>
    </row>
    <row customHeight="1" ht="11.25">
      <c r="A12" s="1358" t="s">
        <v>1507</v>
      </c>
      <c r="B12" s="1359">
        <v>2010</v>
      </c>
      <c r="E12" s="1360" t="s">
        <v>1508</v>
      </c>
      <c r="F12" s="1377"/>
      <c r="G12" s="1360" t="s">
        <v>1496</v>
      </c>
      <c r="I12" s="1360" t="s">
        <v>180</v>
      </c>
      <c r="J12" s="1361" t="s">
        <v>1509</v>
      </c>
      <c r="K12" s="1383" t="s">
        <v>1510</v>
      </c>
      <c r="O12" s="1361" t="s">
        <v>507</v>
      </c>
      <c r="V12" s="654" t="s">
        <v>180</v>
      </c>
      <c r="W12" s="1373"/>
      <c r="X12" s="1368" t="s">
        <v>1511</v>
      </c>
      <c r="Y12" s="1359" t="s">
        <v>1304</v>
      </c>
      <c r="AP12" s="1371"/>
      <c r="AW12" s="1404" t="s">
        <v>179</v>
      </c>
      <c r="AX12" s="1404" t="s">
        <v>179</v>
      </c>
      <c r="AZ12" s="1404" t="s">
        <v>1512</v>
      </c>
      <c r="BB12" s="1404" t="s">
        <v>1513</v>
      </c>
      <c r="BC12" s="1404" t="s">
        <v>1404</v>
      </c>
      <c r="BE12" s="1404">
        <v>2010</v>
      </c>
      <c r="BF12" s="1404" t="s">
        <v>1514</v>
      </c>
      <c r="BH12" s="1352" t="s">
        <v>1515</v>
      </c>
      <c r="BJ12" s="1352" t="s">
        <v>1516</v>
      </c>
      <c r="BL12" s="1352" t="s">
        <v>1516</v>
      </c>
      <c r="BN12" s="1352" t="s">
        <v>1517</v>
      </c>
      <c r="BQ12" s="1565">
        <v>4213779</v>
      </c>
      <c r="BR12" s="1352" t="s">
        <v>1469</v>
      </c>
      <c r="BS12" s="1713"/>
      <c r="BT12" s="1354"/>
      <c r="BU12" s="1354"/>
      <c r="BV12" s="1354"/>
      <c r="BW12" s="1974"/>
      <c r="BX12" s="1974"/>
    </row>
    <row customHeight="1" ht="11.25">
      <c r="A13" s="1358" t="s">
        <v>1518</v>
      </c>
      <c r="B13" s="1359">
        <v>2011</v>
      </c>
      <c r="E13" s="1360" t="s">
        <v>1519</v>
      </c>
      <c r="F13" s="1377"/>
      <c r="I13" s="1360" t="s">
        <v>181</v>
      </c>
      <c r="K13" s="1383" t="s">
        <v>1468</v>
      </c>
      <c r="V13" s="654" t="s">
        <v>181</v>
      </c>
      <c r="W13" s="1373"/>
      <c r="X13" s="1373"/>
      <c r="Y13" s="1373"/>
      <c r="AW13" s="1404" t="s">
        <v>180</v>
      </c>
      <c r="AX13" s="1404" t="s">
        <v>180</v>
      </c>
      <c r="BB13" s="1404" t="s">
        <v>1520</v>
      </c>
      <c r="BC13" s="1404" t="s">
        <v>1521</v>
      </c>
      <c r="BE13" s="1404">
        <v>2011</v>
      </c>
      <c r="BF13" s="1404" t="s">
        <v>1522</v>
      </c>
      <c r="BH13" s="1352" t="s">
        <v>1523</v>
      </c>
      <c r="BJ13" s="1352" t="s">
        <v>1505</v>
      </c>
      <c r="BL13" s="1352" t="s">
        <v>1505</v>
      </c>
      <c r="BN13" s="1352" t="s">
        <v>1524</v>
      </c>
      <c r="BQ13" s="1565">
        <v>4213783</v>
      </c>
      <c r="BR13" s="1352" t="s">
        <v>1484</v>
      </c>
      <c r="BS13" s="1713"/>
      <c r="BT13" s="1354"/>
      <c r="BU13" s="1354"/>
      <c r="BV13" s="1354"/>
      <c r="BW13" s="1978"/>
      <c r="BX13" s="1974"/>
    </row>
    <row customHeight="1" ht="11.25">
      <c r="A14" s="1358" t="s">
        <v>1525</v>
      </c>
      <c r="B14" s="1359">
        <v>2012</v>
      </c>
      <c r="I14" s="1360" t="s">
        <v>182</v>
      </c>
      <c r="J14" s="1351" t="s">
        <v>1526</v>
      </c>
      <c r="N14" s="1351" t="s">
        <v>1527</v>
      </c>
      <c r="V14" s="1367">
        <v>13</v>
      </c>
      <c r="W14" s="1368"/>
      <c r="X14" s="1368" t="s">
        <v>1336</v>
      </c>
      <c r="Y14" s="1359" t="s">
        <v>1304</v>
      </c>
      <c r="AW14" s="1404" t="s">
        <v>181</v>
      </c>
      <c r="AX14" s="1404" t="s">
        <v>181</v>
      </c>
      <c r="AZ14" s="1351" t="s">
        <v>1528</v>
      </c>
      <c r="BB14" s="1404" t="s">
        <v>1529</v>
      </c>
      <c r="BC14" s="1404" t="s">
        <v>1521</v>
      </c>
      <c r="BE14" s="1404">
        <v>2012</v>
      </c>
      <c r="BH14" s="1352" t="s">
        <v>1444</v>
      </c>
      <c r="BJ14" s="1501" t="s">
        <v>1530</v>
      </c>
      <c r="BL14" s="1501" t="s">
        <v>1530</v>
      </c>
      <c r="BN14" s="1352" t="s">
        <v>1531</v>
      </c>
      <c r="BQ14" s="1565">
        <v>4213782</v>
      </c>
      <c r="BR14" s="1352" t="s">
        <v>252</v>
      </c>
      <c r="BS14" s="1713"/>
      <c r="BT14" s="1354"/>
      <c r="BU14" s="1354"/>
      <c r="BV14" s="1354"/>
      <c r="BW14" s="1978"/>
      <c r="BX14" s="1974"/>
    </row>
    <row customHeight="1" ht="19.5">
      <c r="A15" s="1358" t="s">
        <v>1532</v>
      </c>
      <c r="B15" s="1359">
        <v>2013</v>
      </c>
      <c r="E15" s="1982" t="s">
        <v>1533</v>
      </c>
      <c r="G15" s="1351" t="s">
        <v>1534</v>
      </c>
      <c r="H15" s="1351" t="s">
        <v>1535</v>
      </c>
      <c r="I15" s="1362" t="s">
        <v>183</v>
      </c>
      <c r="J15" s="1373" t="s">
        <v>655</v>
      </c>
      <c r="N15" s="1442" t="s">
        <v>1536</v>
      </c>
      <c r="X15" s="1371"/>
      <c r="AW15" s="1404" t="s">
        <v>182</v>
      </c>
      <c r="AX15" s="1404" t="s">
        <v>182</v>
      </c>
      <c r="AZ15" s="1404" t="s">
        <v>1455</v>
      </c>
      <c r="BB15" s="1404" t="s">
        <v>1537</v>
      </c>
      <c r="BC15" s="1404" t="s">
        <v>1521</v>
      </c>
      <c r="BE15" s="1404">
        <v>2013</v>
      </c>
      <c r="BH15" s="1352" t="s">
        <v>1460</v>
      </c>
      <c r="BJ15" s="1501" t="s">
        <v>1538</v>
      </c>
      <c r="BL15" s="1501" t="s">
        <v>1538</v>
      </c>
      <c r="BN15" s="1352" t="s">
        <v>1539</v>
      </c>
      <c r="BR15" s="1354"/>
      <c r="BS15" s="1715"/>
      <c r="BT15" s="1354"/>
      <c r="BU15" s="1354"/>
      <c r="BV15" s="1354"/>
      <c r="BW15" s="1978"/>
      <c r="BX15" s="1974"/>
    </row>
    <row customHeight="1" ht="21">
      <c r="A16" s="2154" t="s">
        <v>1540</v>
      </c>
      <c r="B16" s="1359">
        <v>2014</v>
      </c>
      <c r="E16" s="1983" t="s">
        <v>1541</v>
      </c>
      <c r="G16" s="1360" t="s">
        <v>1542</v>
      </c>
      <c r="H16" s="1360" t="s">
        <v>1543</v>
      </c>
      <c r="I16" s="1362" t="s">
        <v>1544</v>
      </c>
      <c r="J16" s="1373" t="s">
        <v>628</v>
      </c>
      <c r="N16" s="1442" t="s">
        <v>1545</v>
      </c>
      <c r="AW16" s="1404" t="s">
        <v>183</v>
      </c>
      <c r="AX16" s="1404" t="s">
        <v>183</v>
      </c>
      <c r="AZ16" s="1404" t="s">
        <v>1471</v>
      </c>
      <c r="BB16" s="1404" t="s">
        <v>1546</v>
      </c>
      <c r="BC16" s="1404" t="s">
        <v>1521</v>
      </c>
      <c r="BE16" s="1404">
        <v>2014</v>
      </c>
      <c r="BH16" s="1352" t="s">
        <v>1476</v>
      </c>
      <c r="BJ16" s="1501" t="s">
        <v>1547</v>
      </c>
      <c r="BL16" s="1501" t="s">
        <v>1547</v>
      </c>
      <c r="BN16" s="1352" t="s">
        <v>1548</v>
      </c>
      <c r="BR16" s="1354"/>
      <c r="BS16" s="1715"/>
      <c r="BT16" s="1354"/>
      <c r="BU16" s="1354"/>
      <c r="BV16" s="1354"/>
      <c r="BW16" s="1978"/>
      <c r="BX16" s="1974"/>
    </row>
    <row customHeight="1" ht="21">
      <c r="A17" s="1358" t="s">
        <v>1549</v>
      </c>
      <c r="B17" s="1359">
        <v>2015</v>
      </c>
      <c r="G17" s="1360" t="s">
        <v>1496</v>
      </c>
      <c r="H17" s="1360" t="s">
        <v>1496</v>
      </c>
      <c r="I17" s="1360" t="s">
        <v>1550</v>
      </c>
      <c r="N17" s="1442" t="s">
        <v>1551</v>
      </c>
      <c r="X17" s="1371"/>
      <c r="AW17" s="1404" t="s">
        <v>1544</v>
      </c>
      <c r="AX17" s="1404" t="s">
        <v>1544</v>
      </c>
      <c r="AZ17" s="1404" t="s">
        <v>1552</v>
      </c>
      <c r="BB17" s="1404" t="s">
        <v>1553</v>
      </c>
      <c r="BC17" s="1404" t="s">
        <v>1404</v>
      </c>
      <c r="BE17" s="1404">
        <v>2015</v>
      </c>
      <c r="BH17" s="1352" t="s">
        <v>1492</v>
      </c>
      <c r="BJ17" s="1501" t="s">
        <v>1554</v>
      </c>
      <c r="BL17" s="1501" t="s">
        <v>1554</v>
      </c>
      <c r="BN17" s="1352" t="s">
        <v>1555</v>
      </c>
      <c r="BR17" s="1351" t="s">
        <v>1347</v>
      </c>
      <c r="BS17" s="1712"/>
      <c r="BU17" s="1351" t="s">
        <v>1556</v>
      </c>
      <c r="BV17" s="1354"/>
      <c r="BW17" s="1974"/>
      <c r="BX17" s="1976" t="s">
        <v>1557</v>
      </c>
      <c r="CA17" s="1351" t="s">
        <v>1558</v>
      </c>
      <c r="CD17" s="1351" t="s">
        <v>1559</v>
      </c>
    </row>
    <row customHeight="1" ht="21">
      <c r="A18" s="1358" t="s">
        <v>1560</v>
      </c>
      <c r="B18" s="1359">
        <v>2016</v>
      </c>
      <c r="E18" s="2289" t="s">
        <v>1561</v>
      </c>
      <c r="I18" s="1360" t="s">
        <v>1562</v>
      </c>
      <c r="N18" s="1442" t="s">
        <v>1563</v>
      </c>
      <c r="X18" s="1371"/>
      <c r="AW18" s="1404" t="s">
        <v>1550</v>
      </c>
      <c r="AX18" s="1404" t="s">
        <v>1550</v>
      </c>
      <c r="BB18" s="1404" t="s">
        <v>1564</v>
      </c>
      <c r="BC18" s="1404" t="s">
        <v>1404</v>
      </c>
      <c r="BE18" s="1404">
        <v>2016</v>
      </c>
      <c r="BH18" s="1352" t="s">
        <v>1506</v>
      </c>
      <c r="BJ18" s="1501" t="s">
        <v>1565</v>
      </c>
      <c r="BL18" s="1501" t="s">
        <v>1565</v>
      </c>
      <c r="BN18" s="1352" t="s">
        <v>1566</v>
      </c>
      <c r="BQ18" s="1716" t="s">
        <v>1377</v>
      </c>
      <c r="BR18" s="1443" t="s">
        <v>1378</v>
      </c>
      <c r="BS18" s="558"/>
      <c r="BT18" s="1716" t="s">
        <v>1567</v>
      </c>
      <c r="BU18" s="1443" t="s">
        <v>1568</v>
      </c>
      <c r="BV18" s="1354"/>
      <c r="BW18" s="1981" t="s">
        <v>1569</v>
      </c>
      <c r="BX18" s="1975" t="s">
        <v>1570</v>
      </c>
      <c r="BZ18" s="1716" t="s">
        <v>1571</v>
      </c>
      <c r="CA18" s="1443" t="s">
        <v>1572</v>
      </c>
      <c r="CC18" s="1716" t="s">
        <v>1573</v>
      </c>
      <c r="CD18" s="1443" t="s">
        <v>1574</v>
      </c>
    </row>
    <row customHeight="1" ht="21">
      <c r="A19" s="2154" t="s">
        <v>1575</v>
      </c>
      <c r="B19" s="1359">
        <v>2017</v>
      </c>
      <c r="E19" s="1358" t="s">
        <v>190</v>
      </c>
      <c r="I19" s="1360" t="s">
        <v>1576</v>
      </c>
      <c r="N19" s="1442" t="s">
        <v>1577</v>
      </c>
      <c r="X19" s="1371"/>
      <c r="AW19" s="1404" t="s">
        <v>1562</v>
      </c>
      <c r="AX19" s="1404" t="s">
        <v>1562</v>
      </c>
      <c r="AZ19" s="1351" t="s">
        <v>1578</v>
      </c>
      <c r="BB19" s="1404" t="s">
        <v>1579</v>
      </c>
      <c r="BC19" s="1404" t="s">
        <v>1404</v>
      </c>
      <c r="BE19" s="1404">
        <v>2017</v>
      </c>
      <c r="BH19" s="1352" t="s">
        <v>1580</v>
      </c>
      <c r="BJ19" s="1501" t="s">
        <v>1581</v>
      </c>
      <c r="BL19" s="1501" t="s">
        <v>1581</v>
      </c>
      <c r="BQ19" s="1565">
        <v>4190064</v>
      </c>
      <c r="BR19" s="1352" t="s">
        <v>1582</v>
      </c>
      <c r="BS19" s="1713"/>
      <c r="BT19" s="1565">
        <v>4189671</v>
      </c>
      <c r="BU19" s="1352" t="s">
        <v>1583</v>
      </c>
      <c r="BV19" s="1354"/>
      <c r="BW19" s="1979">
        <v>4189706</v>
      </c>
      <c r="BX19" s="1977" t="s">
        <v>1584</v>
      </c>
      <c r="BZ19" s="1565">
        <v>4189714</v>
      </c>
      <c r="CA19" s="1352" t="s">
        <v>1585</v>
      </c>
      <c r="CC19" s="1565">
        <v>4189708</v>
      </c>
      <c r="CD19" s="1352" t="s">
        <v>1586</v>
      </c>
    </row>
    <row customHeight="1" ht="21">
      <c r="A20" s="1358" t="s">
        <v>1587</v>
      </c>
      <c r="B20" s="1359">
        <v>2018</v>
      </c>
      <c r="E20" s="1358" t="s">
        <v>1336</v>
      </c>
      <c r="I20" s="1360" t="s">
        <v>1588</v>
      </c>
      <c r="N20" s="1442" t="s">
        <v>1589</v>
      </c>
      <c r="AW20" s="1404" t="s">
        <v>1576</v>
      </c>
      <c r="AX20" s="1404" t="s">
        <v>1576</v>
      </c>
      <c r="AZ20" s="1404" t="s">
        <v>1590</v>
      </c>
      <c r="BB20" s="1404" t="s">
        <v>1591</v>
      </c>
      <c r="BC20" s="1404" t="s">
        <v>1521</v>
      </c>
      <c r="BE20" s="1404">
        <v>2018</v>
      </c>
      <c r="BH20" s="1352" t="s">
        <v>1517</v>
      </c>
      <c r="BJ20" s="1352" t="s">
        <v>1444</v>
      </c>
      <c r="BL20" s="1352" t="s">
        <v>1444</v>
      </c>
      <c r="BQ20" s="1565">
        <v>4190065</v>
      </c>
      <c r="BR20" s="1352" t="s">
        <v>1592</v>
      </c>
      <c r="BS20" s="1713"/>
      <c r="BT20" s="1565">
        <v>4189672</v>
      </c>
      <c r="BU20" s="1352" t="s">
        <v>1593</v>
      </c>
      <c r="BV20" s="1354"/>
      <c r="BW20" s="1979">
        <v>4189705</v>
      </c>
      <c r="BX20" s="1977" t="s">
        <v>1594</v>
      </c>
      <c r="BZ20" s="1565">
        <v>4189713</v>
      </c>
      <c r="CA20" s="1352" t="s">
        <v>1594</v>
      </c>
      <c r="CC20" s="1565">
        <v>4189709</v>
      </c>
      <c r="CD20" s="1352" t="s">
        <v>1595</v>
      </c>
    </row>
    <row customHeight="1" ht="21">
      <c r="A21" s="1358" t="s">
        <v>1596</v>
      </c>
      <c r="B21" s="1359">
        <v>2019</v>
      </c>
      <c r="I21" s="1360" t="s">
        <v>1597</v>
      </c>
      <c r="N21" s="1442" t="s">
        <v>1598</v>
      </c>
      <c r="AW21" s="1404" t="s">
        <v>1588</v>
      </c>
      <c r="AX21" s="1404" t="s">
        <v>1588</v>
      </c>
      <c r="AZ21" s="1404" t="s">
        <v>1599</v>
      </c>
      <c r="BB21" s="1404" t="s">
        <v>1600</v>
      </c>
      <c r="BC21" s="1404" t="s">
        <v>1404</v>
      </c>
      <c r="BE21" s="1404">
        <v>2019</v>
      </c>
      <c r="BH21" s="1352" t="s">
        <v>1524</v>
      </c>
      <c r="BJ21" s="1352" t="s">
        <v>1460</v>
      </c>
      <c r="BL21" s="1352" t="s">
        <v>1460</v>
      </c>
      <c r="BQ21" s="1565">
        <v>4190066</v>
      </c>
      <c r="BR21" s="1352" t="s">
        <v>1601</v>
      </c>
      <c r="BS21" s="1713"/>
      <c r="BT21" s="1565">
        <v>4189673</v>
      </c>
      <c r="BU21" s="1352" t="s">
        <v>1602</v>
      </c>
      <c r="BV21" s="1354"/>
      <c r="BW21" s="1979">
        <v>4189707</v>
      </c>
      <c r="BX21" s="1977" t="s">
        <v>1603</v>
      </c>
      <c r="BZ21" s="1565">
        <v>4189712</v>
      </c>
      <c r="CA21" s="1352" t="s">
        <v>1604</v>
      </c>
      <c r="CC21" s="1565">
        <v>4189710</v>
      </c>
      <c r="CD21" s="1352" t="s">
        <v>1605</v>
      </c>
    </row>
    <row customHeight="1" ht="21">
      <c r="A22" s="1358" t="s">
        <v>1606</v>
      </c>
      <c r="B22" s="1359">
        <v>2020</v>
      </c>
      <c r="N22" s="1442" t="s">
        <v>1607</v>
      </c>
      <c r="AW22" s="1404" t="s">
        <v>1597</v>
      </c>
      <c r="AX22" s="1404" t="s">
        <v>1597</v>
      </c>
      <c r="AZ22" s="1404" t="s">
        <v>1608</v>
      </c>
      <c r="BB22" s="1404" t="s">
        <v>1609</v>
      </c>
      <c r="BC22" s="1404" t="s">
        <v>1404</v>
      </c>
      <c r="BE22" s="1404">
        <v>2020</v>
      </c>
      <c r="BH22" s="1352" t="s">
        <v>1531</v>
      </c>
      <c r="BJ22" s="1352" t="s">
        <v>1476</v>
      </c>
      <c r="BL22" s="1352" t="s">
        <v>1476</v>
      </c>
      <c r="BQ22" s="1565">
        <v>4190067</v>
      </c>
      <c r="BR22" s="1352" t="s">
        <v>1610</v>
      </c>
      <c r="BS22" s="1713"/>
      <c r="BT22" s="1565">
        <v>4189674</v>
      </c>
      <c r="BU22" s="1352" t="s">
        <v>1611</v>
      </c>
      <c r="BV22" s="1354"/>
      <c r="BW22" s="1354"/>
      <c r="CC22" s="1565">
        <v>4189711</v>
      </c>
      <c r="CD22" s="1352" t="s">
        <v>353</v>
      </c>
    </row>
    <row customHeight="1" ht="21">
      <c r="A23" s="1358" t="s">
        <v>1612</v>
      </c>
      <c r="B23" s="1359">
        <v>2021</v>
      </c>
      <c r="AW23" s="1404" t="s">
        <v>1613</v>
      </c>
      <c r="AX23" s="1404" t="s">
        <v>1613</v>
      </c>
      <c r="AZ23" s="1404" t="s">
        <v>1614</v>
      </c>
      <c r="BB23" s="1404" t="s">
        <v>1615</v>
      </c>
      <c r="BC23" s="1404" t="s">
        <v>1314</v>
      </c>
      <c r="BE23" s="1404">
        <v>2021</v>
      </c>
      <c r="BH23" s="1352" t="s">
        <v>1539</v>
      </c>
      <c r="BJ23" s="1352" t="s">
        <v>1492</v>
      </c>
      <c r="BL23" s="1352" t="s">
        <v>1492</v>
      </c>
      <c r="BQ23" s="1565">
        <v>4190068</v>
      </c>
      <c r="BR23" s="1352" t="s">
        <v>1616</v>
      </c>
      <c r="BS23" s="1713"/>
      <c r="BT23" s="1565">
        <v>4189675</v>
      </c>
      <c r="BU23" s="1352" t="s">
        <v>1617</v>
      </c>
      <c r="BV23" s="1354"/>
      <c r="BW23" s="1354"/>
      <c r="CC23" s="1565">
        <v>5110778</v>
      </c>
      <c r="CD23" s="1352" t="s">
        <v>1618</v>
      </c>
    </row>
    <row customHeight="1" ht="21">
      <c r="A24" s="1358" t="s">
        <v>1619</v>
      </c>
      <c r="B24" s="1359">
        <v>2022</v>
      </c>
      <c r="AW24" s="1404" t="s">
        <v>1620</v>
      </c>
      <c r="AX24" s="1404" t="s">
        <v>1620</v>
      </c>
      <c r="AZ24" s="1404" t="s">
        <v>1621</v>
      </c>
      <c r="BB24" s="1404" t="s">
        <v>1622</v>
      </c>
      <c r="BC24" s="1404" t="s">
        <v>1623</v>
      </c>
      <c r="BE24" s="1404">
        <v>2022</v>
      </c>
      <c r="BH24" s="1352" t="s">
        <v>1548</v>
      </c>
      <c r="BJ24" s="1352" t="s">
        <v>1506</v>
      </c>
      <c r="BL24" s="1352" t="s">
        <v>1506</v>
      </c>
      <c r="BQ24" s="1565">
        <v>4190069</v>
      </c>
      <c r="BR24" s="1352" t="s">
        <v>1624</v>
      </c>
      <c r="BS24" s="1713"/>
      <c r="BT24" s="1565">
        <v>4189676</v>
      </c>
      <c r="BU24" s="1352" t="s">
        <v>1625</v>
      </c>
      <c r="BV24" s="1354"/>
      <c r="BW24" s="1354"/>
      <c r="CC24" s="1565">
        <v>25575374</v>
      </c>
      <c r="CD24" s="1352" t="s">
        <v>1626</v>
      </c>
    </row>
    <row customHeight="1" ht="11.25">
      <c r="A25" s="1358" t="s">
        <v>1627</v>
      </c>
      <c r="B25" s="1359">
        <v>2023</v>
      </c>
      <c r="AW25" s="1404" t="s">
        <v>1628</v>
      </c>
      <c r="AX25" s="1404" t="s">
        <v>1628</v>
      </c>
      <c r="AZ25" s="1404" t="s">
        <v>1629</v>
      </c>
      <c r="BB25" s="1404" t="s">
        <v>1630</v>
      </c>
      <c r="BC25" s="1404" t="s">
        <v>1623</v>
      </c>
      <c r="BE25" s="1404">
        <v>2023</v>
      </c>
      <c r="BH25" s="1352" t="s">
        <v>1555</v>
      </c>
      <c r="BJ25" s="1352" t="s">
        <v>1580</v>
      </c>
      <c r="BL25" s="1352" t="s">
        <v>1580</v>
      </c>
      <c r="BQ25" s="1565">
        <v>4190070</v>
      </c>
      <c r="BR25" s="1352" t="s">
        <v>1631</v>
      </c>
      <c r="BS25" s="1713"/>
      <c r="BT25" s="1565">
        <v>4189677</v>
      </c>
      <c r="BU25" s="1352" t="s">
        <v>1632</v>
      </c>
      <c r="BV25" s="1354"/>
      <c r="BW25" s="1354"/>
    </row>
    <row customHeight="1" ht="11.25">
      <c r="A26" s="1358" t="s">
        <v>1633</v>
      </c>
      <c r="B26" s="1359">
        <v>2024</v>
      </c>
      <c r="J26" s="2015" t="s">
        <v>1634</v>
      </c>
      <c r="AX26" s="1404" t="s">
        <v>1635</v>
      </c>
      <c r="AZ26" s="1404" t="s">
        <v>1499</v>
      </c>
      <c r="BB26" s="1404" t="s">
        <v>1636</v>
      </c>
      <c r="BC26" s="1404" t="s">
        <v>1623</v>
      </c>
      <c r="BE26" s="1404">
        <v>2024</v>
      </c>
      <c r="BH26" s="1352" t="s">
        <v>1566</v>
      </c>
      <c r="BJ26" s="1352" t="s">
        <v>1517</v>
      </c>
      <c r="BL26" s="1352" t="s">
        <v>1517</v>
      </c>
      <c r="BQ26" s="1565">
        <v>4190071</v>
      </c>
      <c r="BR26" s="1352" t="s">
        <v>1637</v>
      </c>
      <c r="BS26" s="1713"/>
      <c r="BV26" s="1354"/>
      <c r="BW26" s="1354"/>
    </row>
    <row customHeight="1" ht="11.25">
      <c r="A27" s="1358" t="s">
        <v>1638</v>
      </c>
      <c r="B27" s="1359">
        <v>2025</v>
      </c>
      <c r="J27" s="460" t="s">
        <v>106</v>
      </c>
      <c r="AX27" s="1404" t="s">
        <v>1639</v>
      </c>
      <c r="BB27" s="1404" t="s">
        <v>1640</v>
      </c>
      <c r="BC27" s="1404" t="s">
        <v>1623</v>
      </c>
      <c r="BE27" s="1404">
        <v>2025</v>
      </c>
      <c r="BH27" s="1354" t="s">
        <v>28</v>
      </c>
      <c r="BJ27" s="1352" t="s">
        <v>1524</v>
      </c>
      <c r="BL27" s="1352" t="s">
        <v>1524</v>
      </c>
      <c r="BN27" s="1354" t="s">
        <v>28</v>
      </c>
      <c r="BQ27" s="1565">
        <v>4190072</v>
      </c>
      <c r="BR27" s="1352" t="s">
        <v>1641</v>
      </c>
      <c r="BS27" s="1713"/>
      <c r="BV27" s="1354"/>
      <c r="BW27" s="1354"/>
    </row>
    <row customHeight="1" ht="11.25">
      <c r="A28" s="1358" t="s">
        <v>1642</v>
      </c>
      <c r="D28" s="1385"/>
      <c r="E28" s="1386"/>
      <c r="F28" s="1386"/>
      <c r="H28" s="1387" t="s">
        <v>1643</v>
      </c>
      <c r="AX28" s="1404" t="s">
        <v>1644</v>
      </c>
      <c r="AZ28" s="1351" t="s">
        <v>1645</v>
      </c>
      <c r="BB28" s="1404" t="s">
        <v>1646</v>
      </c>
      <c r="BC28" s="1404" t="s">
        <v>1647</v>
      </c>
      <c r="BE28" s="1404">
        <v>2026</v>
      </c>
      <c r="BH28" s="1354" t="s">
        <v>28</v>
      </c>
      <c r="BJ28" s="1352" t="s">
        <v>1531</v>
      </c>
      <c r="BL28" s="1352" t="s">
        <v>1531</v>
      </c>
      <c r="BN28" s="1354" t="s">
        <v>28</v>
      </c>
      <c r="BQ28" s="1565">
        <v>4190073</v>
      </c>
      <c r="BR28" s="1352" t="s">
        <v>1648</v>
      </c>
      <c r="BS28" s="1713"/>
      <c r="BV28" s="1354"/>
      <c r="BW28" s="1354"/>
    </row>
    <row customHeight="1" ht="11.25">
      <c r="A29" s="1358" t="s">
        <v>1649</v>
      </c>
      <c r="D29" s="1388" t="s">
        <v>1650</v>
      </c>
      <c r="E29" s="1389" t="str">
        <f>IF(TEMPLATE_GROUP="","",INDEX(StartDateList,MATCH(TEMPLATE_GROUP,CodeTemplateList,0),1))</f>
        <v>01.01.2024</v>
      </c>
      <c r="F29" s="1389" t="str">
        <f>IF(TEMPLATE_GROUP="","",INDEX(EndDateList,MATCH(TEMPLATE_GROUP,CodeTemplateList,0),1))</f>
        <v>31.12.2028</v>
      </c>
      <c r="H29" s="1390" t="s">
        <v>1651</v>
      </c>
      <c r="AX29" s="1404" t="s">
        <v>1652</v>
      </c>
      <c r="AZ29" s="1404" t="s">
        <v>1299</v>
      </c>
      <c r="BB29" s="1404" t="s">
        <v>1499</v>
      </c>
      <c r="BC29" s="1375"/>
      <c r="BE29" s="1404">
        <v>2027</v>
      </c>
      <c r="BJ29" s="1352" t="s">
        <v>1539</v>
      </c>
      <c r="BL29" s="1352" t="s">
        <v>1539</v>
      </c>
    </row>
    <row customHeight="1" ht="11.25">
      <c r="A30" s="1358" t="s">
        <v>1653</v>
      </c>
      <c r="D30" s="1391"/>
      <c r="E30" s="1392"/>
      <c r="F30" s="1392"/>
      <c r="AX30" s="1404" t="s">
        <v>1654</v>
      </c>
      <c r="AZ30" s="1404" t="s">
        <v>1325</v>
      </c>
      <c r="BE30" s="1404">
        <v>2028</v>
      </c>
      <c r="BJ30" s="1352" t="s">
        <v>1655</v>
      </c>
      <c r="BL30" s="1352" t="s">
        <v>1655</v>
      </c>
    </row>
    <row customHeight="1" ht="12.75">
      <c r="A31" s="1358" t="s">
        <v>1656</v>
      </c>
      <c r="D31" s="1385"/>
      <c r="E31" s="1386"/>
      <c r="F31" s="1386"/>
      <c r="H31" s="1393"/>
      <c r="AX31" s="1404" t="s">
        <v>1657</v>
      </c>
      <c r="AZ31" s="1404" t="s">
        <v>510</v>
      </c>
      <c r="BE31" s="1404">
        <v>2029</v>
      </c>
      <c r="BJ31" s="1352" t="s">
        <v>1658</v>
      </c>
      <c r="BL31" s="1352" t="s">
        <v>1658</v>
      </c>
    </row>
    <row customHeight="1" ht="11.25">
      <c r="A32" s="1358" t="s">
        <v>1659</v>
      </c>
      <c r="D32" s="1388" t="s">
        <v>1660</v>
      </c>
      <c r="E32" s="1389" t="str">
        <f>IF(TEMPLATE_GROUP="","",INDEX(StartDateList,MATCH(TEMPLATE_GROUP,CodeTemplateList,0),1))</f>
        <v>01.01.2024</v>
      </c>
      <c r="F32" s="1389" t="str">
        <f>IF(TEMPLATE_GROUP="","",INDEX(EndDateList,MATCH(TEMPLATE_GROUP,CodeTemplateList,0),1))</f>
        <v>31.12.2028</v>
      </c>
      <c r="H32" s="1394" t="s">
        <v>1661</v>
      </c>
      <c r="O32" s="1358" t="s">
        <v>508</v>
      </c>
      <c r="AX32" s="1404" t="s">
        <v>1662</v>
      </c>
      <c r="AZ32" s="1404" t="s">
        <v>535</v>
      </c>
      <c r="BE32" s="1404">
        <v>2030</v>
      </c>
      <c r="BJ32" s="1352" t="s">
        <v>1548</v>
      </c>
      <c r="BL32" s="1352" t="s">
        <v>1548</v>
      </c>
    </row>
    <row customHeight="1" ht="11.25">
      <c r="A33" s="1358" t="s">
        <v>1663</v>
      </c>
      <c r="O33" s="1358" t="s">
        <v>1323</v>
      </c>
      <c r="AX33" s="1404" t="s">
        <v>1664</v>
      </c>
      <c r="AZ33" s="1404" t="s">
        <v>507</v>
      </c>
      <c r="BE33" s="1404">
        <v>2031</v>
      </c>
      <c r="BJ33" s="1352" t="s">
        <v>1555</v>
      </c>
      <c r="BL33" s="1352" t="s">
        <v>1555</v>
      </c>
    </row>
    <row customHeight="1" ht="11.25">
      <c r="A34" s="1358" t="s">
        <v>1665</v>
      </c>
      <c r="O34" s="1358" t="s">
        <v>1358</v>
      </c>
      <c r="AX34" s="1404" t="s">
        <v>1666</v>
      </c>
      <c r="BE34" s="1404">
        <v>2032</v>
      </c>
      <c r="BJ34" s="1352" t="s">
        <v>1566</v>
      </c>
      <c r="BL34" s="1352" t="s">
        <v>1566</v>
      </c>
    </row>
    <row customHeight="1" ht="11.25">
      <c r="A35" s="1358" t="s">
        <v>1667</v>
      </c>
      <c r="O35" s="1358" t="s">
        <v>1391</v>
      </c>
      <c r="AX35" s="1404" t="s">
        <v>1668</v>
      </c>
      <c r="AZ35" s="1351" t="s">
        <v>1669</v>
      </c>
      <c r="BE35" s="1404">
        <v>2033</v>
      </c>
      <c r="BL35" s="1352" t="s">
        <v>1670</v>
      </c>
    </row>
    <row customHeight="1" ht="11.25">
      <c r="A36" s="2154" t="s">
        <v>1671</v>
      </c>
      <c r="D36" s="1395" t="s">
        <v>1672</v>
      </c>
      <c r="E36" s="1396" t="s">
        <v>879</v>
      </c>
      <c r="F36" s="1397" t="str">
        <f>INDEX(E37:E41,MATCH(TEMPLATE_SPHERE,F37:F41,0))</f>
        <v>теплоснабжения</v>
      </c>
      <c r="G36" s="1397" t="str">
        <f>INDEX(G37:G41,MATCH(TEMPLATE_SPHERE,F37:F41,0))</f>
        <v>теплоснабжение</v>
      </c>
      <c r="O36" s="1358" t="s">
        <v>1415</v>
      </c>
      <c r="AX36" s="1404" t="s">
        <v>1673</v>
      </c>
      <c r="AZ36" s="1404" t="s">
        <v>507</v>
      </c>
      <c r="BE36" s="1404">
        <v>2034</v>
      </c>
      <c r="BL36" s="1352" t="s">
        <v>1674</v>
      </c>
    </row>
    <row customHeight="1" ht="11.25">
      <c r="A37" s="1358" t="s">
        <v>1675</v>
      </c>
      <c r="E37" s="691" t="s">
        <v>1676</v>
      </c>
      <c r="F37" s="1398" t="s">
        <v>879</v>
      </c>
      <c r="G37" s="691" t="s">
        <v>1677</v>
      </c>
      <c r="O37" s="1358" t="s">
        <v>1434</v>
      </c>
      <c r="AX37" s="1404" t="s">
        <v>1678</v>
      </c>
      <c r="AZ37" s="1404" t="s">
        <v>1324</v>
      </c>
      <c r="BE37" s="1404">
        <v>2035</v>
      </c>
    </row>
    <row customHeight="1" ht="11.25">
      <c r="A38" s="1358" t="s">
        <v>1679</v>
      </c>
      <c r="E38" s="691" t="s">
        <v>1680</v>
      </c>
      <c r="F38" s="1399" t="s">
        <v>925</v>
      </c>
      <c r="G38" s="691" t="s">
        <v>1681</v>
      </c>
      <c r="O38" s="1358" t="s">
        <v>1451</v>
      </c>
      <c r="AX38" s="1404" t="s">
        <v>1682</v>
      </c>
      <c r="AZ38" s="1404" t="s">
        <v>1359</v>
      </c>
      <c r="BE38" s="1404">
        <v>2036</v>
      </c>
      <c r="BH38" s="1351" t="s">
        <v>1683</v>
      </c>
      <c r="BJ38" s="1351" t="s">
        <v>1684</v>
      </c>
      <c r="BL38" s="1351" t="s">
        <v>1685</v>
      </c>
      <c r="BN38" s="1351" t="s">
        <v>1686</v>
      </c>
    </row>
    <row customHeight="1" ht="11.25">
      <c r="A39" s="1358" t="s">
        <v>1687</v>
      </c>
      <c r="E39" s="691" t="s">
        <v>1688</v>
      </c>
      <c r="F39" s="1399" t="s">
        <v>978</v>
      </c>
      <c r="G39" s="691" t="s">
        <v>1689</v>
      </c>
      <c r="O39" s="1358" t="s">
        <v>1467</v>
      </c>
      <c r="AX39" s="1404" t="s">
        <v>1690</v>
      </c>
      <c r="AZ39" s="1404" t="s">
        <v>1392</v>
      </c>
      <c r="BE39" s="1404">
        <v>2037</v>
      </c>
      <c r="BH39" s="1352" t="s">
        <v>1691</v>
      </c>
      <c r="BJ39" s="1501" t="s">
        <v>1691</v>
      </c>
      <c r="BL39" s="1501" t="s">
        <v>1691</v>
      </c>
      <c r="BN39" s="1352" t="s">
        <v>1692</v>
      </c>
    </row>
    <row customHeight="1" ht="11.25">
      <c r="A40" s="1358" t="s">
        <v>1693</v>
      </c>
      <c r="E40" s="691" t="s">
        <v>1694</v>
      </c>
      <c r="F40" s="1399" t="s">
        <v>965</v>
      </c>
      <c r="G40" s="691" t="s">
        <v>1695</v>
      </c>
      <c r="O40" s="1358" t="s">
        <v>1483</v>
      </c>
      <c r="AX40" s="1404" t="s">
        <v>1696</v>
      </c>
      <c r="BE40" s="1404">
        <v>2038</v>
      </c>
      <c r="BH40" s="1352" t="s">
        <v>1697</v>
      </c>
      <c r="BJ40" s="1501" t="s">
        <v>1098</v>
      </c>
      <c r="BL40" s="1501" t="s">
        <v>1098</v>
      </c>
      <c r="BN40" s="1352" t="s">
        <v>1132</v>
      </c>
    </row>
    <row customHeight="1" ht="11.25">
      <c r="A41" s="1358" t="s">
        <v>1698</v>
      </c>
      <c r="E41" s="691" t="s">
        <v>1699</v>
      </c>
      <c r="F41" s="1399" t="s">
        <v>1700</v>
      </c>
      <c r="G41" s="691" t="s">
        <v>1699</v>
      </c>
      <c r="O41" s="1358" t="s">
        <v>1499</v>
      </c>
      <c r="AX41" s="1404" t="s">
        <v>1701</v>
      </c>
      <c r="AZ41" s="1351" t="s">
        <v>1702</v>
      </c>
      <c r="BE41" s="1404">
        <v>2039</v>
      </c>
      <c r="BH41" s="1352" t="s">
        <v>1703</v>
      </c>
      <c r="BJ41" s="1501" t="s">
        <v>1094</v>
      </c>
      <c r="BL41" s="1501" t="s">
        <v>1094</v>
      </c>
      <c r="BN41" s="1352" t="s">
        <v>1119</v>
      </c>
    </row>
    <row customHeight="1" ht="11.25">
      <c r="A42" s="1358" t="s">
        <v>1704</v>
      </c>
      <c r="AX42" s="1404" t="s">
        <v>1705</v>
      </c>
      <c r="AZ42" s="1404" t="s">
        <v>508</v>
      </c>
      <c r="BE42" s="1404">
        <v>2040</v>
      </c>
      <c r="BH42" s="1352" t="s">
        <v>1116</v>
      </c>
      <c r="BJ42" s="1501" t="s">
        <v>1096</v>
      </c>
      <c r="BL42" s="1501" t="s">
        <v>1096</v>
      </c>
      <c r="BN42" s="1352" t="s">
        <v>1706</v>
      </c>
    </row>
    <row customHeight="1" ht="11.25">
      <c r="A43" s="1358" t="s">
        <v>1707</v>
      </c>
      <c r="AX43" s="1404" t="s">
        <v>1708</v>
      </c>
      <c r="AZ43" s="1404" t="s">
        <v>1323</v>
      </c>
      <c r="BE43" s="1404">
        <v>2041</v>
      </c>
      <c r="BH43" s="1352" t="s">
        <v>1709</v>
      </c>
      <c r="BJ43" s="1501" t="s">
        <v>1703</v>
      </c>
      <c r="BL43" s="1501" t="s">
        <v>1703</v>
      </c>
      <c r="BN43" s="1352" t="s">
        <v>1710</v>
      </c>
    </row>
    <row customHeight="1" ht="11.25">
      <c r="A44" s="1358" t="s">
        <v>1711</v>
      </c>
      <c r="G44" s="1378">
        <f>YEAR(TODAY())</f>
        <v>2025</v>
      </c>
      <c r="I44" s="1083" t="s">
        <v>1712</v>
      </c>
      <c r="J44" s="1373" t="s">
        <v>1713</v>
      </c>
      <c r="K44" s="1373" t="s">
        <v>1714</v>
      </c>
      <c r="AX44" s="1404" t="s">
        <v>1715</v>
      </c>
      <c r="AZ44" s="1404" t="s">
        <v>1358</v>
      </c>
      <c r="BE44" s="1404">
        <v>2042</v>
      </c>
      <c r="BH44" s="1352" t="s">
        <v>1716</v>
      </c>
      <c r="BJ44" s="1501" t="s">
        <v>1116</v>
      </c>
      <c r="BL44" s="1501" t="s">
        <v>1116</v>
      </c>
      <c r="BN44" s="1352" t="s">
        <v>1717</v>
      </c>
    </row>
    <row customHeight="1" ht="11.25">
      <c r="A45" s="1358" t="s">
        <v>1718</v>
      </c>
      <c r="D45" s="1395" t="s">
        <v>1719</v>
      </c>
      <c r="E45" s="1396" t="s">
        <v>1720</v>
      </c>
      <c r="F45" s="1081" t="s">
        <v>1721</v>
      </c>
      <c r="G45" s="1080" t="s">
        <v>1722</v>
      </c>
      <c r="H45" s="1083" t="s">
        <v>1723</v>
      </c>
      <c r="I45" s="2025">
        <f>INDEX(PeriodIsEmptyList,MATCH(TEMPLATE_GROUP,CodeTemplateList,0),1)</f>
        <v>0</v>
      </c>
      <c r="J45" s="2028" t="str">
        <f>INDEX(NameTemplatesInTitleList,MATCH(TEMPLATE_GROUP,CodeTemplateList,0),1)</f>
        <v>Показатели, подлежащие раскрытию в сфере теплоснабжения (цены и тарифы)</v>
      </c>
      <c r="K45" s="202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404" t="s">
        <v>1724</v>
      </c>
      <c r="AZ45" s="1404" t="s">
        <v>1391</v>
      </c>
      <c r="BE45" s="1404">
        <v>2043</v>
      </c>
      <c r="BH45" s="1352" t="s">
        <v>1725</v>
      </c>
      <c r="BJ45" s="1501" t="s">
        <v>1110</v>
      </c>
      <c r="BL45" s="1501" t="s">
        <v>1110</v>
      </c>
      <c r="BN45" s="1352" t="s">
        <v>1726</v>
      </c>
    </row>
    <row customHeight="1" ht="11.25">
      <c r="A46" s="1358" t="s">
        <v>1727</v>
      </c>
      <c r="E46" s="691" t="s">
        <v>26</v>
      </c>
      <c r="F46" s="1398" t="s">
        <v>1728</v>
      </c>
      <c r="G46" s="1400" t="str">
        <f>_xlfn.IFERROR(IF(TITLE_DATE_FIL="","01.01."&amp;CURRENT_YEAR,"01.01."&amp;YEAR(TITLE_DATE_FIL)),"01.01."&amp;CURRENT_YEAR)</f>
        <v>01.01.2025</v>
      </c>
      <c r="H46" s="1400" t="str">
        <f>_xlfn.IFERROR(IF(TITLE_DATE_FIL="","31.12."&amp;CURRENT_YEAR,"31.12."&amp;YEAR(TITLE_DATE_FIL)),"31.12."&amp;CURRENT_YEAR)</f>
        <v>31.12.2025</v>
      </c>
      <c r="I46" s="2026">
        <f>IF(TITLE_DATE_FIL="",TRUE,FALSE)</f>
        <v>1</v>
      </c>
      <c r="J46" s="2029" t="str">
        <f>"Общая информация о регулируемой организации ("&amp;TEMPLATE_SPHERE_RUS&amp;")"</f>
        <v>Общая информация о регулируемой организации (теплоснабжения)</v>
      </c>
      <c r="K46" s="2030"/>
      <c r="AX46" s="1404" t="s">
        <v>1729</v>
      </c>
      <c r="AZ46" s="1404" t="s">
        <v>1415</v>
      </c>
      <c r="BE46" s="1404">
        <v>2044</v>
      </c>
      <c r="BH46" s="1352" t="s">
        <v>1119</v>
      </c>
      <c r="BJ46" s="1501" t="s">
        <v>1100</v>
      </c>
      <c r="BL46" s="1501" t="s">
        <v>1100</v>
      </c>
      <c r="BN46" s="1352" t="s">
        <v>1730</v>
      </c>
    </row>
    <row customHeight="1" ht="11.25">
      <c r="A47" s="1358" t="s">
        <v>1731</v>
      </c>
      <c r="E47" s="691" t="s">
        <v>33</v>
      </c>
      <c r="F47" s="1399" t="s">
        <v>1732</v>
      </c>
      <c r="G47" s="1400" t="str">
        <f>_xlfn.IFERROR(IF(f_year="","01.01."&amp;CURRENT_YEAR,IF(LEN(f_quart)=0,"01.01."&amp;f_year,IF(f_quart="I квартал","01.01."&amp;f_year,IF(f_quart="II квартал","01.04."&amp;f_year,(IF(f_quart="III квартал","01.07."&amp;f_year,"01.10."&amp;f_year)))))),"01.01."&amp;CURRENT_YEAR)</f>
        <v>01.01.2025</v>
      </c>
      <c r="H47" s="1400" t="str">
        <f>_xlfn.IFERROR(IF(f_year="","31.12."&amp;CURRENT_YEAR,IF(LEN(f_quart)=0,"31.12."&amp;f_year,IF(f_quart="I квартал","31.03."&amp;f_year,IF(f_quart="II квартал","30.06."&amp;f_year,(IF(f_quart="III квартал","30.09."&amp;f_year,"31.12."&amp;f_year)))))),"31.12."&amp;CURRENT_YEAR)</f>
        <v>31.12.2025</v>
      </c>
      <c r="I47" s="2027">
        <f>IF(OR(f_year="",f_quart=""),TRUE,FALSE)</f>
        <v>1</v>
      </c>
      <c r="J47" s="202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030"/>
      <c r="AX47" s="1404" t="s">
        <v>126</v>
      </c>
      <c r="AZ47" s="1404" t="s">
        <v>1434</v>
      </c>
      <c r="BE47" s="1404">
        <v>2045</v>
      </c>
      <c r="BH47" s="1352" t="s">
        <v>1706</v>
      </c>
      <c r="BJ47" s="1501" t="s">
        <v>1102</v>
      </c>
      <c r="BL47" s="1501" t="s">
        <v>1102</v>
      </c>
      <c r="BN47" s="1352" t="s">
        <v>1733</v>
      </c>
    </row>
    <row customHeight="1" ht="11.25">
      <c r="A48" s="1358" t="s">
        <v>1734</v>
      </c>
      <c r="E48" s="691" t="s">
        <v>1735</v>
      </c>
      <c r="F48" s="1399" t="s">
        <v>1736</v>
      </c>
      <c r="G48" s="1400" t="str">
        <f>_xlfn.IFERROR(IF(f_year="","01.01."&amp;CURRENT_YEAR,"01.01."&amp;f_year),"01.01."&amp;CURRENT_YEAR)</f>
        <v>01.01.2025</v>
      </c>
      <c r="H48" s="1400" t="str">
        <f>_xlfn.IFERROR(IF(f_year="","31.12."&amp;CURRENT_YEAR,"31.12."&amp;f_year),"31.12."&amp;CURRENT_YEAR)</f>
        <v>31.12.2025</v>
      </c>
      <c r="I48" s="2026">
        <f>IF(f_year="",TRUE,FALSE)</f>
        <v>1</v>
      </c>
      <c r="J48" s="2029" t="s">
        <v>1737</v>
      </c>
      <c r="K48" s="2030"/>
      <c r="AX48" s="1404" t="s">
        <v>1738</v>
      </c>
      <c r="AZ48" s="1404" t="s">
        <v>1451</v>
      </c>
      <c r="BE48" s="1404">
        <v>2046</v>
      </c>
      <c r="BH48" s="1352" t="s">
        <v>1710</v>
      </c>
      <c r="BJ48" s="1501" t="s">
        <v>1104</v>
      </c>
      <c r="BL48" s="1501" t="s">
        <v>1104</v>
      </c>
      <c r="BN48" s="1352" t="s">
        <v>1739</v>
      </c>
    </row>
    <row customHeight="1" ht="11.25">
      <c r="A49" s="1358" t="s">
        <v>1740</v>
      </c>
      <c r="E49" s="691" t="s">
        <v>1741</v>
      </c>
      <c r="F49" s="1399" t="s">
        <v>1742</v>
      </c>
      <c r="G49" s="1400" t="str">
        <f>_xlfn.IFERROR(IF(f_year="","01.01."&amp;CURRENT_YEAR,"01.01."&amp;f_year),"01.01."&amp;CURRENT_YEAR)</f>
        <v>01.01.2025</v>
      </c>
      <c r="H49" s="1400" t="str">
        <f>_xlfn.IFERROR(IF(f_year="","31.12."&amp;CURRENT_YEAR,"31.12."&amp;f_year),"31.12."&amp;CURRENT_YEAR)</f>
        <v>31.12.2025</v>
      </c>
      <c r="I49" s="2026">
        <f>IF(f_year="",TRUE,FALSE)</f>
        <v>1</v>
      </c>
      <c r="J49" s="202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030"/>
      <c r="AX49" s="1404" t="s">
        <v>1743</v>
      </c>
      <c r="AZ49" s="1404" t="s">
        <v>1467</v>
      </c>
      <c r="BE49" s="1404">
        <v>2047</v>
      </c>
      <c r="BH49" s="1352" t="s">
        <v>1120</v>
      </c>
      <c r="BJ49" s="1501" t="s">
        <v>1106</v>
      </c>
      <c r="BL49" s="1501" t="s">
        <v>1106</v>
      </c>
    </row>
    <row customHeight="1" ht="11.25">
      <c r="A50" s="1358" t="s">
        <v>1744</v>
      </c>
      <c r="E50" s="691" t="s">
        <v>1745</v>
      </c>
      <c r="F50" s="1399" t="s">
        <v>1090</v>
      </c>
      <c r="G50" s="1400" t="str">
        <f>_xlfn.IFERROR(IF(f_year="","01.01."&amp;CURRENT_YEAR,"01.01."&amp;f_year),"01.01."&amp;CURRENT_YEAR)</f>
        <v>01.01.2025</v>
      </c>
      <c r="H50" s="1400" t="str">
        <f>_xlfn.IFERROR(IF(f_year="","31.12."&amp;CURRENT_YEAR,"31.12."&amp;f_year),"31.12."&amp;CURRENT_YEAR)</f>
        <v>31.12.2025</v>
      </c>
      <c r="I50" s="2026">
        <f>IF(f_year="",TRUE,FALSE)</f>
        <v>1</v>
      </c>
      <c r="J50" s="202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030"/>
      <c r="AX50" s="1404" t="s">
        <v>1746</v>
      </c>
      <c r="AZ50" s="1404" t="s">
        <v>1483</v>
      </c>
      <c r="BE50" s="1404">
        <v>2048</v>
      </c>
      <c r="BH50" s="1352" t="s">
        <v>1717</v>
      </c>
      <c r="BJ50" s="1501" t="s">
        <v>1108</v>
      </c>
      <c r="BL50" s="1501" t="s">
        <v>1108</v>
      </c>
    </row>
    <row customHeight="1" ht="11.25">
      <c r="A51" s="1358" t="s">
        <v>1747</v>
      </c>
      <c r="E51" s="691" t="s">
        <v>1748</v>
      </c>
      <c r="F51" s="1399" t="s">
        <v>1749</v>
      </c>
      <c r="G51" s="1400" t="str">
        <f>_xlfn.IFERROR(IF(TITLE_PERIOD_START="","01.01."&amp;CURRENT_YEAR,"01.01."&amp;YEAR(TITLE_PERIOD_START)),"01.01."&amp;CURRENT_YEAR)</f>
        <v>01.01.2024</v>
      </c>
      <c r="H51" s="1400" t="str">
        <f>_xlfn.IFERROR(IF(TITLE_PERIOD_END="","31.12."&amp;CURRENT_YEAR,"31.12."&amp;YEAR(TITLE_PERIOD_END)),"31.12."&amp;CURRENT_YEAR)</f>
        <v>31.12.2028</v>
      </c>
      <c r="I51" s="2027">
        <f>IF(OR(TITLE_PERIOD_START="",TITLE_PERIOD_END=""),TRUE,FALSE)</f>
        <v>0</v>
      </c>
      <c r="J51" s="202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030"/>
      <c r="AX51" s="1404" t="s">
        <v>1750</v>
      </c>
      <c r="AZ51" s="1404" t="s">
        <v>1499</v>
      </c>
      <c r="BE51" s="1404">
        <v>2049</v>
      </c>
      <c r="BH51" s="1352" t="s">
        <v>1726</v>
      </c>
      <c r="BJ51" s="1501" t="s">
        <v>1751</v>
      </c>
      <c r="BL51" s="1501" t="s">
        <v>1751</v>
      </c>
    </row>
    <row customHeight="1" ht="11.25">
      <c r="A52" s="1358" t="s">
        <v>1752</v>
      </c>
      <c r="E52" s="691" t="s">
        <v>1753</v>
      </c>
      <c r="F52" s="1399" t="s">
        <v>1720</v>
      </c>
      <c r="G52" s="1400" t="str">
        <f>_xlfn.IFERROR(IF(TITLE_PERIOD_START="","01.01."&amp;CURRENT_YEAR,"01.01."&amp;YEAR(TITLE_PERIOD_START)),"01.01."&amp;CURRENT_YEAR)</f>
        <v>01.01.2024</v>
      </c>
      <c r="H52" s="1400" t="str">
        <f>_xlfn.IFERROR(IF(TITLE_PERIOD_END="","31.12."&amp;CURRENT_YEAR,"31.12."&amp;YEAR(TITLE_PERIOD_END)),"31.12."&amp;CURRENT_YEAR)</f>
        <v>31.12.2028</v>
      </c>
      <c r="I52" s="2027">
        <f>IF(OR(TITLE_PERIOD_START="",TITLE_PERIOD_END=""),TRUE,FALSE)</f>
        <v>0</v>
      </c>
      <c r="J52" s="2029" t="str">
        <f>"Показатели, подлежащие раскрытию в сфере "&amp;TEMPLATE_SPHERE_RUS&amp;" (цены и тарифы)"</f>
        <v>Показатели, подлежащие раскрытию в сфере теплоснабжения (цены и тарифы)</v>
      </c>
      <c r="K52" s="2030"/>
      <c r="AX52" s="1404" t="s">
        <v>1754</v>
      </c>
      <c r="AZ52" s="1404" t="s">
        <v>507</v>
      </c>
      <c r="BE52" s="1404">
        <v>2050</v>
      </c>
      <c r="BH52" s="1352" t="s">
        <v>1730</v>
      </c>
      <c r="BJ52" s="1501" t="s">
        <v>1119</v>
      </c>
      <c r="BL52" s="1501" t="s">
        <v>1119</v>
      </c>
    </row>
    <row customHeight="1" ht="11.25">
      <c r="A53" s="1358" t="s">
        <v>1755</v>
      </c>
      <c r="E53" s="691" t="s">
        <v>1756</v>
      </c>
      <c r="F53" s="1399" t="s">
        <v>1756</v>
      </c>
      <c r="G53" s="1400" t="str">
        <f>_xlfn.IFERROR(IF(f_year="","01.01."&amp;CURRENT_YEAR,"01.01."&amp;f_year),"01.01."&amp;CURRENT_YEAR)</f>
        <v>01.01.2025</v>
      </c>
      <c r="H53" s="1400" t="str">
        <f>_xlfn.IFERROR(IF(f_year="","31.12."&amp;CURRENT_YEAR,"31.12."&amp;f_year),"31.12."&amp;CURRENT_YEAR)</f>
        <v>31.12.2025</v>
      </c>
      <c r="I53" s="2026">
        <f>IF(AND(f_year="",TITLE_DATE_FIL=""),TRUE,FALSE)</f>
        <v>1</v>
      </c>
      <c r="J53" s="2029" t="s">
        <v>1757</v>
      </c>
      <c r="K53" s="2030"/>
      <c r="AX53" s="1404" t="s">
        <v>1758</v>
      </c>
      <c r="BE53" s="1404">
        <v>2051</v>
      </c>
      <c r="BH53" s="1352" t="s">
        <v>1733</v>
      </c>
      <c r="BJ53" s="1501" t="s">
        <v>1706</v>
      </c>
      <c r="BL53" s="1501" t="s">
        <v>1706</v>
      </c>
    </row>
    <row customHeight="1" ht="11.25">
      <c r="A54" s="1358" t="s">
        <v>1759</v>
      </c>
      <c r="AX54" s="1404" t="s">
        <v>1760</v>
      </c>
      <c r="AZ54" s="1351" t="s">
        <v>1761</v>
      </c>
      <c r="BE54" s="1404">
        <v>2052</v>
      </c>
      <c r="BH54" s="1352" t="s">
        <v>1739</v>
      </c>
      <c r="BJ54" s="1501" t="s">
        <v>1710</v>
      </c>
      <c r="BL54" s="1501" t="s">
        <v>1710</v>
      </c>
    </row>
    <row customHeight="1" ht="11.25">
      <c r="A55" s="1358" t="s">
        <v>1762</v>
      </c>
      <c r="AX55" s="1404" t="s">
        <v>1763</v>
      </c>
      <c r="AZ55" s="1404" t="s">
        <v>1300</v>
      </c>
      <c r="BE55" s="1404">
        <v>2053</v>
      </c>
      <c r="BH55" s="1354" t="s">
        <v>28</v>
      </c>
      <c r="BJ55" s="1501" t="s">
        <v>1120</v>
      </c>
      <c r="BL55" s="1501" t="s">
        <v>1120</v>
      </c>
    </row>
    <row customHeight="1" ht="11.25">
      <c r="A56" s="1358" t="s">
        <v>1764</v>
      </c>
      <c r="D56" s="1402" t="s">
        <v>1765</v>
      </c>
      <c r="E56" s="1379" t="s">
        <v>1766</v>
      </c>
      <c r="F56" s="1358" t="s">
        <v>1767</v>
      </c>
      <c r="AX56" s="1404" t="s">
        <v>1768</v>
      </c>
      <c r="AZ56" s="1404" t="s">
        <v>1326</v>
      </c>
      <c r="BE56" s="1404">
        <v>2054</v>
      </c>
      <c r="BH56" s="1354" t="s">
        <v>28</v>
      </c>
      <c r="BJ56" s="1501" t="s">
        <v>1717</v>
      </c>
      <c r="BL56" s="1501" t="s">
        <v>1717</v>
      </c>
    </row>
    <row customHeight="1" ht="11.25">
      <c r="A57" s="1358" t="s">
        <v>1769</v>
      </c>
      <c r="D57" s="1402" t="s">
        <v>1770</v>
      </c>
      <c r="E57" s="1379" t="s">
        <v>124</v>
      </c>
      <c r="F57" s="1358" t="s">
        <v>1767</v>
      </c>
      <c r="AX57" s="1404" t="s">
        <v>1771</v>
      </c>
      <c r="AZ57" s="1404" t="s">
        <v>1361</v>
      </c>
      <c r="BE57" s="1404">
        <v>2055</v>
      </c>
      <c r="BJ57" s="1501" t="s">
        <v>1726</v>
      </c>
      <c r="BL57" s="1501" t="s">
        <v>1726</v>
      </c>
    </row>
    <row customHeight="1" ht="11.25">
      <c r="A58" s="1358" t="s">
        <v>1772</v>
      </c>
      <c r="D58" s="1402" t="s">
        <v>1773</v>
      </c>
      <c r="E58" s="1379" t="s">
        <v>124</v>
      </c>
      <c r="F58" s="1358" t="s">
        <v>1767</v>
      </c>
      <c r="AX58" s="1404" t="s">
        <v>1774</v>
      </c>
      <c r="BE58" s="1404">
        <v>2056</v>
      </c>
      <c r="BJ58" s="1501" t="s">
        <v>1730</v>
      </c>
      <c r="BL58" s="1501" t="s">
        <v>1730</v>
      </c>
    </row>
    <row customHeight="1" ht="11.25">
      <c r="A59" s="1358" t="s">
        <v>1775</v>
      </c>
      <c r="D59" s="1402" t="s">
        <v>161</v>
      </c>
      <c r="E59" s="1379" t="s">
        <v>1662</v>
      </c>
      <c r="F59" s="1358" t="s">
        <v>1776</v>
      </c>
      <c r="AX59" s="1404" t="s">
        <v>1777</v>
      </c>
      <c r="AZ59" s="1351" t="s">
        <v>1778</v>
      </c>
      <c r="BE59" s="1404">
        <v>2057</v>
      </c>
      <c r="BJ59" s="1501" t="s">
        <v>1733</v>
      </c>
      <c r="BL59" s="1501" t="s">
        <v>1733</v>
      </c>
    </row>
    <row customHeight="1" ht="11.25">
      <c r="A60" s="1358" t="s">
        <v>1779</v>
      </c>
      <c r="D60" s="1402" t="s">
        <v>1780</v>
      </c>
      <c r="E60" s="1379" t="s">
        <v>1662</v>
      </c>
      <c r="F60" s="1358" t="s">
        <v>1776</v>
      </c>
      <c r="AX60" s="1404" t="s">
        <v>1781</v>
      </c>
      <c r="AZ60" s="1404" t="s">
        <v>1301</v>
      </c>
      <c r="BE60" s="1404">
        <v>2058</v>
      </c>
      <c r="BJ60" s="1501" t="s">
        <v>1739</v>
      </c>
      <c r="BL60" s="1501" t="s">
        <v>1739</v>
      </c>
    </row>
    <row customHeight="1" ht="11.25">
      <c r="A61" s="1358" t="s">
        <v>1782</v>
      </c>
      <c r="D61" s="1402" t="s">
        <v>1783</v>
      </c>
      <c r="E61" s="1379" t="s">
        <v>1784</v>
      </c>
      <c r="F61" s="1358" t="s">
        <v>1776</v>
      </c>
      <c r="AX61" s="1404" t="s">
        <v>1785</v>
      </c>
      <c r="AZ61" s="1404" t="s">
        <v>1327</v>
      </c>
      <c r="BE61" s="1404">
        <v>2059</v>
      </c>
      <c r="BL61" s="1501" t="s">
        <v>1112</v>
      </c>
    </row>
    <row customHeight="1" ht="11.25">
      <c r="A62" s="1358" t="s">
        <v>1786</v>
      </c>
      <c r="D62" s="1402" t="s">
        <v>160</v>
      </c>
      <c r="E62" s="1379">
        <v>44</v>
      </c>
      <c r="F62" s="1358" t="s">
        <v>1776</v>
      </c>
      <c r="AZ62" s="1404" t="s">
        <v>1362</v>
      </c>
      <c r="BE62" s="1404">
        <v>2060</v>
      </c>
      <c r="BL62" s="1501" t="s">
        <v>1114</v>
      </c>
    </row>
    <row customHeight="1" ht="11.25">
      <c r="A63" s="1358" t="s">
        <v>1787</v>
      </c>
      <c r="D63" s="1402" t="s">
        <v>1788</v>
      </c>
      <c r="E63" s="1379">
        <v>44</v>
      </c>
      <c r="F63" s="1358" t="s">
        <v>1776</v>
      </c>
      <c r="AZ63" s="1404" t="s">
        <v>1393</v>
      </c>
      <c r="BE63" s="1404">
        <v>2061</v>
      </c>
    </row>
    <row customHeight="1" ht="11.25">
      <c r="A64" s="1358" t="s">
        <v>1789</v>
      </c>
      <c r="D64" s="1402" t="s">
        <v>1790</v>
      </c>
      <c r="E64" s="1379">
        <v>44</v>
      </c>
      <c r="F64" s="1358" t="s">
        <v>1776</v>
      </c>
      <c r="AZ64" s="1404" t="s">
        <v>1416</v>
      </c>
      <c r="BE64" s="1404">
        <v>2062</v>
      </c>
    </row>
    <row customHeight="1" ht="11.25">
      <c r="A65" s="1358" t="s">
        <v>1791</v>
      </c>
      <c r="D65" s="1358"/>
      <c r="BE65" s="1404">
        <v>2063</v>
      </c>
    </row>
    <row customHeight="1" ht="11.25">
      <c r="A66" s="1358" t="s">
        <v>1792</v>
      </c>
      <c r="AZ66" s="1351" t="s">
        <v>1793</v>
      </c>
      <c r="BE66" s="1404">
        <v>2064</v>
      </c>
    </row>
    <row customHeight="1" ht="11.25">
      <c r="A67" s="1358" t="s">
        <v>1794</v>
      </c>
      <c r="AZ67" s="1404" t="s">
        <v>1302</v>
      </c>
      <c r="BE67" s="1404">
        <v>2065</v>
      </c>
    </row>
    <row customHeight="1" ht="11.25">
      <c r="A68" s="1358" t="s">
        <v>1795</v>
      </c>
      <c r="AZ68" s="1404" t="s">
        <v>1328</v>
      </c>
      <c r="BE68" s="1404">
        <v>2066</v>
      </c>
      <c r="BH68" s="1351" t="s">
        <v>1796</v>
      </c>
      <c r="BJ68" s="1351" t="s">
        <v>1797</v>
      </c>
      <c r="BL68" s="1351" t="s">
        <v>1798</v>
      </c>
      <c r="BN68" s="1351" t="s">
        <v>1799</v>
      </c>
    </row>
    <row customHeight="1" ht="11.25">
      <c r="A69" s="1358" t="s">
        <v>1800</v>
      </c>
      <c r="AZ69" s="1404" t="s">
        <v>1363</v>
      </c>
      <c r="BE69" s="1404">
        <v>2067</v>
      </c>
      <c r="BH69" s="1352" t="s">
        <v>1801</v>
      </c>
      <c r="BI69" s="1401" t="s">
        <v>141</v>
      </c>
      <c r="BJ69" s="1352" t="s">
        <v>1802</v>
      </c>
      <c r="BK69" s="1401" t="s">
        <v>141</v>
      </c>
      <c r="BL69" s="1352" t="s">
        <v>1803</v>
      </c>
      <c r="BM69" s="1354" t="s">
        <v>141</v>
      </c>
      <c r="BN69" s="1352" t="s">
        <v>1804</v>
      </c>
    </row>
    <row customHeight="1" ht="11.25">
      <c r="A70" s="1358" t="s">
        <v>1805</v>
      </c>
      <c r="AZ70" s="1404" t="s">
        <v>1394</v>
      </c>
      <c r="BE70" s="1404">
        <v>2068</v>
      </c>
      <c r="BH70" s="1352" t="s">
        <v>1806</v>
      </c>
      <c r="BJ70" s="1352" t="s">
        <v>1807</v>
      </c>
      <c r="BL70" s="1352" t="s">
        <v>1808</v>
      </c>
      <c r="BN70" s="1352" t="s">
        <v>1809</v>
      </c>
    </row>
    <row customHeight="1" ht="11.25">
      <c r="A71" s="1358" t="s">
        <v>1810</v>
      </c>
      <c r="AZ71" s="1404" t="s">
        <v>1396</v>
      </c>
      <c r="BE71" s="1404">
        <v>2069</v>
      </c>
      <c r="BH71" s="1352" t="s">
        <v>1811</v>
      </c>
      <c r="BI71" s="1401" t="s">
        <v>93</v>
      </c>
      <c r="BJ71" s="1352" t="s">
        <v>1812</v>
      </c>
      <c r="BK71" s="1401" t="s">
        <v>93</v>
      </c>
      <c r="BL71" s="1352" t="s">
        <v>1813</v>
      </c>
      <c r="BM71" s="1354" t="s">
        <v>93</v>
      </c>
      <c r="BN71" s="1352" t="s">
        <v>1814</v>
      </c>
    </row>
    <row customHeight="1" ht="11.25">
      <c r="A72" s="1358" t="s">
        <v>1815</v>
      </c>
      <c r="AZ72" s="1404" t="s">
        <v>19</v>
      </c>
      <c r="BE72" s="1404">
        <v>2070</v>
      </c>
      <c r="BH72" s="1352" t="s">
        <v>1816</v>
      </c>
      <c r="BJ72" s="1352" t="s">
        <v>1816</v>
      </c>
      <c r="BL72" s="1352" t="s">
        <v>1816</v>
      </c>
      <c r="BN72" s="1352" t="s">
        <v>1817</v>
      </c>
    </row>
    <row customHeight="1" ht="11.25">
      <c r="A73" s="1358" t="s">
        <v>1818</v>
      </c>
      <c r="BH73" s="1352" t="s">
        <v>1819</v>
      </c>
      <c r="BI73" s="1401" t="s">
        <v>124</v>
      </c>
      <c r="BJ73" s="1352" t="s">
        <v>1820</v>
      </c>
      <c r="BK73" s="1401" t="s">
        <v>124</v>
      </c>
      <c r="BL73" s="1352" t="s">
        <v>1821</v>
      </c>
      <c r="BM73" s="1354" t="s">
        <v>124</v>
      </c>
      <c r="BN73" s="1352" t="s">
        <v>1822</v>
      </c>
    </row>
    <row customHeight="1" ht="11.25">
      <c r="A74" s="1358" t="s">
        <v>1823</v>
      </c>
      <c r="BH74" s="1352" t="s">
        <v>1824</v>
      </c>
      <c r="BJ74" s="1352" t="s">
        <v>1825</v>
      </c>
      <c r="BL74" s="1352" t="s">
        <v>1826</v>
      </c>
      <c r="BN74" s="1352" t="s">
        <v>1827</v>
      </c>
    </row>
    <row customHeight="1" ht="11.25">
      <c r="A75" s="1358" t="s">
        <v>1828</v>
      </c>
      <c r="AZ75" s="1351" t="s">
        <v>1829</v>
      </c>
      <c r="BH75" s="1352" t="s">
        <v>1830</v>
      </c>
      <c r="BJ75" s="1352" t="s">
        <v>1830</v>
      </c>
      <c r="BL75" s="1352" t="s">
        <v>1830</v>
      </c>
    </row>
    <row customHeight="1" ht="11.25">
      <c r="A76" s="1358" t="s">
        <v>1831</v>
      </c>
      <c r="AZ76" s="1404" t="s">
        <v>1311</v>
      </c>
      <c r="BH76" s="1352" t="s">
        <v>1832</v>
      </c>
      <c r="BJ76" s="1352" t="s">
        <v>1833</v>
      </c>
      <c r="BL76" s="1352" t="s">
        <v>1834</v>
      </c>
    </row>
    <row customHeight="1" ht="11.25">
      <c r="A77" s="1358" t="s">
        <v>1835</v>
      </c>
      <c r="AZ77" s="1404" t="s">
        <v>1338</v>
      </c>
    </row>
    <row customHeight="1" ht="11.25">
      <c r="A78" s="1358" t="s">
        <v>1836</v>
      </c>
      <c r="AZ78" s="1404" t="s">
        <v>1370</v>
      </c>
    </row>
    <row customHeight="1" ht="11.25">
      <c r="A79" s="1358" t="s">
        <v>1837</v>
      </c>
      <c r="AZ79" s="1404" t="s">
        <v>1400</v>
      </c>
      <c r="BH79" s="1351" t="s">
        <v>1838</v>
      </c>
      <c r="BJ79" s="1351" t="s">
        <v>1839</v>
      </c>
      <c r="BL79" s="1351" t="s">
        <v>1840</v>
      </c>
    </row>
    <row customHeight="1" ht="11.25">
      <c r="A80" s="1358" t="s">
        <v>1841</v>
      </c>
      <c r="AZ80" s="1404" t="s">
        <v>1421</v>
      </c>
      <c r="BH80" s="1352" t="s">
        <v>1842</v>
      </c>
      <c r="BJ80" s="1352" t="s">
        <v>1843</v>
      </c>
      <c r="BL80" s="1352" t="s">
        <v>1844</v>
      </c>
    </row>
    <row customHeight="1" ht="11.25">
      <c r="A81" s="1358" t="s">
        <v>1845</v>
      </c>
      <c r="AZ81" s="1404" t="s">
        <v>1438</v>
      </c>
      <c r="BH81" s="1352" t="s">
        <v>1846</v>
      </c>
      <c r="BJ81" s="1352" t="s">
        <v>1847</v>
      </c>
      <c r="BL81" s="1352" t="s">
        <v>1848</v>
      </c>
    </row>
    <row customHeight="1" ht="11.25">
      <c r="A82" s="1358" t="s">
        <v>1849</v>
      </c>
      <c r="AZ82" s="1404" t="s">
        <v>1453</v>
      </c>
      <c r="BH82" s="1352" t="s">
        <v>1850</v>
      </c>
      <c r="BJ82" s="1352" t="s">
        <v>1851</v>
      </c>
      <c r="BL82" s="1352" t="s">
        <v>1852</v>
      </c>
    </row>
    <row customHeight="1" ht="11.25">
      <c r="A83" s="1358" t="s">
        <v>16</v>
      </c>
      <c r="BH83" s="1352" t="s">
        <v>1853</v>
      </c>
      <c r="BJ83" s="1352" t="s">
        <v>1854</v>
      </c>
      <c r="BL83" s="1352" t="s">
        <v>1855</v>
      </c>
    </row>
    <row customHeight="1" ht="11.25">
      <c r="A84" s="1358" t="s">
        <v>1856</v>
      </c>
      <c r="AZ84" s="1351" t="s">
        <v>1857</v>
      </c>
    </row>
    <row customHeight="1" ht="11.25">
      <c r="A85" s="2154" t="s">
        <v>1858</v>
      </c>
      <c r="AZ85" s="1404" t="s">
        <v>1859</v>
      </c>
    </row>
    <row customHeight="1" ht="11.25">
      <c r="A86" s="1358" t="s">
        <v>1860</v>
      </c>
      <c r="AZ86" s="1404" t="s">
        <v>1861</v>
      </c>
      <c r="BH86" s="1351" t="s">
        <v>1862</v>
      </c>
      <c r="BJ86" s="1351" t="s">
        <v>1863</v>
      </c>
      <c r="BL86" s="1351" t="s">
        <v>1864</v>
      </c>
    </row>
    <row customHeight="1" ht="11.25">
      <c r="A87" s="1358" t="s">
        <v>1865</v>
      </c>
      <c r="AZ87" s="1404" t="s">
        <v>1866</v>
      </c>
      <c r="BH87" s="1352" t="s">
        <v>1867</v>
      </c>
      <c r="BJ87" s="1352" t="s">
        <v>1868</v>
      </c>
      <c r="BL87" s="1352" t="s">
        <v>1869</v>
      </c>
    </row>
    <row customHeight="1" ht="11.25">
      <c r="A88" s="1358" t="s">
        <v>1870</v>
      </c>
      <c r="AZ88" s="1890"/>
      <c r="BH88" s="1352" t="s">
        <v>1871</v>
      </c>
      <c r="BJ88" s="1352" t="s">
        <v>1872</v>
      </c>
      <c r="BL88" s="1352" t="s">
        <v>1873</v>
      </c>
    </row>
    <row customHeight="1" ht="11.25">
      <c r="A89" s="1358" t="s">
        <v>1874</v>
      </c>
      <c r="AZ89" s="1351" t="s">
        <v>1875</v>
      </c>
    </row>
    <row customHeight="1" ht="11.25">
      <c r="A90" s="1358" t="s">
        <v>1876</v>
      </c>
      <c r="AZ90" s="1404" t="s">
        <v>1090</v>
      </c>
    </row>
    <row customHeight="1" ht="11.25">
      <c r="A91" s="1358" t="s">
        <v>1877</v>
      </c>
      <c r="AZ91" s="1404" t="s">
        <v>1126</v>
      </c>
      <c r="BH91" s="1351" t="s">
        <v>1878</v>
      </c>
      <c r="BJ91" s="1351" t="s">
        <v>1879</v>
      </c>
      <c r="BL91" s="1351" t="s">
        <v>1880</v>
      </c>
    </row>
    <row customHeight="1" ht="11.25">
      <c r="AZ92" s="1404" t="s">
        <v>1881</v>
      </c>
      <c r="BH92" s="1352" t="s">
        <v>1882</v>
      </c>
      <c r="BJ92" s="1352" t="s">
        <v>1883</v>
      </c>
      <c r="BL92" s="1352" t="s">
        <v>1884</v>
      </c>
    </row>
    <row customHeight="1" ht="11.25">
      <c r="AZ93" s="1404" t="s">
        <v>1885</v>
      </c>
      <c r="BH93" s="1352" t="s">
        <v>1886</v>
      </c>
      <c r="BJ93" s="1352" t="s">
        <v>1887</v>
      </c>
      <c r="BL93" s="1352" t="s">
        <v>1888</v>
      </c>
    </row>
    <row customHeight="1" ht="11.25">
      <c r="AZ94" s="1404" t="s">
        <v>1889</v>
      </c>
    </row>
    <row r="96" customHeight="1" ht="11.25">
      <c r="AZ96" s="1351" t="s">
        <v>1890</v>
      </c>
      <c r="BH96" s="1351" t="s">
        <v>1891</v>
      </c>
      <c r="BJ96" s="1351" t="s">
        <v>1892</v>
      </c>
      <c r="BL96" s="1351" t="s">
        <v>1893</v>
      </c>
      <c r="BN96" s="1351" t="s">
        <v>1894</v>
      </c>
    </row>
    <row customHeight="1" ht="11.25">
      <c r="AZ97" s="2185" t="s">
        <v>1895</v>
      </c>
      <c r="BA97" s="2186" t="s">
        <v>1896</v>
      </c>
      <c r="BH97" s="1352" t="s">
        <v>1897</v>
      </c>
      <c r="BJ97" s="1352" t="s">
        <v>1898</v>
      </c>
      <c r="BL97" s="1352" t="s">
        <v>1899</v>
      </c>
      <c r="BN97" s="1352" t="s">
        <v>1900</v>
      </c>
    </row>
    <row customHeight="1" ht="11.25">
      <c r="AZ98" s="2185" t="s">
        <v>1901</v>
      </c>
      <c r="BA98" s="2186" t="s">
        <v>1902</v>
      </c>
      <c r="BH98" s="1352" t="s">
        <v>1903</v>
      </c>
      <c r="BJ98" s="1352" t="s">
        <v>1904</v>
      </c>
      <c r="BL98" s="1352" t="s">
        <v>1905</v>
      </c>
      <c r="BN98" s="1352" t="s">
        <v>1906</v>
      </c>
    </row>
    <row customHeight="1" ht="22.5">
      <c r="AZ99" s="2185" t="s">
        <v>1907</v>
      </c>
      <c r="BA99" s="2186" t="str">
        <f>"не позднее чем за "&amp;IF(TEMPLATE_SPHERE="TKO","3","10")&amp;" дней до дня проведения заседания правления"</f>
        <v>не позднее чем за 10 дней до дня проведения заседания правления</v>
      </c>
      <c r="BH99" s="1352" t="s">
        <v>1908</v>
      </c>
      <c r="BJ99" s="1352" t="s">
        <v>1909</v>
      </c>
      <c r="BL99" s="1352" t="s">
        <v>1910</v>
      </c>
      <c r="BN99" s="1352" t="s">
        <v>1911</v>
      </c>
    </row>
    <row customHeight="1" ht="22.5">
      <c r="AZ100" s="2185" t="s">
        <v>1912</v>
      </c>
      <c r="BA100" s="218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352" t="s">
        <v>1499</v>
      </c>
      <c r="BL100" s="1352" t="s">
        <v>1499</v>
      </c>
      <c r="BN100" s="1352" t="s">
        <v>1913</v>
      </c>
    </row>
    <row customHeight="1" ht="22.5">
      <c r="AZ101" s="2185" t="s">
        <v>1914</v>
      </c>
      <c r="BA101" s="2186" t="s">
        <v>1915</v>
      </c>
      <c r="BN101" s="1352" t="s">
        <v>1916</v>
      </c>
    </row>
    <row customHeight="1" ht="22.5">
      <c r="AZ102" s="2185" t="s">
        <v>1917</v>
      </c>
      <c r="BA102" s="218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352" t="s">
        <v>1918</v>
      </c>
    </row>
    <row customHeight="1" ht="11.25">
      <c r="AZ103" s="2185" t="s">
        <v>1919</v>
      </c>
      <c r="BA103" s="2186" t="s">
        <v>1920</v>
      </c>
      <c r="BN103" s="1352" t="s">
        <v>1921</v>
      </c>
    </row>
    <row customHeight="1" ht="11.25">
      <c r="BN104" s="1352" t="s">
        <v>1922</v>
      </c>
    </row>
    <row customHeight="1" ht="11.25">
      <c r="AZ105" s="1976" t="s">
        <v>1923</v>
      </c>
    </row>
    <row customHeight="1" ht="11.25">
      <c r="AZ106" s="1404" t="s">
        <v>1924</v>
      </c>
    </row>
    <row customHeight="1" ht="11.25">
      <c r="AZ107" s="1404" t="s">
        <v>1925</v>
      </c>
      <c r="BH107" s="1351" t="s">
        <v>1926</v>
      </c>
      <c r="BJ107" s="1351" t="s">
        <v>1927</v>
      </c>
      <c r="BL107" s="1351" t="s">
        <v>1928</v>
      </c>
      <c r="BN107" s="1351" t="s">
        <v>1929</v>
      </c>
    </row>
    <row customHeight="1" ht="11.25">
      <c r="AZ108" s="1404" t="s">
        <v>643</v>
      </c>
      <c r="BH108" s="1352" t="s">
        <v>1930</v>
      </c>
      <c r="BJ108" s="1352" t="s">
        <v>1931</v>
      </c>
      <c r="BL108" s="1352" t="s">
        <v>1585</v>
      </c>
      <c r="BN108" s="1352" t="s">
        <v>1932</v>
      </c>
    </row>
    <row customHeight="1" ht="11.25">
      <c r="BH109" s="1352" t="s">
        <v>1933</v>
      </c>
    </row>
    <row customHeight="1" ht="11.25">
      <c r="AZ110" s="1976" t="s">
        <v>1934</v>
      </c>
      <c r="BH110" s="1352" t="s">
        <v>1933</v>
      </c>
    </row>
    <row customHeight="1" ht="11.25">
      <c r="AZ111" s="2185" t="s">
        <v>1895</v>
      </c>
      <c r="BA111" s="2186" t="s">
        <v>1896</v>
      </c>
    </row>
    <row customHeight="1" ht="11.25">
      <c r="AZ112" s="2185" t="s">
        <v>1901</v>
      </c>
      <c r="BA112" s="2186" t="s">
        <v>1902</v>
      </c>
    </row>
    <row customHeight="1" ht="22.5">
      <c r="AZ113" s="2185" t="s">
        <v>1907</v>
      </c>
      <c r="BA113" s="2186"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185" t="s">
        <v>1912</v>
      </c>
      <c r="BA114" s="218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351" t="s">
        <v>1935</v>
      </c>
    </row>
    <row customHeight="1" ht="22.5">
      <c r="AZ115" s="2185" t="s">
        <v>1917</v>
      </c>
      <c r="BA115" s="218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352" t="s">
        <v>507</v>
      </c>
    </row>
    <row customHeight="1" ht="11.25">
      <c r="AZ116" s="2185" t="s">
        <v>1919</v>
      </c>
      <c r="BA116" s="2186" t="s">
        <v>1920</v>
      </c>
      <c r="BH116" s="1352" t="s">
        <v>1324</v>
      </c>
    </row>
    <row customHeight="1" ht="11.25">
      <c r="BH117" s="1352" t="s">
        <v>1359</v>
      </c>
    </row>
    <row customHeight="1" ht="11.25">
      <c r="BH118" s="1352" t="s">
        <v>1392</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145A44-DFC6-F231-79F3-A598C067DA8E}"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31173" width="15.00390625" hidden="1" customWidth="1"/>
    <col min="3" max="3" style="31217" width="3.00390625" customWidth="1"/>
    <col min="4" max="4" style="31218" width="6.00390625" customWidth="1"/>
    <col min="5" max="5" style="31217" width="52.00390625" customWidth="1"/>
    <col min="6" max="6" style="31217" width="48.00390625" customWidth="1"/>
    <col min="7" max="7" style="31217" width="93.00390625" customWidth="1"/>
    <col min="8" max="8" style="31217" width="8.00390625" customWidth="1"/>
    <col min="9" max="9" style="31217" width="64.00390625" customWidth="1"/>
    <col min="10" max="10" style="31217" width="9.140625" hidden="1"/>
  </cols>
  <sheetData>
    <row customHeight="1" ht="11.25" hidden="1">
      <c r="A1" s="785" t="s">
        <v>359</v>
      </c>
      <c r="J1" s="739" t="s">
        <v>14</v>
      </c>
    </row>
    <row customHeight="1" ht="22.5" hidden="1">
      <c r="A2" s="786"/>
      <c r="B2" s="786"/>
      <c r="C2" s="2014" t="s">
        <v>106</v>
      </c>
      <c r="D2" s="1804"/>
      <c r="E2" s="1810"/>
      <c r="F2" s="1833"/>
      <c r="H2" s="759"/>
      <c r="J2" s="739">
        <v>0</v>
      </c>
    </row>
    <row customHeight="1" ht="11.25" hidden="1">
      <c r="J3" s="739">
        <v>0</v>
      </c>
    </row>
    <row customHeight="1" ht="11.549999999999999">
      <c r="A4" s="1834"/>
      <c r="B4" s="1834"/>
      <c r="J4" s="739">
        <v>11</v>
      </c>
    </row>
    <row customHeight="1" ht="27.299999999999997">
      <c r="D5" s="252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523"/>
      <c r="F5" s="2524"/>
      <c r="I5" s="999"/>
      <c r="J5" s="739">
        <v>26</v>
      </c>
    </row>
    <row customHeight="1" ht="18">
      <c r="D6" s="2460" t="str">
        <f>IF(region_name=0,"Не определено",region_name)</f>
        <v>Хабаровский край</v>
      </c>
      <c r="E6" s="2460"/>
      <c r="F6" s="2460"/>
      <c r="I6" s="999"/>
      <c r="J6" s="739">
        <v>17</v>
      </c>
    </row>
    <row s="31131" customFormat="1" customHeight="1" ht="11.549999999999999">
      <c r="A7" s="785"/>
      <c r="B7" s="785"/>
      <c r="D7" s="998"/>
      <c r="E7" s="998"/>
      <c r="F7" s="1036"/>
      <c r="G7" s="998"/>
      <c r="J7" s="761">
        <v>11</v>
      </c>
    </row>
    <row customHeight="1" ht="11.25" hidden="1">
      <c r="A8" s="786"/>
      <c r="B8" s="786"/>
      <c r="C8" s="741"/>
      <c r="D8" s="747"/>
      <c r="E8" s="2491"/>
      <c r="F8" s="2491"/>
      <c r="J8" s="739">
        <v>0</v>
      </c>
    </row>
    <row customHeight="1" ht="11.549999999999999">
      <c r="A9" s="786"/>
      <c r="B9" s="786"/>
      <c r="C9" s="741"/>
      <c r="D9" s="2488" t="s">
        <v>360</v>
      </c>
      <c r="E9" s="2489"/>
      <c r="F9" s="2489"/>
      <c r="G9" s="2492" t="s">
        <v>361</v>
      </c>
      <c r="J9" s="739">
        <v>11</v>
      </c>
    </row>
    <row customHeight="1" ht="11.549999999999999">
      <c r="A10" s="786"/>
      <c r="B10" s="786"/>
      <c r="C10" s="741"/>
      <c r="D10" s="1758" t="s">
        <v>91</v>
      </c>
      <c r="E10" s="1760" t="s">
        <v>362</v>
      </c>
      <c r="F10" s="1760" t="s">
        <v>363</v>
      </c>
      <c r="G10" s="2493"/>
      <c r="J10" s="739">
        <v>11</v>
      </c>
    </row>
    <row customHeight="1" ht="1.05">
      <c r="A11" s="786"/>
      <c r="B11" s="786"/>
      <c r="C11" s="741"/>
      <c r="D11" s="748"/>
      <c r="E11" s="748"/>
      <c r="F11" s="748"/>
      <c r="G11" s="748"/>
      <c r="J11" s="739">
        <v>1</v>
      </c>
    </row>
    <row customHeight="1" ht="24">
      <c r="A12" s="786"/>
      <c r="B12" s="786"/>
      <c r="C12" s="741"/>
      <c r="D12" s="1804">
        <v>1</v>
      </c>
      <c r="E12" s="75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192" t="str">
        <f>IF(org="","",org)</f>
        <v>АО "ДГК"</v>
      </c>
      <c r="G12" s="75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817"/>
      <c r="J12" s="739">
        <v>23</v>
      </c>
    </row>
    <row customHeight="1" ht="19.95">
      <c r="A13" s="786"/>
      <c r="B13" s="786"/>
      <c r="C13" s="741"/>
      <c r="D13" s="1804">
        <v>2</v>
      </c>
      <c r="E13" s="1811" t="s">
        <v>1936</v>
      </c>
      <c r="F13" s="1805" t="s">
        <v>366</v>
      </c>
      <c r="G13" s="758"/>
      <c r="H13" s="1817"/>
      <c r="J13" s="739">
        <v>19</v>
      </c>
    </row>
    <row customHeight="1" ht="19.95">
      <c r="A14" s="786"/>
      <c r="B14" s="786"/>
      <c r="C14" s="741"/>
      <c r="D14" s="1807" t="s">
        <v>780</v>
      </c>
      <c r="E14" s="1808" t="s">
        <v>1937</v>
      </c>
      <c r="F14" s="1810"/>
      <c r="G14" s="1809" t="s">
        <v>1938</v>
      </c>
      <c r="H14" s="1817"/>
      <c r="J14" s="739">
        <v>19</v>
      </c>
    </row>
    <row customHeight="1" ht="19.95">
      <c r="A15" s="786"/>
      <c r="B15" s="786"/>
      <c r="C15" s="741"/>
      <c r="D15" s="1807" t="s">
        <v>367</v>
      </c>
      <c r="E15" s="1808" t="s">
        <v>1939</v>
      </c>
      <c r="F15" s="1810"/>
      <c r="G15" s="1809" t="s">
        <v>1940</v>
      </c>
      <c r="H15" s="1817"/>
      <c r="J15" s="739">
        <v>19</v>
      </c>
    </row>
    <row customHeight="1" ht="24">
      <c r="A16" s="786"/>
      <c r="B16" s="786"/>
      <c r="C16" s="741"/>
      <c r="D16" s="1807" t="s">
        <v>370</v>
      </c>
      <c r="E16" s="1806" t="s">
        <v>1941</v>
      </c>
      <c r="F16" s="1815"/>
      <c r="G16" s="758" t="s">
        <v>1942</v>
      </c>
      <c r="H16" s="1817"/>
      <c r="J16" s="739">
        <v>23</v>
      </c>
    </row>
    <row customHeight="1" ht="48.29999999999999">
      <c r="A17" s="786"/>
      <c r="B17" s="786"/>
      <c r="C17" s="741"/>
      <c r="D17" s="1804">
        <v>3</v>
      </c>
      <c r="E17" s="1811" t="s">
        <v>1943</v>
      </c>
      <c r="F17" s="1810"/>
      <c r="G17" s="758" t="s">
        <v>1944</v>
      </c>
      <c r="H17" s="1817"/>
      <c r="J17" s="739">
        <v>46</v>
      </c>
    </row>
    <row customHeight="1" ht="48.29999999999999">
      <c r="A18" s="1759">
        <v>1</v>
      </c>
      <c r="B18" s="786"/>
      <c r="C18" s="1761"/>
      <c r="D18" s="1804" t="s">
        <v>94</v>
      </c>
      <c r="E18" s="1811" t="s">
        <v>1945</v>
      </c>
      <c r="F18" s="1810"/>
      <c r="G18" s="758" t="s">
        <v>1944</v>
      </c>
      <c r="H18" s="1817"/>
      <c r="I18" s="1136"/>
      <c r="J18" s="739">
        <v>46</v>
      </c>
    </row>
    <row customHeight="1" ht="23.25">
      <c r="A19" s="786"/>
      <c r="B19" s="786"/>
      <c r="C19" s="741"/>
      <c r="D19" s="1804" t="s">
        <v>124</v>
      </c>
      <c r="E19" s="1811" t="s">
        <v>1946</v>
      </c>
      <c r="F19" s="1805" t="s">
        <v>366</v>
      </c>
      <c r="G19" s="2755" t="s">
        <v>1947</v>
      </c>
      <c r="H19" s="759"/>
      <c r="J19" s="739">
        <v>22</v>
      </c>
    </row>
    <row s="38305" customFormat="1" customHeight="1" ht="5.25" hidden="1">
      <c r="A20" s="786"/>
      <c r="B20" s="786"/>
      <c r="C20" s="1813"/>
      <c r="D20" s="1812" t="s">
        <v>1187</v>
      </c>
      <c r="E20" s="1298"/>
      <c r="F20" s="1297"/>
      <c r="G20" s="2756"/>
      <c r="J20" s="1814">
        <v>0</v>
      </c>
    </row>
    <row customHeight="1" ht="15.75">
      <c r="A21" s="786"/>
      <c r="B21" s="786"/>
      <c r="C21" s="741"/>
      <c r="D21" s="751"/>
      <c r="E21" s="699" t="s">
        <v>399</v>
      </c>
      <c r="F21" s="753"/>
      <c r="G21" s="2757"/>
      <c r="H21" s="1817"/>
      <c r="J21" s="739">
        <v>15</v>
      </c>
    </row>
    <row s="31173" customFormat="1" customHeight="1" ht="26.25">
      <c r="A22" s="786"/>
      <c r="B22" s="786"/>
      <c r="C22" s="786"/>
      <c r="D22" s="1804" t="s">
        <v>95</v>
      </c>
      <c r="E22" s="758" t="s">
        <v>1948</v>
      </c>
      <c r="F22" s="1810"/>
      <c r="G22" s="758" t="s">
        <v>1949</v>
      </c>
      <c r="H22" s="1816"/>
      <c r="J22" s="785">
        <v>25</v>
      </c>
    </row>
    <row s="31173" customFormat="1" customHeight="1" ht="19.95">
      <c r="A23" s="786"/>
      <c r="B23" s="786"/>
      <c r="C23" s="786"/>
      <c r="D23" s="1804" t="s">
        <v>96</v>
      </c>
      <c r="E23" s="1811" t="s">
        <v>1950</v>
      </c>
      <c r="F23" s="1815"/>
      <c r="G23" s="758" t="s">
        <v>1951</v>
      </c>
      <c r="H23" s="1816"/>
      <c r="J23" s="785">
        <v>19</v>
      </c>
    </row>
    <row s="31173" customFormat="1" customHeight="1" ht="144" hidden="1">
      <c r="A24" s="786"/>
      <c r="B24" s="786"/>
      <c r="C24" s="786"/>
      <c r="D24" s="1804" t="s">
        <v>142</v>
      </c>
      <c r="E24" s="218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182"/>
      <c r="G24" s="218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816"/>
      <c r="J24" s="785">
        <v>0</v>
      </c>
    </row>
    <row customHeight="1" ht="11.25" hidden="1">
      <c r="A25" s="785" t="s">
        <v>85</v>
      </c>
      <c r="B25" s="785">
        <v>0</v>
      </c>
      <c r="C25" s="739">
        <v>3</v>
      </c>
      <c r="D25" s="740">
        <v>6</v>
      </c>
      <c r="E25" s="739">
        <v>52</v>
      </c>
      <c r="F25" s="739">
        <v>48</v>
      </c>
      <c r="G25" s="739">
        <v>93</v>
      </c>
      <c r="H25" s="739">
        <v>8</v>
      </c>
      <c r="I25" s="739">
        <v>64</v>
      </c>
      <c r="J25" s="739">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4D8BCC-00EB-8938-6084-06A6CB91FB9B}"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30541" width="9.140625" hidden="1"/>
    <col min="2" max="2" style="30620" width="9.140625" hidden="1"/>
    <col min="3" max="3" style="30541" width="3.7109375" hidden="1" customWidth="1"/>
    <col min="4" max="4" style="30726" width="3.00390625" customWidth="1"/>
    <col min="5" max="5" style="30541" width="6.00390625" customWidth="1"/>
    <col min="6" max="6" style="30541" width="46.00390625" customWidth="1"/>
    <col min="7" max="8" style="30541" width="16.00390625" customWidth="1"/>
    <col min="9" max="9" style="30541" width="35.00390625" customWidth="1"/>
    <col min="10" max="10" style="30541" width="89.00390625" customWidth="1"/>
    <col min="11" max="11" style="30727" width="3.00390625" customWidth="1"/>
    <col min="12" max="14" style="30727" width="8.00390625" customWidth="1"/>
    <col min="15" max="15" style="30727" width="25.00390625" customWidth="1"/>
    <col min="16" max="16" style="30727" width="14.00390625" customWidth="1"/>
    <col min="17" max="20" style="30728" width="8.00390625" customWidth="1"/>
    <col min="21" max="254" style="30541" width="8.00390625" customWidth="1"/>
    <col min="255" max="255" style="30541" width="9.140625" hidden="1"/>
  </cols>
  <sheetData>
    <row customHeight="1" ht="22.5" hidden="1">
      <c r="F1" s="1915" t="s">
        <v>1952</v>
      </c>
      <c r="G1" s="1915" t="s">
        <v>51</v>
      </c>
      <c r="H1" s="1915" t="s">
        <v>53</v>
      </c>
      <c r="IU1" s="1439" t="s">
        <v>14</v>
      </c>
    </row>
    <row s="30681" customFormat="1" customHeight="1" ht="22.5" hidden="1">
      <c r="A2" s="1115"/>
      <c r="B2" s="1444">
        <v>1</v>
      </c>
      <c r="C2" s="1444"/>
      <c r="D2" s="2212" t="s">
        <v>106</v>
      </c>
      <c r="E2" s="1768"/>
      <c r="F2" s="1775"/>
      <c r="G2" s="1775"/>
      <c r="H2" s="1775"/>
      <c r="I2" s="2268"/>
      <c r="J2" s="2269"/>
      <c r="K2" s="1819"/>
      <c r="L2" s="795"/>
      <c r="M2" s="795"/>
      <c r="N2" s="784" t="str">
        <f t="array" ref="N2:N2">IF(ISERROR(MATCH(MID(O2,1,250),MID(note_ter,1,250),0)),"n","y")</f>
        <v>n</v>
      </c>
      <c r="O2" s="795"/>
      <c r="P2" s="784" t="str">
        <f>G2&amp;"("&amp;J2&amp;")"</f>
        <v>()</v>
      </c>
      <c r="Q2" s="1444"/>
      <c r="R2" s="1444"/>
      <c r="S2" s="704"/>
      <c r="T2" s="1444"/>
      <c r="U2" s="1444"/>
      <c r="V2" s="1444"/>
      <c r="W2" s="706"/>
      <c r="X2" s="706"/>
      <c r="Y2" s="703"/>
      <c r="Z2" s="703"/>
      <c r="AA2" s="703"/>
      <c r="AB2" s="703"/>
      <c r="AC2" s="703"/>
      <c r="AD2" s="703"/>
      <c r="AE2" s="703"/>
      <c r="AF2" s="703"/>
      <c r="AG2" s="703"/>
      <c r="AH2" s="703"/>
      <c r="AI2" s="703"/>
      <c r="AJ2" s="703"/>
      <c r="AK2" s="703"/>
      <c r="AL2" s="703"/>
      <c r="AM2" s="703"/>
      <c r="AN2" s="703"/>
      <c r="AO2" s="703"/>
      <c r="AP2" s="703"/>
      <c r="AQ2" s="703"/>
      <c r="AR2" s="703"/>
      <c r="AS2" s="703"/>
      <c r="AT2" s="703"/>
      <c r="AU2" s="703"/>
      <c r="AV2" s="703"/>
      <c r="AW2" s="703"/>
      <c r="AX2" s="703"/>
      <c r="AY2" s="703"/>
      <c r="AZ2" s="703"/>
      <c r="BA2" s="703"/>
      <c r="BB2" s="703"/>
      <c r="BC2" s="703"/>
      <c r="BD2" s="703"/>
      <c r="BE2" s="703"/>
      <c r="BF2" s="703"/>
      <c r="BG2" s="703"/>
      <c r="BH2" s="703"/>
      <c r="BI2" s="703"/>
      <c r="BJ2" s="703"/>
      <c r="BK2" s="703"/>
      <c r="BL2" s="703"/>
      <c r="BM2" s="703"/>
      <c r="BN2" s="703"/>
      <c r="BO2" s="703"/>
      <c r="BP2" s="703"/>
      <c r="BQ2" s="703"/>
      <c r="BR2" s="703"/>
      <c r="BS2" s="703"/>
      <c r="BT2" s="706"/>
      <c r="BU2" s="706"/>
      <c r="BV2" s="706"/>
      <c r="BW2" s="706"/>
      <c r="BX2" s="706"/>
      <c r="BY2" s="706"/>
      <c r="BZ2" s="706"/>
      <c r="CA2" s="706"/>
      <c r="CB2" s="706"/>
      <c r="CC2" s="706"/>
      <c r="IU2" s="707">
        <v>0</v>
      </c>
    </row>
    <row s="30621" customFormat="1" customHeight="1" ht="4.2">
      <c r="A3" s="780"/>
      <c r="D3" s="778"/>
      <c r="F3" s="531" t="s">
        <v>86</v>
      </c>
      <c r="G3" s="778" t="s">
        <v>87</v>
      </c>
      <c r="H3" s="778"/>
      <c r="I3" s="778"/>
      <c r="J3" s="511" t="s">
        <v>88</v>
      </c>
      <c r="K3" s="531" t="s">
        <v>86</v>
      </c>
      <c r="L3" s="531"/>
      <c r="M3" s="531"/>
      <c r="N3" s="531"/>
      <c r="O3" s="532"/>
      <c r="P3" s="531"/>
      <c r="Q3" s="531"/>
      <c r="R3" s="531"/>
      <c r="S3" s="531"/>
      <c r="T3" s="531"/>
      <c r="U3" s="511"/>
      <c r="V3" s="511"/>
      <c r="W3" s="511"/>
      <c r="X3" s="511"/>
      <c r="Y3" s="511"/>
      <c r="Z3" s="511"/>
      <c r="AA3" s="511"/>
      <c r="AB3" s="511"/>
      <c r="AC3" s="511"/>
      <c r="AD3" s="511"/>
      <c r="AE3" s="511"/>
      <c r="AF3" s="511"/>
      <c r="AG3" s="511"/>
      <c r="AH3" s="511"/>
      <c r="AI3" s="511"/>
      <c r="AJ3" s="511"/>
      <c r="AK3" s="511"/>
      <c r="AL3" s="511"/>
      <c r="AM3" s="511"/>
      <c r="AN3" s="511"/>
      <c r="AO3" s="511"/>
      <c r="AP3" s="511"/>
      <c r="AQ3" s="511"/>
      <c r="AR3" s="511"/>
      <c r="AS3" s="511"/>
      <c r="AT3" s="511"/>
      <c r="AU3" s="511"/>
      <c r="AV3" s="511"/>
      <c r="AW3" s="511"/>
      <c r="AX3" s="511"/>
      <c r="AY3" s="511"/>
      <c r="AZ3" s="511"/>
      <c r="BA3" s="511"/>
      <c r="BB3" s="511"/>
      <c r="BC3" s="511"/>
      <c r="BD3" s="511"/>
      <c r="BE3" s="511"/>
      <c r="BF3" s="511"/>
      <c r="BG3" s="511"/>
      <c r="BH3" s="511"/>
      <c r="BI3" s="511"/>
      <c r="BJ3" s="511"/>
      <c r="BK3" s="511"/>
      <c r="BL3" s="511"/>
      <c r="BM3" s="511"/>
      <c r="BN3" s="511"/>
      <c r="BO3" s="511"/>
      <c r="BP3" s="511"/>
      <c r="BQ3" s="511"/>
      <c r="BR3" s="511"/>
      <c r="BS3" s="511"/>
      <c r="BT3" s="511"/>
      <c r="BU3" s="511"/>
      <c r="BV3" s="511"/>
      <c r="BW3" s="511"/>
      <c r="BX3" s="511"/>
      <c r="BY3" s="511"/>
      <c r="BZ3" s="511"/>
      <c r="CA3" s="511"/>
      <c r="CB3" s="511"/>
      <c r="CC3" s="511"/>
      <c r="CD3" s="511"/>
      <c r="CE3" s="511"/>
      <c r="CF3" s="511"/>
      <c r="CG3" s="511"/>
      <c r="CH3" s="511"/>
      <c r="CI3" s="511"/>
      <c r="CJ3" s="511"/>
      <c r="CK3" s="511"/>
      <c r="CL3" s="511"/>
      <c r="CM3" s="511"/>
      <c r="CN3" s="511"/>
      <c r="CO3" s="511"/>
      <c r="CP3" s="511"/>
      <c r="CQ3" s="511"/>
      <c r="CR3" s="511"/>
      <c r="CS3" s="511"/>
      <c r="CT3" s="511"/>
      <c r="CU3" s="511"/>
      <c r="CV3" s="511"/>
      <c r="CW3" s="511"/>
      <c r="CX3" s="511"/>
      <c r="CY3" s="511"/>
      <c r="CZ3" s="511"/>
      <c r="DA3" s="511"/>
      <c r="DB3" s="511"/>
      <c r="DC3" s="511"/>
      <c r="DD3" s="511"/>
      <c r="DE3" s="511"/>
      <c r="DF3" s="511"/>
      <c r="DG3" s="511"/>
      <c r="DH3" s="511"/>
      <c r="DI3" s="511"/>
      <c r="DJ3" s="511"/>
      <c r="DK3" s="511"/>
      <c r="DL3" s="511"/>
      <c r="DM3" s="511"/>
      <c r="DN3" s="511"/>
      <c r="DO3" s="511"/>
      <c r="DP3" s="511"/>
      <c r="DQ3" s="511"/>
      <c r="DR3" s="511"/>
      <c r="DS3" s="511"/>
      <c r="DT3" s="511"/>
      <c r="DU3" s="511"/>
      <c r="DV3" s="511"/>
      <c r="DW3" s="511"/>
      <c r="DX3" s="511"/>
      <c r="DY3" s="511"/>
      <c r="DZ3" s="511"/>
      <c r="EA3" s="511"/>
      <c r="EB3" s="511"/>
      <c r="EC3" s="511"/>
      <c r="ED3" s="511"/>
      <c r="EE3" s="511"/>
      <c r="EF3" s="511"/>
      <c r="EG3" s="511"/>
      <c r="EH3" s="511"/>
      <c r="EI3" s="511"/>
      <c r="EJ3" s="511"/>
      <c r="EK3" s="511"/>
      <c r="EL3" s="511"/>
      <c r="EM3" s="511"/>
      <c r="EN3" s="511"/>
      <c r="EO3" s="511"/>
      <c r="EP3" s="511"/>
      <c r="EQ3" s="511"/>
      <c r="ER3" s="511"/>
      <c r="ES3" s="511"/>
      <c r="ET3" s="511"/>
      <c r="EU3" s="511"/>
      <c r="EV3" s="511"/>
      <c r="EW3" s="511"/>
      <c r="EX3" s="511"/>
      <c r="EY3" s="511"/>
      <c r="EZ3" s="511"/>
      <c r="FA3" s="511"/>
      <c r="FB3" s="511"/>
      <c r="FC3" s="511"/>
      <c r="FD3" s="511"/>
      <c r="FE3" s="511"/>
      <c r="FF3" s="511"/>
      <c r="FG3" s="511"/>
      <c r="FH3" s="511"/>
      <c r="FI3" s="511"/>
      <c r="FJ3" s="511"/>
      <c r="FK3" s="511"/>
      <c r="FL3" s="511"/>
      <c r="FM3" s="511"/>
      <c r="FN3" s="511"/>
      <c r="FO3" s="511"/>
      <c r="FP3" s="511"/>
      <c r="FQ3" s="511"/>
      <c r="FR3" s="511"/>
      <c r="FS3" s="511"/>
      <c r="FT3" s="511"/>
      <c r="FU3" s="511"/>
      <c r="FV3" s="511"/>
      <c r="FW3" s="511"/>
      <c r="FX3" s="511"/>
      <c r="FY3" s="511"/>
      <c r="FZ3" s="511"/>
      <c r="GA3" s="511"/>
      <c r="GB3" s="511"/>
      <c r="GC3" s="511"/>
      <c r="GD3" s="511"/>
      <c r="GE3" s="511"/>
      <c r="GF3" s="511"/>
      <c r="GG3" s="511"/>
      <c r="GH3" s="511"/>
      <c r="GI3" s="511"/>
      <c r="GJ3" s="511"/>
      <c r="GK3" s="511"/>
      <c r="GL3" s="511"/>
      <c r="GM3" s="511"/>
      <c r="GN3" s="511"/>
      <c r="GO3" s="511"/>
      <c r="GP3" s="511"/>
      <c r="GQ3" s="511"/>
      <c r="GR3" s="511"/>
      <c r="GS3" s="511"/>
      <c r="GT3" s="511"/>
      <c r="GU3" s="511"/>
      <c r="GV3" s="511"/>
      <c r="GW3" s="511"/>
      <c r="GX3" s="511"/>
      <c r="GY3" s="511"/>
      <c r="GZ3" s="511"/>
      <c r="HA3" s="511"/>
      <c r="HB3" s="511"/>
      <c r="HC3" s="511"/>
      <c r="HD3" s="511"/>
      <c r="HE3" s="511"/>
      <c r="HF3" s="511"/>
      <c r="HG3" s="511"/>
      <c r="HH3" s="511"/>
      <c r="HI3" s="511"/>
      <c r="HJ3" s="511"/>
      <c r="HK3" s="511"/>
      <c r="HL3" s="511"/>
      <c r="HM3" s="511"/>
      <c r="HN3" s="511"/>
      <c r="HO3" s="511"/>
      <c r="HP3" s="511"/>
      <c r="HQ3" s="511"/>
      <c r="HR3" s="511"/>
      <c r="HS3" s="511"/>
      <c r="HT3" s="511"/>
      <c r="HU3" s="511"/>
      <c r="HV3" s="511"/>
      <c r="HW3" s="511"/>
      <c r="HX3" s="511"/>
      <c r="HY3" s="511"/>
      <c r="HZ3" s="511"/>
      <c r="IA3" s="511"/>
      <c r="IB3" s="511"/>
      <c r="IC3" s="511"/>
      <c r="ID3" s="511"/>
      <c r="IE3" s="511"/>
      <c r="IF3" s="511"/>
      <c r="IG3" s="511"/>
      <c r="IH3" s="511"/>
      <c r="II3" s="511"/>
      <c r="IJ3" s="511"/>
      <c r="IK3" s="511"/>
      <c r="IL3" s="511"/>
      <c r="IM3" s="511"/>
      <c r="IN3" s="511"/>
      <c r="IO3" s="511"/>
      <c r="IP3" s="511"/>
      <c r="IQ3" s="511"/>
      <c r="IR3" s="511"/>
      <c r="IS3" s="511"/>
      <c r="IT3" s="511"/>
      <c r="IU3" s="795">
        <v>4</v>
      </c>
    </row>
    <row s="30636" customFormat="1" customHeight="1" ht="14.699999999999998">
      <c r="A4" s="1439"/>
      <c r="B4" s="1444"/>
      <c r="C4" s="1439"/>
      <c r="D4" s="1779"/>
      <c r="E4" s="793"/>
      <c r="F4" s="1926"/>
      <c r="G4" s="793"/>
      <c r="H4" s="793"/>
      <c r="I4" s="793"/>
      <c r="J4" s="450"/>
      <c r="K4" s="531"/>
      <c r="L4" s="784"/>
      <c r="M4" s="784"/>
      <c r="N4" s="784"/>
      <c r="O4" s="510"/>
      <c r="P4" s="784"/>
      <c r="Q4" s="509"/>
      <c r="R4" s="509"/>
      <c r="S4" s="509"/>
      <c r="T4" s="509"/>
      <c r="IU4" s="791">
        <v>14</v>
      </c>
    </row>
    <row s="30636" customFormat="1" customHeight="1" ht="27.299999999999997">
      <c r="A5" s="1439"/>
      <c r="B5" s="1444"/>
      <c r="C5" s="1439"/>
      <c r="D5" s="1779"/>
      <c r="E5" s="238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84"/>
      <c r="G5" s="2384"/>
      <c r="H5" s="2384"/>
      <c r="I5" s="2384"/>
      <c r="J5" s="2384"/>
      <c r="K5" s="531"/>
      <c r="L5" s="784"/>
      <c r="M5" s="784"/>
      <c r="N5" s="784"/>
      <c r="O5" s="510"/>
      <c r="P5" s="784"/>
      <c r="Q5" s="509"/>
      <c r="R5" s="509"/>
      <c r="S5" s="509"/>
      <c r="T5" s="509"/>
      <c r="IU5" s="791">
        <v>26</v>
      </c>
    </row>
    <row s="30636" customFormat="1" customHeight="1" ht="14.699999999999998">
      <c r="A6" s="1439"/>
      <c r="B6" s="1444"/>
      <c r="C6" s="1439"/>
      <c r="D6" s="1779"/>
      <c r="E6" s="793"/>
      <c r="F6" s="451"/>
      <c r="G6" s="451"/>
      <c r="H6" s="451"/>
      <c r="I6" s="451"/>
      <c r="J6" s="452"/>
      <c r="K6" s="784"/>
      <c r="L6" s="784"/>
      <c r="M6" s="784"/>
      <c r="N6" s="784"/>
      <c r="O6" s="510"/>
      <c r="P6" s="784"/>
      <c r="Q6" s="509"/>
      <c r="R6" s="509"/>
      <c r="S6" s="509"/>
      <c r="T6" s="509"/>
      <c r="IU6" s="791">
        <v>14</v>
      </c>
    </row>
    <row s="30636" customFormat="1" customHeight="1" ht="14.699999999999998">
      <c r="A7" s="1439"/>
      <c r="B7" s="1444"/>
      <c r="C7" s="1439"/>
      <c r="D7" s="1779"/>
      <c r="E7" s="2385" t="s">
        <v>360</v>
      </c>
      <c r="F7" s="2386"/>
      <c r="G7" s="2386"/>
      <c r="H7" s="2386"/>
      <c r="I7" s="2386"/>
      <c r="J7" s="2758" t="s">
        <v>361</v>
      </c>
      <c r="K7" s="784"/>
      <c r="L7" s="784"/>
      <c r="M7" s="784"/>
      <c r="N7" s="784"/>
      <c r="O7" s="510"/>
      <c r="P7" s="784"/>
      <c r="Q7" s="509"/>
      <c r="R7" s="509"/>
      <c r="S7" s="509"/>
      <c r="T7" s="509"/>
      <c r="IU7" s="791">
        <v>14</v>
      </c>
    </row>
    <row s="30636" customFormat="1" customHeight="1" ht="21">
      <c r="A8" s="1439"/>
      <c r="B8" s="1444"/>
      <c r="C8" s="1439"/>
      <c r="D8" s="1779"/>
      <c r="E8" s="1832" t="s">
        <v>91</v>
      </c>
      <c r="F8" s="1824" t="s">
        <v>1952</v>
      </c>
      <c r="G8" s="1824" t="s">
        <v>51</v>
      </c>
      <c r="H8" s="1824" t="s">
        <v>53</v>
      </c>
      <c r="I8" s="1824" t="s">
        <v>1953</v>
      </c>
      <c r="J8" s="2759"/>
      <c r="K8" s="784"/>
      <c r="L8" s="784"/>
      <c r="M8" s="784"/>
      <c r="N8" s="784"/>
      <c r="O8" s="510"/>
      <c r="P8" s="784"/>
      <c r="Q8" s="509"/>
      <c r="R8" s="509"/>
      <c r="S8" s="509"/>
      <c r="T8" s="509"/>
      <c r="IU8" s="791">
        <v>20</v>
      </c>
    </row>
    <row s="30681" customFormat="1" customHeight="1" ht="23.25">
      <c r="A9" s="1915"/>
      <c r="B9" s="1444">
        <v>1</v>
      </c>
      <c r="C9" s="1444"/>
      <c r="D9" s="1085"/>
      <c r="E9" s="1768">
        <v>1</v>
      </c>
      <c r="F9" s="1831"/>
      <c r="G9" s="1775"/>
      <c r="H9" s="1775"/>
      <c r="I9" s="1822"/>
      <c r="J9" s="245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819"/>
      <c r="L9" s="795"/>
      <c r="M9" s="795"/>
      <c r="N9" s="784" t="str">
        <f t="array" ref="N9:N9">IF(ISERROR(MATCH(MID(O9,1,250),MID(note_ter,1,250),0)),"n","y")</f>
        <v>n</v>
      </c>
      <c r="O9" s="795"/>
      <c r="P9" s="78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444"/>
      <c r="R9" s="1444"/>
      <c r="S9" s="704"/>
      <c r="T9" s="1444"/>
      <c r="U9" s="1444"/>
      <c r="V9" s="1444"/>
      <c r="W9" s="706"/>
      <c r="X9" s="706"/>
      <c r="Y9" s="703"/>
      <c r="Z9" s="703"/>
      <c r="AA9" s="703"/>
      <c r="AB9" s="703"/>
      <c r="AC9" s="703"/>
      <c r="AD9" s="703"/>
      <c r="AE9" s="703"/>
      <c r="AF9" s="703"/>
      <c r="AG9" s="703"/>
      <c r="AH9" s="703"/>
      <c r="AI9" s="703"/>
      <c r="AJ9" s="703"/>
      <c r="AK9" s="703"/>
      <c r="AL9" s="703"/>
      <c r="AM9" s="703"/>
      <c r="AN9" s="703"/>
      <c r="AO9" s="703"/>
      <c r="AP9" s="703"/>
      <c r="AQ9" s="703"/>
      <c r="AR9" s="703"/>
      <c r="AS9" s="703"/>
      <c r="AT9" s="703"/>
      <c r="AU9" s="703"/>
      <c r="AV9" s="703"/>
      <c r="AW9" s="703"/>
      <c r="AX9" s="703"/>
      <c r="AY9" s="703"/>
      <c r="AZ9" s="703"/>
      <c r="BA9" s="703"/>
      <c r="BB9" s="703"/>
      <c r="BC9" s="703"/>
      <c r="BD9" s="703"/>
      <c r="BE9" s="703"/>
      <c r="BF9" s="703"/>
      <c r="BG9" s="703"/>
      <c r="BH9" s="703"/>
      <c r="BI9" s="703"/>
      <c r="BJ9" s="703"/>
      <c r="BK9" s="703"/>
      <c r="BL9" s="703"/>
      <c r="BM9" s="703"/>
      <c r="BN9" s="703"/>
      <c r="BO9" s="703"/>
      <c r="BP9" s="703"/>
      <c r="BQ9" s="703"/>
      <c r="BR9" s="703"/>
      <c r="BS9" s="703"/>
      <c r="BT9" s="706"/>
      <c r="BU9" s="706"/>
      <c r="BV9" s="706"/>
      <c r="BW9" s="706"/>
      <c r="BX9" s="706"/>
      <c r="BY9" s="706"/>
      <c r="BZ9" s="706"/>
      <c r="CA9" s="706"/>
      <c r="CB9" s="706"/>
      <c r="CC9" s="706"/>
      <c r="IU9" s="707">
        <v>22</v>
      </c>
    </row>
    <row s="30681" customFormat="1" customHeight="1" ht="15.75">
      <c r="A10" s="1915"/>
      <c r="B10" s="1444"/>
      <c r="C10" s="696"/>
      <c r="D10" s="1085"/>
      <c r="E10" s="1825"/>
      <c r="F10" s="1784" t="s">
        <v>1954</v>
      </c>
      <c r="G10" s="1826"/>
      <c r="H10" s="1826"/>
      <c r="I10" s="2183"/>
      <c r="J10" s="2455"/>
      <c r="K10" s="1820"/>
      <c r="L10" s="795"/>
      <c r="M10" s="795"/>
      <c r="N10" s="795"/>
      <c r="O10" s="784"/>
      <c r="P10" s="795"/>
      <c r="Q10" s="1444"/>
      <c r="R10" s="1444"/>
      <c r="S10" s="704"/>
      <c r="T10" s="1444"/>
      <c r="U10" s="1444"/>
      <c r="V10" s="1444"/>
      <c r="W10" s="706"/>
      <c r="X10" s="706"/>
      <c r="Y10" s="703"/>
      <c r="Z10" s="703"/>
      <c r="AA10" s="703"/>
      <c r="AB10" s="703"/>
      <c r="AC10" s="703"/>
      <c r="AD10" s="703"/>
      <c r="AE10" s="703"/>
      <c r="AF10" s="703"/>
      <c r="AG10" s="703"/>
      <c r="AH10" s="703"/>
      <c r="AI10" s="703"/>
      <c r="AJ10" s="703"/>
      <c r="AK10" s="703"/>
      <c r="AL10" s="703"/>
      <c r="AM10" s="703"/>
      <c r="AN10" s="703"/>
      <c r="AO10" s="703"/>
      <c r="AP10" s="703"/>
      <c r="AQ10" s="703"/>
      <c r="AR10" s="703"/>
      <c r="AS10" s="703"/>
      <c r="AT10" s="703"/>
      <c r="AU10" s="703"/>
      <c r="AV10" s="703"/>
      <c r="AW10" s="703"/>
      <c r="AX10" s="703"/>
      <c r="AY10" s="703"/>
      <c r="AZ10" s="703"/>
      <c r="BA10" s="703"/>
      <c r="BB10" s="703"/>
      <c r="BC10" s="703"/>
      <c r="BD10" s="703"/>
      <c r="BE10" s="703"/>
      <c r="BF10" s="703"/>
      <c r="BG10" s="703"/>
      <c r="BH10" s="703"/>
      <c r="BI10" s="703"/>
      <c r="BJ10" s="703"/>
      <c r="BK10" s="703"/>
      <c r="BL10" s="703"/>
      <c r="BM10" s="703"/>
      <c r="BN10" s="703"/>
      <c r="BO10" s="703"/>
      <c r="BP10" s="703"/>
      <c r="BQ10" s="703"/>
      <c r="BR10" s="703"/>
      <c r="BS10" s="703"/>
      <c r="BT10" s="706"/>
      <c r="BU10" s="706"/>
      <c r="BV10" s="706"/>
      <c r="BW10" s="706"/>
      <c r="BX10" s="706"/>
      <c r="BY10" s="706"/>
      <c r="BZ10" s="706"/>
      <c r="CA10" s="706"/>
      <c r="CB10" s="706"/>
      <c r="CC10" s="706"/>
      <c r="IU10" s="707">
        <v>15</v>
      </c>
    </row>
    <row s="30636" customFormat="1" customHeight="1" ht="22.049999999999997">
      <c r="A11" s="1439"/>
      <c r="B11" s="1444"/>
      <c r="C11" s="1439"/>
      <c r="D11" s="735"/>
      <c r="E11" s="464"/>
      <c r="F11" s="464"/>
      <c r="G11" s="464"/>
      <c r="H11" s="464"/>
      <c r="I11" s="464"/>
      <c r="J11" s="464"/>
      <c r="K11" s="784"/>
      <c r="L11" s="784"/>
      <c r="M11" s="784"/>
      <c r="N11" s="784"/>
      <c r="O11" s="510"/>
      <c r="P11" s="784"/>
      <c r="Q11" s="509"/>
      <c r="R11" s="509"/>
      <c r="S11" s="509"/>
      <c r="T11" s="509"/>
      <c r="IU11" s="791">
        <v>21</v>
      </c>
    </row>
    <row s="30636" customFormat="1" customHeight="1" ht="14.699999999999998">
      <c r="A12" s="1439"/>
      <c r="B12" s="1444"/>
      <c r="C12" s="1439"/>
      <c r="D12" s="735"/>
      <c r="E12" s="1439"/>
      <c r="F12" s="1439"/>
      <c r="G12" s="1439"/>
      <c r="H12" s="1439"/>
      <c r="I12" s="1439"/>
      <c r="J12" s="1439"/>
      <c r="K12" s="784"/>
      <c r="L12" s="784"/>
      <c r="M12" s="784"/>
      <c r="N12" s="784"/>
      <c r="O12" s="510"/>
      <c r="P12" s="784"/>
      <c r="Q12" s="509"/>
      <c r="R12" s="509"/>
      <c r="S12" s="509"/>
      <c r="T12" s="509"/>
      <c r="IU12" s="791">
        <v>14</v>
      </c>
    </row>
    <row s="30636" customFormat="1" customHeight="1" ht="1.05">
      <c r="A13" s="1439"/>
      <c r="B13" s="1444"/>
      <c r="C13" s="1439"/>
      <c r="D13" s="735"/>
      <c r="E13" s="1439"/>
      <c r="F13" s="1439"/>
      <c r="G13" s="1439"/>
      <c r="H13" s="1439"/>
      <c r="I13" s="1439"/>
      <c r="J13" s="1439"/>
      <c r="K13" s="784"/>
      <c r="L13" s="784"/>
      <c r="M13" s="784"/>
      <c r="N13" s="784"/>
      <c r="O13" s="510"/>
      <c r="P13" s="784"/>
      <c r="Q13" s="509"/>
      <c r="R13" s="509"/>
      <c r="S13" s="509"/>
      <c r="T13" s="509"/>
      <c r="IU13" s="791">
        <v>1</v>
      </c>
    </row>
    <row s="30721" customFormat="1" customHeight="1" ht="10.5">
      <c r="B14" s="1118"/>
      <c r="D14" s="466"/>
      <c r="K14" s="784"/>
      <c r="L14" s="784"/>
      <c r="M14" s="784"/>
      <c r="N14" s="784"/>
      <c r="O14" s="510"/>
      <c r="P14" s="784"/>
      <c r="Q14" s="509"/>
      <c r="R14" s="509"/>
      <c r="S14" s="509"/>
      <c r="T14" s="509"/>
      <c r="IU14" s="465">
        <v>10</v>
      </c>
    </row>
    <row s="30721" customFormat="1" customHeight="1" ht="10.5">
      <c r="B15" s="1118"/>
      <c r="D15" s="466"/>
      <c r="K15" s="784"/>
      <c r="L15" s="784"/>
      <c r="M15" s="784"/>
      <c r="N15" s="784"/>
      <c r="O15" s="510"/>
      <c r="P15" s="784"/>
      <c r="Q15" s="509"/>
      <c r="R15" s="509"/>
      <c r="S15" s="509"/>
      <c r="T15" s="509"/>
      <c r="IU15" s="465">
        <v>10</v>
      </c>
    </row>
    <row customHeight="1" ht="14.699999999999998">
      <c r="IU16" s="1439">
        <v>14</v>
      </c>
    </row>
    <row customHeight="1" ht="14.699999999999998">
      <c r="IU17" s="1439">
        <v>14</v>
      </c>
    </row>
    <row customHeight="1" ht="14.699999999999998">
      <c r="IU18" s="1439">
        <v>14</v>
      </c>
    </row>
    <row customHeight="1" ht="14.699999999999998">
      <c r="G19" s="657"/>
      <c r="H19" s="657"/>
      <c r="I19" s="657"/>
      <c r="IU19" s="1439">
        <v>14</v>
      </c>
    </row>
    <row customHeight="1" ht="14.699999999999998">
      <c r="IU20" s="1439">
        <v>14</v>
      </c>
    </row>
    <row customHeight="1" ht="14.699999999999998">
      <c r="IU21" s="1439">
        <v>14</v>
      </c>
    </row>
    <row customHeight="1" ht="14.699999999999998">
      <c r="IU22" s="1439">
        <v>14</v>
      </c>
    </row>
    <row customHeight="1" ht="14.699999999999998">
      <c r="K23" s="1439"/>
      <c r="L23" s="1439"/>
      <c r="M23" s="1439"/>
      <c r="IU23" s="1439">
        <v>14</v>
      </c>
    </row>
    <row customHeight="1" ht="22.5" hidden="1">
      <c r="A24" s="1439" t="s">
        <v>85</v>
      </c>
      <c r="B24" s="1444">
        <v>0</v>
      </c>
      <c r="C24" s="1439">
        <v>0</v>
      </c>
      <c r="D24" s="735">
        <v>3</v>
      </c>
      <c r="E24" s="1439">
        <v>6</v>
      </c>
      <c r="F24" s="1439">
        <v>46</v>
      </c>
      <c r="G24" s="1439">
        <v>16</v>
      </c>
      <c r="H24" s="1439">
        <v>16</v>
      </c>
      <c r="I24" s="1439">
        <v>35</v>
      </c>
      <c r="J24" s="1439">
        <v>89</v>
      </c>
      <c r="K24" s="784">
        <v>3</v>
      </c>
      <c r="L24" s="784">
        <v>8</v>
      </c>
      <c r="M24" s="784">
        <v>8</v>
      </c>
      <c r="N24" s="784">
        <v>8</v>
      </c>
      <c r="O24" s="510">
        <v>25</v>
      </c>
      <c r="P24" s="784">
        <v>14</v>
      </c>
      <c r="Q24" s="509">
        <v>8</v>
      </c>
      <c r="R24" s="509">
        <v>8</v>
      </c>
      <c r="S24" s="509">
        <v>8</v>
      </c>
      <c r="T24" s="509">
        <v>8</v>
      </c>
      <c r="U24" s="1439">
        <v>8</v>
      </c>
      <c r="V24" s="1439">
        <v>8</v>
      </c>
      <c r="W24" s="1439">
        <v>8</v>
      </c>
      <c r="X24" s="1439">
        <v>8</v>
      </c>
      <c r="Y24" s="1439">
        <v>8</v>
      </c>
      <c r="Z24" s="1439">
        <v>8</v>
      </c>
      <c r="AA24" s="1439">
        <v>8</v>
      </c>
      <c r="AB24" s="1439">
        <v>8</v>
      </c>
      <c r="AC24" s="1439">
        <v>8</v>
      </c>
      <c r="AD24" s="1439">
        <v>8</v>
      </c>
      <c r="AE24" s="1439">
        <v>8</v>
      </c>
      <c r="AF24" s="1439">
        <v>8</v>
      </c>
      <c r="AG24" s="1439">
        <v>8</v>
      </c>
      <c r="AH24" s="1439">
        <v>8</v>
      </c>
      <c r="AI24" s="1439">
        <v>8</v>
      </c>
      <c r="AJ24" s="1439">
        <v>8</v>
      </c>
      <c r="AK24" s="1439">
        <v>8</v>
      </c>
      <c r="AL24" s="1439">
        <v>8</v>
      </c>
      <c r="AM24" s="1439">
        <v>8</v>
      </c>
      <c r="AN24" s="1439">
        <v>8</v>
      </c>
      <c r="AO24" s="1439">
        <v>8</v>
      </c>
      <c r="AP24" s="1439">
        <v>8</v>
      </c>
      <c r="AQ24" s="1439">
        <v>8</v>
      </c>
      <c r="AR24" s="1439">
        <v>8</v>
      </c>
      <c r="AS24" s="1439">
        <v>8</v>
      </c>
      <c r="AT24" s="1439">
        <v>8</v>
      </c>
      <c r="AU24" s="1439">
        <v>8</v>
      </c>
      <c r="AV24" s="1439">
        <v>8</v>
      </c>
      <c r="AW24" s="1439">
        <v>8</v>
      </c>
      <c r="AX24" s="1439">
        <v>8</v>
      </c>
      <c r="AY24" s="1439">
        <v>8</v>
      </c>
      <c r="AZ24" s="1439">
        <v>8</v>
      </c>
      <c r="BA24" s="1439">
        <v>8</v>
      </c>
      <c r="BB24" s="1439">
        <v>8</v>
      </c>
      <c r="BC24" s="1439">
        <v>8</v>
      </c>
      <c r="BD24" s="1439">
        <v>8</v>
      </c>
      <c r="BE24" s="1439">
        <v>8</v>
      </c>
      <c r="BF24" s="1439">
        <v>8</v>
      </c>
      <c r="BG24" s="1439">
        <v>8</v>
      </c>
      <c r="BH24" s="1439">
        <v>8</v>
      </c>
      <c r="BI24" s="1439">
        <v>8</v>
      </c>
      <c r="BJ24" s="1439">
        <v>8</v>
      </c>
      <c r="BK24" s="1439">
        <v>8</v>
      </c>
      <c r="BL24" s="1439">
        <v>8</v>
      </c>
      <c r="BM24" s="1439">
        <v>8</v>
      </c>
      <c r="BN24" s="1439">
        <v>8</v>
      </c>
      <c r="BO24" s="1439">
        <v>8</v>
      </c>
      <c r="BP24" s="1439">
        <v>8</v>
      </c>
      <c r="BQ24" s="1439">
        <v>8</v>
      </c>
      <c r="BR24" s="1439">
        <v>8</v>
      </c>
      <c r="BS24" s="1439">
        <v>8</v>
      </c>
      <c r="BT24" s="1439">
        <v>8</v>
      </c>
      <c r="BU24" s="1439">
        <v>8</v>
      </c>
      <c r="BV24" s="1439">
        <v>8</v>
      </c>
      <c r="BW24" s="1439">
        <v>8</v>
      </c>
      <c r="BX24" s="1439">
        <v>8</v>
      </c>
      <c r="BY24" s="1439">
        <v>8</v>
      </c>
      <c r="BZ24" s="1439">
        <v>8</v>
      </c>
      <c r="CA24" s="1439">
        <v>8</v>
      </c>
      <c r="CB24" s="1439">
        <v>8</v>
      </c>
      <c r="CC24" s="1439">
        <v>8</v>
      </c>
      <c r="CD24" s="1439">
        <v>8</v>
      </c>
      <c r="CE24" s="1439">
        <v>8</v>
      </c>
      <c r="CF24" s="1439">
        <v>8</v>
      </c>
      <c r="CG24" s="1439">
        <v>8</v>
      </c>
      <c r="CH24" s="1439">
        <v>8</v>
      </c>
      <c r="CI24" s="1439">
        <v>8</v>
      </c>
      <c r="CJ24" s="1439">
        <v>8</v>
      </c>
      <c r="CK24" s="1439">
        <v>8</v>
      </c>
      <c r="CL24" s="1439">
        <v>8</v>
      </c>
      <c r="CM24" s="1439">
        <v>8</v>
      </c>
      <c r="CN24" s="1439">
        <v>8</v>
      </c>
      <c r="CO24" s="1439">
        <v>8</v>
      </c>
      <c r="CP24" s="1439">
        <v>8</v>
      </c>
      <c r="CQ24" s="1439">
        <v>8</v>
      </c>
      <c r="CR24" s="1439">
        <v>8</v>
      </c>
      <c r="CS24" s="1439">
        <v>8</v>
      </c>
      <c r="CT24" s="1439">
        <v>8</v>
      </c>
      <c r="CU24" s="1439">
        <v>8</v>
      </c>
      <c r="CV24" s="1439">
        <v>8</v>
      </c>
      <c r="CW24" s="1439">
        <v>8</v>
      </c>
      <c r="CX24" s="1439">
        <v>8</v>
      </c>
      <c r="CY24" s="1439">
        <v>8</v>
      </c>
      <c r="CZ24" s="1439">
        <v>8</v>
      </c>
      <c r="DA24" s="1439">
        <v>8</v>
      </c>
      <c r="DB24" s="1439">
        <v>8</v>
      </c>
      <c r="DC24" s="1439">
        <v>8</v>
      </c>
      <c r="DD24" s="1439">
        <v>8</v>
      </c>
      <c r="DE24" s="1439">
        <v>8</v>
      </c>
      <c r="DF24" s="1439">
        <v>8</v>
      </c>
      <c r="DG24" s="1439">
        <v>8</v>
      </c>
      <c r="DH24" s="1439">
        <v>8</v>
      </c>
      <c r="DI24" s="1439">
        <v>8</v>
      </c>
      <c r="DJ24" s="1439">
        <v>8</v>
      </c>
      <c r="DK24" s="1439">
        <v>8</v>
      </c>
      <c r="DL24" s="1439">
        <v>8</v>
      </c>
      <c r="DM24" s="1439">
        <v>8</v>
      </c>
      <c r="DN24" s="1439">
        <v>8</v>
      </c>
      <c r="DO24" s="1439">
        <v>8</v>
      </c>
      <c r="DP24" s="1439">
        <v>8</v>
      </c>
      <c r="DQ24" s="1439">
        <v>8</v>
      </c>
      <c r="DR24" s="1439">
        <v>8</v>
      </c>
      <c r="DS24" s="1439">
        <v>8</v>
      </c>
      <c r="DT24" s="1439">
        <v>8</v>
      </c>
      <c r="DU24" s="1439">
        <v>8</v>
      </c>
      <c r="DV24" s="1439">
        <v>8</v>
      </c>
      <c r="DW24" s="1439">
        <v>8</v>
      </c>
      <c r="DX24" s="1439">
        <v>8</v>
      </c>
      <c r="DY24" s="1439">
        <v>8</v>
      </c>
      <c r="DZ24" s="1439">
        <v>8</v>
      </c>
      <c r="EA24" s="1439">
        <v>8</v>
      </c>
      <c r="EB24" s="1439">
        <v>8</v>
      </c>
      <c r="EC24" s="1439">
        <v>8</v>
      </c>
      <c r="ED24" s="1439">
        <v>8</v>
      </c>
      <c r="EE24" s="1439">
        <v>8</v>
      </c>
      <c r="EF24" s="1439">
        <v>8</v>
      </c>
      <c r="EG24" s="1439">
        <v>8</v>
      </c>
      <c r="EH24" s="1439">
        <v>8</v>
      </c>
      <c r="EI24" s="1439">
        <v>8</v>
      </c>
      <c r="EJ24" s="1439">
        <v>8</v>
      </c>
      <c r="EK24" s="1439">
        <v>8</v>
      </c>
      <c r="EL24" s="1439">
        <v>8</v>
      </c>
      <c r="EM24" s="1439">
        <v>8</v>
      </c>
      <c r="EN24" s="1439">
        <v>8</v>
      </c>
      <c r="EO24" s="1439">
        <v>8</v>
      </c>
      <c r="EP24" s="1439">
        <v>8</v>
      </c>
      <c r="EQ24" s="1439">
        <v>8</v>
      </c>
      <c r="ER24" s="1439">
        <v>8</v>
      </c>
      <c r="ES24" s="1439">
        <v>8</v>
      </c>
      <c r="ET24" s="1439">
        <v>8</v>
      </c>
      <c r="EU24" s="1439">
        <v>8</v>
      </c>
      <c r="EV24" s="1439">
        <v>8</v>
      </c>
      <c r="EW24" s="1439">
        <v>8</v>
      </c>
      <c r="EX24" s="1439">
        <v>8</v>
      </c>
      <c r="EY24" s="1439">
        <v>8</v>
      </c>
      <c r="EZ24" s="1439">
        <v>8</v>
      </c>
      <c r="FA24" s="1439">
        <v>8</v>
      </c>
      <c r="FB24" s="1439">
        <v>8</v>
      </c>
      <c r="FC24" s="1439">
        <v>8</v>
      </c>
      <c r="FD24" s="1439">
        <v>8</v>
      </c>
      <c r="FE24" s="1439">
        <v>8</v>
      </c>
      <c r="FF24" s="1439">
        <v>8</v>
      </c>
      <c r="FG24" s="1439">
        <v>8</v>
      </c>
      <c r="FH24" s="1439">
        <v>8</v>
      </c>
      <c r="FI24" s="1439">
        <v>8</v>
      </c>
      <c r="FJ24" s="1439">
        <v>8</v>
      </c>
      <c r="FK24" s="1439">
        <v>8</v>
      </c>
      <c r="FL24" s="1439">
        <v>8</v>
      </c>
      <c r="FM24" s="1439">
        <v>8</v>
      </c>
      <c r="FN24" s="1439">
        <v>8</v>
      </c>
      <c r="FO24" s="1439">
        <v>8</v>
      </c>
      <c r="FP24" s="1439">
        <v>8</v>
      </c>
      <c r="FQ24" s="1439">
        <v>8</v>
      </c>
      <c r="FR24" s="1439">
        <v>8</v>
      </c>
      <c r="FS24" s="1439">
        <v>8</v>
      </c>
      <c r="FT24" s="1439">
        <v>8</v>
      </c>
      <c r="FU24" s="1439">
        <v>8</v>
      </c>
      <c r="FV24" s="1439">
        <v>8</v>
      </c>
      <c r="FW24" s="1439">
        <v>8</v>
      </c>
      <c r="FX24" s="1439">
        <v>8</v>
      </c>
      <c r="FY24" s="1439">
        <v>8</v>
      </c>
      <c r="FZ24" s="1439">
        <v>8</v>
      </c>
      <c r="GA24" s="1439">
        <v>8</v>
      </c>
      <c r="GB24" s="1439">
        <v>8</v>
      </c>
      <c r="GC24" s="1439">
        <v>8</v>
      </c>
      <c r="GD24" s="1439">
        <v>8</v>
      </c>
      <c r="GE24" s="1439">
        <v>8</v>
      </c>
      <c r="GF24" s="1439">
        <v>8</v>
      </c>
      <c r="GG24" s="1439">
        <v>8</v>
      </c>
      <c r="GH24" s="1439">
        <v>8</v>
      </c>
      <c r="GI24" s="1439">
        <v>8</v>
      </c>
      <c r="GJ24" s="1439">
        <v>8</v>
      </c>
      <c r="GK24" s="1439">
        <v>8</v>
      </c>
      <c r="GL24" s="1439">
        <v>8</v>
      </c>
      <c r="GM24" s="1439">
        <v>8</v>
      </c>
      <c r="GN24" s="1439">
        <v>8</v>
      </c>
      <c r="GO24" s="1439">
        <v>8</v>
      </c>
      <c r="GP24" s="1439">
        <v>8</v>
      </c>
      <c r="GQ24" s="1439">
        <v>8</v>
      </c>
      <c r="GR24" s="1439">
        <v>8</v>
      </c>
      <c r="GS24" s="1439">
        <v>8</v>
      </c>
      <c r="GT24" s="1439">
        <v>8</v>
      </c>
      <c r="GU24" s="1439">
        <v>8</v>
      </c>
      <c r="GV24" s="1439">
        <v>8</v>
      </c>
      <c r="GW24" s="1439">
        <v>8</v>
      </c>
      <c r="GX24" s="1439">
        <v>8</v>
      </c>
      <c r="GY24" s="1439">
        <v>8</v>
      </c>
      <c r="GZ24" s="1439">
        <v>8</v>
      </c>
      <c r="HA24" s="1439">
        <v>8</v>
      </c>
      <c r="HB24" s="1439">
        <v>8</v>
      </c>
      <c r="HC24" s="1439">
        <v>8</v>
      </c>
      <c r="HD24" s="1439">
        <v>8</v>
      </c>
      <c r="HE24" s="1439">
        <v>8</v>
      </c>
      <c r="HF24" s="1439">
        <v>8</v>
      </c>
      <c r="HG24" s="1439">
        <v>8</v>
      </c>
      <c r="HH24" s="1439">
        <v>8</v>
      </c>
      <c r="HI24" s="1439">
        <v>8</v>
      </c>
      <c r="HJ24" s="1439">
        <v>8</v>
      </c>
      <c r="HK24" s="1439">
        <v>8</v>
      </c>
      <c r="HL24" s="1439">
        <v>8</v>
      </c>
      <c r="HM24" s="1439">
        <v>8</v>
      </c>
      <c r="HN24" s="1439">
        <v>8</v>
      </c>
      <c r="HO24" s="1439">
        <v>8</v>
      </c>
      <c r="HP24" s="1439">
        <v>8</v>
      </c>
      <c r="HQ24" s="1439">
        <v>8</v>
      </c>
      <c r="HR24" s="1439">
        <v>8</v>
      </c>
      <c r="HS24" s="1439">
        <v>8</v>
      </c>
      <c r="HT24" s="1439">
        <v>8</v>
      </c>
      <c r="HU24" s="1439">
        <v>8</v>
      </c>
      <c r="HV24" s="1439">
        <v>8</v>
      </c>
      <c r="HW24" s="1439">
        <v>8</v>
      </c>
      <c r="HX24" s="1439">
        <v>8</v>
      </c>
      <c r="HY24" s="1439">
        <v>8</v>
      </c>
      <c r="HZ24" s="1439">
        <v>8</v>
      </c>
      <c r="IA24" s="1439">
        <v>8</v>
      </c>
      <c r="IB24" s="1439">
        <v>8</v>
      </c>
      <c r="IC24" s="1439">
        <v>8</v>
      </c>
      <c r="ID24" s="1439">
        <v>8</v>
      </c>
      <c r="IE24" s="1439">
        <v>8</v>
      </c>
      <c r="IF24" s="1439">
        <v>8</v>
      </c>
      <c r="IG24" s="1439">
        <v>8</v>
      </c>
      <c r="IH24" s="1439">
        <v>8</v>
      </c>
      <c r="II24" s="1439">
        <v>8</v>
      </c>
      <c r="IJ24" s="1439">
        <v>8</v>
      </c>
      <c r="IK24" s="1439">
        <v>8</v>
      </c>
      <c r="IL24" s="1439">
        <v>8</v>
      </c>
      <c r="IM24" s="1439">
        <v>8</v>
      </c>
      <c r="IN24" s="1439">
        <v>8</v>
      </c>
      <c r="IO24" s="1439">
        <v>8</v>
      </c>
      <c r="IP24" s="1439">
        <v>8</v>
      </c>
      <c r="IQ24" s="1439">
        <v>8</v>
      </c>
      <c r="IR24" s="1439">
        <v>8</v>
      </c>
      <c r="IS24" s="1439">
        <v>8</v>
      </c>
      <c r="IT24" s="1439">
        <v>8</v>
      </c>
      <c r="IU24" s="1439">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7057EF-EC99-5F96-5AFE-75595BDF5FB7}"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30541" width="9.140625" hidden="1"/>
    <col min="2" max="2" style="30620" width="9.140625" hidden="1"/>
    <col min="3" max="3" style="30541" width="3.7109375" hidden="1" customWidth="1"/>
    <col min="4" max="4" style="30726" width="3.00390625" customWidth="1"/>
    <col min="5" max="5" style="30541" width="6.00390625" customWidth="1"/>
    <col min="6" max="6" style="30541" width="27.00390625" customWidth="1"/>
    <col min="7" max="7" style="30541" width="16.00390625" customWidth="1"/>
    <col min="8" max="8" style="30541" width="12.00390625" customWidth="1"/>
    <col min="9" max="9" style="30541" width="32.00390625" customWidth="1"/>
    <col min="10" max="11" style="30541" width="41.00390625" customWidth="1"/>
    <col min="12" max="12" style="30541" width="89.00390625" customWidth="1"/>
    <col min="13" max="13" style="30727" width="3.00390625" customWidth="1"/>
    <col min="14" max="16" style="30727" width="8.00390625" customWidth="1"/>
    <col min="17" max="17" style="30727" width="25.00390625" customWidth="1"/>
    <col min="18" max="18" style="30727" width="14.00390625" customWidth="1"/>
    <col min="19" max="22" style="30728" width="8.00390625" customWidth="1"/>
    <col min="23" max="256" style="30541" width="8.00390625" customWidth="1"/>
    <col min="257" max="257" style="30541" width="9.140625" hidden="1"/>
  </cols>
  <sheetData>
    <row customHeight="1" ht="22.5" hidden="1">
      <c r="IW1" s="1439" t="s">
        <v>14</v>
      </c>
    </row>
    <row s="30681" customFormat="1" customHeight="1" ht="22.5" hidden="1">
      <c r="A2" s="1115"/>
      <c r="B2" s="1444">
        <v>1</v>
      </c>
      <c r="C2" s="1444"/>
      <c r="D2" s="2212" t="s">
        <v>106</v>
      </c>
      <c r="E2" s="2173"/>
      <c r="F2" s="2176" t="str">
        <f>IF(ROIV_INFO_NAME="","",ROIV_INFO_NAME)</f>
        <v>АО "ДГК"</v>
      </c>
      <c r="G2" s="2201" t="s">
        <v>28</v>
      </c>
      <c r="H2" s="2200"/>
      <c r="I2" s="1822"/>
      <c r="J2" s="1102"/>
      <c r="K2" s="1102"/>
      <c r="L2" s="512"/>
      <c r="M2" s="1819">
        <f>MERGEVALUE(F2)</f>
      </c>
      <c r="N2" s="795"/>
      <c r="O2" s="795"/>
      <c r="P2" s="784" t="str">
        <f t="array" ref="P2:P2">IF(ISERROR(MATCH(MID(Q2,1,250),MID(note_ter,1,250),0)),"n","y")</f>
        <v>n</v>
      </c>
      <c r="Q2" s="795"/>
      <c r="R2" s="784" t="str">
        <f>G2&amp;"("&amp;L2&amp;")"</f>
        <v>()</v>
      </c>
      <c r="S2" s="1444"/>
      <c r="T2" s="1444"/>
      <c r="U2" s="704"/>
      <c r="V2" s="1444"/>
      <c r="W2" s="1444"/>
      <c r="X2" s="1444"/>
      <c r="Y2" s="706"/>
      <c r="Z2" s="706"/>
      <c r="AA2" s="703"/>
      <c r="AB2" s="703"/>
      <c r="AC2" s="703"/>
      <c r="AD2" s="703"/>
      <c r="AE2" s="703"/>
      <c r="AF2" s="703"/>
      <c r="AG2" s="703"/>
      <c r="AH2" s="703"/>
      <c r="AI2" s="703"/>
      <c r="AJ2" s="703"/>
      <c r="AK2" s="703"/>
      <c r="AL2" s="703"/>
      <c r="AM2" s="703"/>
      <c r="AN2" s="703"/>
      <c r="AO2" s="703"/>
      <c r="AP2" s="703"/>
      <c r="AQ2" s="703"/>
      <c r="AR2" s="703"/>
      <c r="AS2" s="703"/>
      <c r="AT2" s="703"/>
      <c r="AU2" s="703"/>
      <c r="AV2" s="703"/>
      <c r="AW2" s="703"/>
      <c r="AX2" s="703"/>
      <c r="AY2" s="703"/>
      <c r="AZ2" s="703"/>
      <c r="BA2" s="703"/>
      <c r="BB2" s="703"/>
      <c r="BC2" s="703"/>
      <c r="BD2" s="703"/>
      <c r="BE2" s="703"/>
      <c r="BF2" s="703"/>
      <c r="BG2" s="703"/>
      <c r="BH2" s="703"/>
      <c r="BI2" s="703"/>
      <c r="BJ2" s="703"/>
      <c r="BK2" s="703"/>
      <c r="BL2" s="703"/>
      <c r="BM2" s="703"/>
      <c r="BN2" s="703"/>
      <c r="BO2" s="703"/>
      <c r="BP2" s="703"/>
      <c r="BQ2" s="703"/>
      <c r="BR2" s="703"/>
      <c r="BS2" s="703"/>
      <c r="BT2" s="703"/>
      <c r="BU2" s="703"/>
      <c r="BV2" s="706"/>
      <c r="BW2" s="706"/>
      <c r="BX2" s="706"/>
      <c r="BY2" s="706"/>
      <c r="BZ2" s="706"/>
      <c r="CA2" s="706"/>
      <c r="CB2" s="706"/>
      <c r="CC2" s="706"/>
      <c r="CD2" s="706"/>
      <c r="CE2" s="706"/>
      <c r="IW2" s="707">
        <v>0</v>
      </c>
    </row>
    <row s="30621" customFormat="1" customHeight="1" ht="5.25" hidden="1">
      <c r="A3" s="780"/>
      <c r="D3" s="778"/>
      <c r="F3" s="531" t="s">
        <v>86</v>
      </c>
      <c r="G3" s="2019" t="s">
        <v>87</v>
      </c>
      <c r="H3" s="778"/>
      <c r="I3" s="778"/>
      <c r="J3" s="778"/>
      <c r="K3" s="778"/>
      <c r="L3" s="511" t="s">
        <v>88</v>
      </c>
      <c r="M3" s="531" t="s">
        <v>86</v>
      </c>
      <c r="N3" s="531"/>
      <c r="O3" s="531"/>
      <c r="P3" s="531"/>
      <c r="Q3" s="532"/>
      <c r="R3" s="531"/>
      <c r="S3" s="531"/>
      <c r="T3" s="531"/>
      <c r="U3" s="531"/>
      <c r="V3" s="531"/>
      <c r="W3" s="511"/>
      <c r="X3" s="511"/>
      <c r="Y3" s="511"/>
      <c r="Z3" s="511"/>
      <c r="AA3" s="511"/>
      <c r="AB3" s="511"/>
      <c r="AC3" s="511"/>
      <c r="AD3" s="511"/>
      <c r="AE3" s="511"/>
      <c r="AF3" s="511"/>
      <c r="AG3" s="511"/>
      <c r="AH3" s="511"/>
      <c r="AI3" s="511"/>
      <c r="AJ3" s="511"/>
      <c r="AK3" s="511"/>
      <c r="AL3" s="511"/>
      <c r="AM3" s="511"/>
      <c r="AN3" s="511"/>
      <c r="AO3" s="511"/>
      <c r="AP3" s="511"/>
      <c r="AQ3" s="511"/>
      <c r="AR3" s="511"/>
      <c r="AS3" s="511"/>
      <c r="AT3" s="511"/>
      <c r="AU3" s="511"/>
      <c r="AV3" s="511"/>
      <c r="AW3" s="511"/>
      <c r="AX3" s="511"/>
      <c r="AY3" s="511"/>
      <c r="AZ3" s="511"/>
      <c r="BA3" s="511"/>
      <c r="BB3" s="511"/>
      <c r="BC3" s="511"/>
      <c r="BD3" s="511"/>
      <c r="BE3" s="511"/>
      <c r="BF3" s="511"/>
      <c r="BG3" s="511"/>
      <c r="BH3" s="511"/>
      <c r="BI3" s="511"/>
      <c r="BJ3" s="511"/>
      <c r="BK3" s="511"/>
      <c r="BL3" s="511"/>
      <c r="BM3" s="511"/>
      <c r="BN3" s="511"/>
      <c r="BO3" s="511"/>
      <c r="BP3" s="511"/>
      <c r="BQ3" s="511"/>
      <c r="BR3" s="511"/>
      <c r="BS3" s="511"/>
      <c r="BT3" s="511"/>
      <c r="BU3" s="511"/>
      <c r="BV3" s="511"/>
      <c r="BW3" s="511"/>
      <c r="BX3" s="511"/>
      <c r="BY3" s="511"/>
      <c r="BZ3" s="511"/>
      <c r="CA3" s="511"/>
      <c r="CB3" s="511"/>
      <c r="CC3" s="511"/>
      <c r="CD3" s="511"/>
      <c r="CE3" s="511"/>
      <c r="CF3" s="511"/>
      <c r="CG3" s="511"/>
      <c r="CH3" s="511"/>
      <c r="CI3" s="511"/>
      <c r="CJ3" s="511"/>
      <c r="CK3" s="511"/>
      <c r="CL3" s="511"/>
      <c r="CM3" s="511"/>
      <c r="CN3" s="511"/>
      <c r="CO3" s="511"/>
      <c r="CP3" s="511"/>
      <c r="CQ3" s="511"/>
      <c r="CR3" s="511"/>
      <c r="CS3" s="511"/>
      <c r="CT3" s="511"/>
      <c r="CU3" s="511"/>
      <c r="CV3" s="511"/>
      <c r="CW3" s="511"/>
      <c r="CX3" s="511"/>
      <c r="CY3" s="511"/>
      <c r="CZ3" s="511"/>
      <c r="DA3" s="511"/>
      <c r="DB3" s="511"/>
      <c r="DC3" s="511"/>
      <c r="DD3" s="511"/>
      <c r="DE3" s="511"/>
      <c r="DF3" s="511"/>
      <c r="DG3" s="511"/>
      <c r="DH3" s="511"/>
      <c r="DI3" s="511"/>
      <c r="DJ3" s="511"/>
      <c r="DK3" s="511"/>
      <c r="DL3" s="511"/>
      <c r="DM3" s="511"/>
      <c r="DN3" s="511"/>
      <c r="DO3" s="511"/>
      <c r="DP3" s="511"/>
      <c r="DQ3" s="511"/>
      <c r="DR3" s="511"/>
      <c r="DS3" s="511"/>
      <c r="DT3" s="511"/>
      <c r="DU3" s="511"/>
      <c r="DV3" s="511"/>
      <c r="DW3" s="511"/>
      <c r="DX3" s="511"/>
      <c r="DY3" s="511"/>
      <c r="DZ3" s="511"/>
      <c r="EA3" s="511"/>
      <c r="EB3" s="511"/>
      <c r="EC3" s="511"/>
      <c r="ED3" s="511"/>
      <c r="EE3" s="511"/>
      <c r="EF3" s="511"/>
      <c r="EG3" s="511"/>
      <c r="EH3" s="511"/>
      <c r="EI3" s="511"/>
      <c r="EJ3" s="511"/>
      <c r="EK3" s="511"/>
      <c r="EL3" s="511"/>
      <c r="EM3" s="511"/>
      <c r="EN3" s="511"/>
      <c r="EO3" s="511"/>
      <c r="EP3" s="511"/>
      <c r="EQ3" s="511"/>
      <c r="ER3" s="511"/>
      <c r="ES3" s="511"/>
      <c r="ET3" s="511"/>
      <c r="EU3" s="511"/>
      <c r="EV3" s="511"/>
      <c r="EW3" s="511"/>
      <c r="EX3" s="511"/>
      <c r="EY3" s="511"/>
      <c r="EZ3" s="511"/>
      <c r="FA3" s="511"/>
      <c r="FB3" s="511"/>
      <c r="FC3" s="511"/>
      <c r="FD3" s="511"/>
      <c r="FE3" s="511"/>
      <c r="FF3" s="511"/>
      <c r="FG3" s="511"/>
      <c r="FH3" s="511"/>
      <c r="FI3" s="511"/>
      <c r="FJ3" s="511"/>
      <c r="FK3" s="511"/>
      <c r="FL3" s="511"/>
      <c r="FM3" s="511"/>
      <c r="FN3" s="511"/>
      <c r="FO3" s="511"/>
      <c r="FP3" s="511"/>
      <c r="FQ3" s="511"/>
      <c r="FR3" s="511"/>
      <c r="FS3" s="511"/>
      <c r="FT3" s="511"/>
      <c r="FU3" s="511"/>
      <c r="FV3" s="511"/>
      <c r="FW3" s="511"/>
      <c r="FX3" s="511"/>
      <c r="FY3" s="511"/>
      <c r="FZ3" s="511"/>
      <c r="GA3" s="511"/>
      <c r="GB3" s="511"/>
      <c r="GC3" s="511"/>
      <c r="GD3" s="511"/>
      <c r="GE3" s="511"/>
      <c r="GF3" s="511"/>
      <c r="GG3" s="511"/>
      <c r="GH3" s="511"/>
      <c r="GI3" s="511"/>
      <c r="GJ3" s="511"/>
      <c r="GK3" s="511"/>
      <c r="GL3" s="511"/>
      <c r="GM3" s="511"/>
      <c r="GN3" s="511"/>
      <c r="GO3" s="511"/>
      <c r="GP3" s="511"/>
      <c r="GQ3" s="511"/>
      <c r="GR3" s="511"/>
      <c r="GS3" s="511"/>
      <c r="GT3" s="511"/>
      <c r="GU3" s="511"/>
      <c r="GV3" s="511"/>
      <c r="GW3" s="511"/>
      <c r="GX3" s="511"/>
      <c r="GY3" s="511"/>
      <c r="GZ3" s="511"/>
      <c r="HA3" s="511"/>
      <c r="HB3" s="511"/>
      <c r="HC3" s="511"/>
      <c r="HD3" s="511"/>
      <c r="HE3" s="511"/>
      <c r="HF3" s="511"/>
      <c r="HG3" s="511"/>
      <c r="HH3" s="511"/>
      <c r="HI3" s="511"/>
      <c r="HJ3" s="511"/>
      <c r="HK3" s="511"/>
      <c r="HL3" s="511"/>
      <c r="HM3" s="511"/>
      <c r="HN3" s="511"/>
      <c r="HO3" s="511"/>
      <c r="HP3" s="511"/>
      <c r="HQ3" s="511"/>
      <c r="HR3" s="511"/>
      <c r="HS3" s="511"/>
      <c r="HT3" s="511"/>
      <c r="HU3" s="511"/>
      <c r="HV3" s="511"/>
      <c r="HW3" s="511"/>
      <c r="HX3" s="511"/>
      <c r="HY3" s="511"/>
      <c r="HZ3" s="511"/>
      <c r="IA3" s="511"/>
      <c r="IB3" s="511"/>
      <c r="IC3" s="511"/>
      <c r="ID3" s="511"/>
      <c r="IE3" s="511"/>
      <c r="IF3" s="511"/>
      <c r="IG3" s="511"/>
      <c r="IH3" s="511"/>
      <c r="II3" s="511"/>
      <c r="IJ3" s="511"/>
      <c r="IK3" s="511"/>
      <c r="IL3" s="511"/>
      <c r="IM3" s="511"/>
      <c r="IN3" s="511"/>
      <c r="IO3" s="511"/>
      <c r="IP3" s="511"/>
      <c r="IQ3" s="511"/>
      <c r="IR3" s="511"/>
      <c r="IS3" s="511"/>
      <c r="IT3" s="511"/>
      <c r="IU3" s="511"/>
      <c r="IV3" s="511"/>
      <c r="IW3" s="795">
        <v>0</v>
      </c>
    </row>
    <row s="30636" customFormat="1" customHeight="1" ht="14.699999999999998">
      <c r="A4" s="1439"/>
      <c r="B4" s="1444"/>
      <c r="C4" s="1439"/>
      <c r="D4" s="1779"/>
      <c r="E4" s="793"/>
      <c r="F4" s="793"/>
      <c r="G4" s="793"/>
      <c r="H4" s="793"/>
      <c r="I4" s="793"/>
      <c r="J4" s="793"/>
      <c r="K4" s="793"/>
      <c r="L4" s="450"/>
      <c r="M4" s="531"/>
      <c r="N4" s="784"/>
      <c r="O4" s="784"/>
      <c r="P4" s="784"/>
      <c r="Q4" s="510"/>
      <c r="R4" s="784"/>
      <c r="S4" s="509"/>
      <c r="T4" s="509"/>
      <c r="U4" s="509"/>
      <c r="V4" s="509"/>
      <c r="IW4" s="791">
        <v>14</v>
      </c>
    </row>
    <row s="30636" customFormat="1" customHeight="1" ht="27.299999999999997">
      <c r="A5" s="1439"/>
      <c r="B5" s="1444"/>
      <c r="C5" s="1439"/>
      <c r="D5" s="1779"/>
      <c r="E5" s="238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84"/>
      <c r="G5" s="2384"/>
      <c r="H5" s="2384"/>
      <c r="I5" s="2384"/>
      <c r="J5" s="2384"/>
      <c r="K5" s="2384"/>
      <c r="L5" s="872"/>
      <c r="M5" s="531"/>
      <c r="N5" s="784"/>
      <c r="O5" s="784"/>
      <c r="P5" s="784"/>
      <c r="Q5" s="510"/>
      <c r="R5" s="784"/>
      <c r="S5" s="509"/>
      <c r="T5" s="509"/>
      <c r="U5" s="509"/>
      <c r="V5" s="509"/>
      <c r="IW5" s="791">
        <v>26</v>
      </c>
    </row>
    <row s="30636" customFormat="1" customHeight="1" ht="14.699999999999998">
      <c r="A6" s="1439"/>
      <c r="B6" s="1444"/>
      <c r="C6" s="1439"/>
      <c r="D6" s="1779"/>
      <c r="E6" s="793"/>
      <c r="F6" s="451"/>
      <c r="G6" s="451"/>
      <c r="H6" s="451"/>
      <c r="I6" s="451"/>
      <c r="J6" s="451"/>
      <c r="K6" s="451"/>
      <c r="L6" s="452"/>
      <c r="M6" s="784"/>
      <c r="N6" s="784"/>
      <c r="O6" s="784"/>
      <c r="P6" s="784"/>
      <c r="Q6" s="510"/>
      <c r="R6" s="784"/>
      <c r="S6" s="509"/>
      <c r="T6" s="509"/>
      <c r="U6" s="509"/>
      <c r="V6" s="509"/>
      <c r="IW6" s="791">
        <v>14</v>
      </c>
    </row>
    <row s="30636" customFormat="1" customHeight="1" ht="14.699999999999998">
      <c r="A7" s="1439"/>
      <c r="B7" s="1444"/>
      <c r="C7" s="1439"/>
      <c r="D7" s="1779"/>
      <c r="E7" s="2385" t="s">
        <v>360</v>
      </c>
      <c r="F7" s="2386"/>
      <c r="G7" s="2386"/>
      <c r="H7" s="2386"/>
      <c r="I7" s="2386"/>
      <c r="J7" s="2386"/>
      <c r="K7" s="2386"/>
      <c r="L7" s="2758" t="s">
        <v>361</v>
      </c>
      <c r="M7" s="784"/>
      <c r="N7" s="784"/>
      <c r="O7" s="784"/>
      <c r="P7" s="784"/>
      <c r="Q7" s="510"/>
      <c r="R7" s="784"/>
      <c r="S7" s="509"/>
      <c r="T7" s="509"/>
      <c r="U7" s="509"/>
      <c r="V7" s="509"/>
      <c r="IW7" s="791">
        <v>14</v>
      </c>
    </row>
    <row s="30636" customFormat="1" customHeight="1" ht="67.2">
      <c r="A8" s="1439"/>
      <c r="B8" s="1444"/>
      <c r="C8" s="1439"/>
      <c r="D8" s="1779"/>
      <c r="E8" s="2762" t="s">
        <v>91</v>
      </c>
      <c r="F8" s="276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76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765"/>
      <c r="I8" s="2766"/>
      <c r="J8" s="276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7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60"/>
      <c r="M8" s="784"/>
      <c r="N8" s="784"/>
      <c r="O8" s="784"/>
      <c r="P8" s="784"/>
      <c r="Q8" s="510"/>
      <c r="R8" s="784"/>
      <c r="S8" s="509"/>
      <c r="T8" s="509"/>
      <c r="U8" s="509"/>
      <c r="V8" s="509"/>
      <c r="IW8" s="791">
        <v>64</v>
      </c>
    </row>
    <row s="30636" customFormat="1" customHeight="1" ht="29.25">
      <c r="A9" s="1439"/>
      <c r="B9" s="1444"/>
      <c r="C9" s="1439"/>
      <c r="D9" s="1779"/>
      <c r="E9" s="2763"/>
      <c r="F9" s="2763"/>
      <c r="G9" s="1821" t="s">
        <v>1955</v>
      </c>
      <c r="H9" s="1821" t="s">
        <v>1956</v>
      </c>
      <c r="I9" s="1821" t="s">
        <v>1957</v>
      </c>
      <c r="J9" s="2763"/>
      <c r="K9" s="2763"/>
      <c r="L9" s="2759"/>
      <c r="M9" s="784"/>
      <c r="N9" s="784"/>
      <c r="O9" s="784"/>
      <c r="P9" s="784"/>
      <c r="Q9" s="510"/>
      <c r="R9" s="784"/>
      <c r="S9" s="509"/>
      <c r="T9" s="509"/>
      <c r="U9" s="509"/>
      <c r="V9" s="509"/>
      <c r="IW9" s="791">
        <v>28</v>
      </c>
    </row>
    <row s="30681" customFormat="1" customHeight="1" ht="23.25">
      <c r="A10" s="2383"/>
      <c r="B10" s="1444">
        <v>1</v>
      </c>
      <c r="C10" s="1444"/>
      <c r="D10" s="1084"/>
      <c r="E10" s="1082">
        <v>1</v>
      </c>
      <c r="F10" s="1823" t="str">
        <f>IF(ROIV_INFO_NAME="","",ROIV_INFO_NAME)</f>
        <v>АО "ДГК"</v>
      </c>
      <c r="G10" s="2016" t="s">
        <v>28</v>
      </c>
      <c r="H10" s="2200"/>
      <c r="I10" s="1818"/>
      <c r="J10" s="1102"/>
      <c r="K10" s="1102"/>
      <c r="L10" s="271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819">
        <f>MERGEVALUE(F10)</f>
      </c>
      <c r="N10" s="795"/>
      <c r="O10" s="795"/>
      <c r="P10" s="784" t="str">
        <f t="array" ref="P10:P10">IF(ISERROR(MATCH(MID(Q10,1,250),MID(note_ter,1,250),0)),"n","y")</f>
        <v>n</v>
      </c>
      <c r="Q10" s="795"/>
      <c r="R10" s="78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444"/>
      <c r="T10" s="1444"/>
      <c r="U10" s="704"/>
      <c r="V10" s="1444"/>
      <c r="W10" s="1444"/>
      <c r="X10" s="1444"/>
      <c r="Y10" s="706"/>
      <c r="Z10" s="706"/>
      <c r="AA10" s="703"/>
      <c r="AB10" s="703"/>
      <c r="AC10" s="703"/>
      <c r="AD10" s="703"/>
      <c r="AE10" s="703"/>
      <c r="AF10" s="703"/>
      <c r="AG10" s="703"/>
      <c r="AH10" s="703"/>
      <c r="AI10" s="703"/>
      <c r="AJ10" s="703"/>
      <c r="AK10" s="703"/>
      <c r="AL10" s="703"/>
      <c r="AM10" s="703"/>
      <c r="AN10" s="703"/>
      <c r="AO10" s="703"/>
      <c r="AP10" s="703"/>
      <c r="AQ10" s="703"/>
      <c r="AR10" s="703"/>
      <c r="AS10" s="703"/>
      <c r="AT10" s="703"/>
      <c r="AU10" s="703"/>
      <c r="AV10" s="703"/>
      <c r="AW10" s="703"/>
      <c r="AX10" s="703"/>
      <c r="AY10" s="703"/>
      <c r="AZ10" s="703"/>
      <c r="BA10" s="703"/>
      <c r="BB10" s="703"/>
      <c r="BC10" s="703"/>
      <c r="BD10" s="703"/>
      <c r="BE10" s="703"/>
      <c r="BF10" s="703"/>
      <c r="BG10" s="703"/>
      <c r="BH10" s="703"/>
      <c r="BI10" s="703"/>
      <c r="BJ10" s="703"/>
      <c r="BK10" s="703"/>
      <c r="BL10" s="703"/>
      <c r="BM10" s="703"/>
      <c r="BN10" s="703"/>
      <c r="BO10" s="703"/>
      <c r="BP10" s="703"/>
      <c r="BQ10" s="703"/>
      <c r="BR10" s="703"/>
      <c r="BS10" s="703"/>
      <c r="BT10" s="703"/>
      <c r="BU10" s="703"/>
      <c r="BV10" s="706"/>
      <c r="BW10" s="706"/>
      <c r="BX10" s="706"/>
      <c r="BY10" s="706"/>
      <c r="BZ10" s="706"/>
      <c r="CA10" s="706"/>
      <c r="CB10" s="706"/>
      <c r="CC10" s="706"/>
      <c r="CD10" s="706"/>
      <c r="CE10" s="706"/>
      <c r="IW10" s="707">
        <v>22</v>
      </c>
    </row>
    <row s="30681" customFormat="1" customHeight="1" ht="15.75">
      <c r="A11" s="2383"/>
      <c r="B11" s="1444"/>
      <c r="C11" s="696"/>
      <c r="D11" s="1085"/>
      <c r="E11" s="705"/>
      <c r="F11" s="700" t="s">
        <v>1958</v>
      </c>
      <c r="G11" s="471"/>
      <c r="H11" s="471"/>
      <c r="I11" s="471"/>
      <c r="J11" s="471"/>
      <c r="K11" s="708"/>
      <c r="L11" s="2761"/>
      <c r="M11" s="1820"/>
      <c r="N11" s="795"/>
      <c r="O11" s="795"/>
      <c r="P11" s="795"/>
      <c r="Q11" s="784"/>
      <c r="R11" s="795"/>
      <c r="S11" s="1444"/>
      <c r="T11" s="1444"/>
      <c r="U11" s="704"/>
      <c r="V11" s="1444"/>
      <c r="W11" s="1444"/>
      <c r="X11" s="1444"/>
      <c r="Y11" s="706"/>
      <c r="Z11" s="706"/>
      <c r="AA11" s="703"/>
      <c r="AB11" s="703"/>
      <c r="AC11" s="703"/>
      <c r="AD11" s="703"/>
      <c r="AE11" s="703"/>
      <c r="AF11" s="703"/>
      <c r="AG11" s="703"/>
      <c r="AH11" s="703"/>
      <c r="AI11" s="703"/>
      <c r="AJ11" s="703"/>
      <c r="AK11" s="703"/>
      <c r="AL11" s="703"/>
      <c r="AM11" s="703"/>
      <c r="AN11" s="703"/>
      <c r="AO11" s="703"/>
      <c r="AP11" s="703"/>
      <c r="AQ11" s="703"/>
      <c r="AR11" s="703"/>
      <c r="AS11" s="703"/>
      <c r="AT11" s="703"/>
      <c r="AU11" s="703"/>
      <c r="AV11" s="703"/>
      <c r="AW11" s="703"/>
      <c r="AX11" s="703"/>
      <c r="AY11" s="703"/>
      <c r="AZ11" s="703"/>
      <c r="BA11" s="703"/>
      <c r="BB11" s="703"/>
      <c r="BC11" s="703"/>
      <c r="BD11" s="703"/>
      <c r="BE11" s="703"/>
      <c r="BF11" s="703"/>
      <c r="BG11" s="703"/>
      <c r="BH11" s="703"/>
      <c r="BI11" s="703"/>
      <c r="BJ11" s="703"/>
      <c r="BK11" s="703"/>
      <c r="BL11" s="703"/>
      <c r="BM11" s="703"/>
      <c r="BN11" s="703"/>
      <c r="BO11" s="703"/>
      <c r="BP11" s="703"/>
      <c r="BQ11" s="703"/>
      <c r="BR11" s="703"/>
      <c r="BS11" s="703"/>
      <c r="BT11" s="703"/>
      <c r="BU11" s="703"/>
      <c r="BV11" s="706"/>
      <c r="BW11" s="706"/>
      <c r="BX11" s="706"/>
      <c r="BY11" s="706"/>
      <c r="BZ11" s="706"/>
      <c r="CA11" s="706"/>
      <c r="CB11" s="706"/>
      <c r="CC11" s="706"/>
      <c r="CD11" s="706"/>
      <c r="CE11" s="706"/>
      <c r="IW11" s="707">
        <v>15</v>
      </c>
    </row>
    <row s="30636" customFormat="1" customHeight="1" ht="22.049999999999997">
      <c r="A12" s="1439"/>
      <c r="B12" s="1444"/>
      <c r="C12" s="1439"/>
      <c r="D12" s="735"/>
      <c r="E12" s="464"/>
      <c r="F12" s="464"/>
      <c r="G12" s="464"/>
      <c r="H12" s="464"/>
      <c r="I12" s="464"/>
      <c r="J12" s="464"/>
      <c r="K12" s="464"/>
      <c r="L12" s="464"/>
      <c r="M12" s="784"/>
      <c r="N12" s="784"/>
      <c r="O12" s="784"/>
      <c r="P12" s="784"/>
      <c r="Q12" s="510"/>
      <c r="R12" s="784"/>
      <c r="S12" s="509"/>
      <c r="T12" s="509"/>
      <c r="U12" s="509"/>
      <c r="V12" s="509"/>
      <c r="IW12" s="791">
        <v>21</v>
      </c>
    </row>
    <row s="30636" customFormat="1" customHeight="1" ht="14.699999999999998">
      <c r="A13" s="1439"/>
      <c r="B13" s="1444"/>
      <c r="C13" s="1439"/>
      <c r="D13" s="735"/>
      <c r="E13" s="1439"/>
      <c r="F13" s="1439"/>
      <c r="G13" s="1439"/>
      <c r="H13" s="1439"/>
      <c r="I13" s="1439"/>
      <c r="J13" s="1439"/>
      <c r="K13" s="1439"/>
      <c r="L13" s="1439"/>
      <c r="M13" s="784"/>
      <c r="N13" s="784"/>
      <c r="O13" s="784"/>
      <c r="P13" s="784"/>
      <c r="Q13" s="510"/>
      <c r="R13" s="784"/>
      <c r="S13" s="509"/>
      <c r="T13" s="509"/>
      <c r="U13" s="509"/>
      <c r="V13" s="509"/>
      <c r="IW13" s="791">
        <v>14</v>
      </c>
    </row>
    <row s="30636" customFormat="1" customHeight="1" ht="1.05">
      <c r="A14" s="1439"/>
      <c r="B14" s="1444"/>
      <c r="C14" s="1439"/>
      <c r="D14" s="735"/>
      <c r="E14" s="1439"/>
      <c r="F14" s="1439"/>
      <c r="G14" s="1439"/>
      <c r="H14" s="1439"/>
      <c r="I14" s="1439"/>
      <c r="J14" s="1439"/>
      <c r="K14" s="1439"/>
      <c r="L14" s="1439"/>
      <c r="M14" s="784"/>
      <c r="N14" s="784"/>
      <c r="O14" s="784"/>
      <c r="P14" s="784"/>
      <c r="Q14" s="510"/>
      <c r="R14" s="784"/>
      <c r="S14" s="509"/>
      <c r="T14" s="509"/>
      <c r="U14" s="509"/>
      <c r="V14" s="509"/>
      <c r="IW14" s="791">
        <v>1</v>
      </c>
    </row>
    <row customHeight="1" ht="22.5" hidden="1">
      <c r="A15" s="1439" t="s">
        <v>85</v>
      </c>
      <c r="B15" s="1444">
        <v>0</v>
      </c>
      <c r="C15" s="1439">
        <v>0</v>
      </c>
      <c r="D15" s="735">
        <v>3</v>
      </c>
      <c r="E15" s="1439">
        <v>6</v>
      </c>
      <c r="F15" s="1439">
        <v>27</v>
      </c>
      <c r="G15" s="1439">
        <v>16</v>
      </c>
      <c r="H15" s="1439">
        <v>12</v>
      </c>
      <c r="I15" s="1439">
        <v>32</v>
      </c>
      <c r="J15" s="1439">
        <v>41</v>
      </c>
      <c r="K15" s="1439">
        <v>41</v>
      </c>
      <c r="L15" s="1439">
        <v>89</v>
      </c>
      <c r="M15" s="784">
        <v>3</v>
      </c>
      <c r="N15" s="784">
        <v>8</v>
      </c>
      <c r="O15" s="784">
        <v>8</v>
      </c>
      <c r="P15" s="784">
        <v>8</v>
      </c>
      <c r="Q15" s="510">
        <v>25</v>
      </c>
      <c r="R15" s="784">
        <v>14</v>
      </c>
      <c r="S15" s="509">
        <v>8</v>
      </c>
      <c r="T15" s="509">
        <v>8</v>
      </c>
      <c r="U15" s="509">
        <v>8</v>
      </c>
      <c r="V15" s="509">
        <v>8</v>
      </c>
      <c r="W15" s="1439">
        <v>8</v>
      </c>
      <c r="X15" s="1439">
        <v>8</v>
      </c>
      <c r="Y15" s="1439">
        <v>8</v>
      </c>
      <c r="Z15" s="1439">
        <v>8</v>
      </c>
      <c r="AA15" s="1439">
        <v>8</v>
      </c>
      <c r="AB15" s="1439">
        <v>8</v>
      </c>
      <c r="AC15" s="1439">
        <v>8</v>
      </c>
      <c r="AD15" s="1439">
        <v>8</v>
      </c>
      <c r="AE15" s="1439">
        <v>8</v>
      </c>
      <c r="AF15" s="1439">
        <v>8</v>
      </c>
      <c r="AG15" s="1439">
        <v>8</v>
      </c>
      <c r="AH15" s="1439">
        <v>8</v>
      </c>
      <c r="AI15" s="1439">
        <v>8</v>
      </c>
      <c r="AJ15" s="1439">
        <v>8</v>
      </c>
      <c r="AK15" s="1439">
        <v>8</v>
      </c>
      <c r="AL15" s="1439">
        <v>8</v>
      </c>
      <c r="AM15" s="1439">
        <v>8</v>
      </c>
      <c r="AN15" s="1439">
        <v>8</v>
      </c>
      <c r="AO15" s="1439">
        <v>8</v>
      </c>
      <c r="AP15" s="1439">
        <v>8</v>
      </c>
      <c r="AQ15" s="1439">
        <v>8</v>
      </c>
      <c r="AR15" s="1439">
        <v>8</v>
      </c>
      <c r="AS15" s="1439">
        <v>8</v>
      </c>
      <c r="AT15" s="1439">
        <v>8</v>
      </c>
      <c r="AU15" s="1439">
        <v>8</v>
      </c>
      <c r="AV15" s="1439">
        <v>8</v>
      </c>
      <c r="AW15" s="1439">
        <v>8</v>
      </c>
      <c r="AX15" s="1439">
        <v>8</v>
      </c>
      <c r="AY15" s="1439">
        <v>8</v>
      </c>
      <c r="AZ15" s="1439">
        <v>8</v>
      </c>
      <c r="BA15" s="1439">
        <v>8</v>
      </c>
      <c r="BB15" s="1439">
        <v>8</v>
      </c>
      <c r="BC15" s="1439">
        <v>8</v>
      </c>
      <c r="BD15" s="1439">
        <v>8</v>
      </c>
      <c r="BE15" s="1439">
        <v>8</v>
      </c>
      <c r="BF15" s="1439">
        <v>8</v>
      </c>
      <c r="BG15" s="1439">
        <v>8</v>
      </c>
      <c r="BH15" s="1439">
        <v>8</v>
      </c>
      <c r="BI15" s="1439">
        <v>8</v>
      </c>
      <c r="BJ15" s="1439">
        <v>8</v>
      </c>
      <c r="BK15" s="1439">
        <v>8</v>
      </c>
      <c r="BL15" s="1439">
        <v>8</v>
      </c>
      <c r="BM15" s="1439">
        <v>8</v>
      </c>
      <c r="BN15" s="1439">
        <v>8</v>
      </c>
      <c r="BO15" s="1439">
        <v>8</v>
      </c>
      <c r="BP15" s="1439">
        <v>8</v>
      </c>
      <c r="BQ15" s="1439">
        <v>8</v>
      </c>
      <c r="BR15" s="1439">
        <v>8</v>
      </c>
      <c r="BS15" s="1439">
        <v>8</v>
      </c>
      <c r="BT15" s="1439">
        <v>8</v>
      </c>
      <c r="BU15" s="1439">
        <v>8</v>
      </c>
      <c r="BV15" s="1439">
        <v>8</v>
      </c>
      <c r="BW15" s="1439">
        <v>8</v>
      </c>
      <c r="BX15" s="1439">
        <v>8</v>
      </c>
      <c r="BY15" s="1439">
        <v>8</v>
      </c>
      <c r="BZ15" s="1439">
        <v>8</v>
      </c>
      <c r="CA15" s="1439">
        <v>8</v>
      </c>
      <c r="CB15" s="1439">
        <v>8</v>
      </c>
      <c r="CC15" s="1439">
        <v>8</v>
      </c>
      <c r="CD15" s="1439">
        <v>8</v>
      </c>
      <c r="CE15" s="1439">
        <v>8</v>
      </c>
      <c r="CF15" s="1439">
        <v>8</v>
      </c>
      <c r="CG15" s="1439">
        <v>8</v>
      </c>
      <c r="CH15" s="1439">
        <v>8</v>
      </c>
      <c r="CI15" s="1439">
        <v>8</v>
      </c>
      <c r="CJ15" s="1439">
        <v>8</v>
      </c>
      <c r="CK15" s="1439">
        <v>8</v>
      </c>
      <c r="CL15" s="1439">
        <v>8</v>
      </c>
      <c r="CM15" s="1439">
        <v>8</v>
      </c>
      <c r="CN15" s="1439">
        <v>8</v>
      </c>
      <c r="CO15" s="1439">
        <v>8</v>
      </c>
      <c r="CP15" s="1439">
        <v>8</v>
      </c>
      <c r="CQ15" s="1439">
        <v>8</v>
      </c>
      <c r="CR15" s="1439">
        <v>8</v>
      </c>
      <c r="CS15" s="1439">
        <v>8</v>
      </c>
      <c r="CT15" s="1439">
        <v>8</v>
      </c>
      <c r="CU15" s="1439">
        <v>8</v>
      </c>
      <c r="CV15" s="1439">
        <v>8</v>
      </c>
      <c r="CW15" s="1439">
        <v>8</v>
      </c>
      <c r="CX15" s="1439">
        <v>8</v>
      </c>
      <c r="CY15" s="1439">
        <v>8</v>
      </c>
      <c r="CZ15" s="1439">
        <v>8</v>
      </c>
      <c r="DA15" s="1439">
        <v>8</v>
      </c>
      <c r="DB15" s="1439">
        <v>8</v>
      </c>
      <c r="DC15" s="1439">
        <v>8</v>
      </c>
      <c r="DD15" s="1439">
        <v>8</v>
      </c>
      <c r="DE15" s="1439">
        <v>8</v>
      </c>
      <c r="DF15" s="1439">
        <v>8</v>
      </c>
      <c r="DG15" s="1439">
        <v>8</v>
      </c>
      <c r="DH15" s="1439">
        <v>8</v>
      </c>
      <c r="DI15" s="1439">
        <v>8</v>
      </c>
      <c r="DJ15" s="1439">
        <v>8</v>
      </c>
      <c r="DK15" s="1439">
        <v>8</v>
      </c>
      <c r="DL15" s="1439">
        <v>8</v>
      </c>
      <c r="DM15" s="1439">
        <v>8</v>
      </c>
      <c r="DN15" s="1439">
        <v>8</v>
      </c>
      <c r="DO15" s="1439">
        <v>8</v>
      </c>
      <c r="DP15" s="1439">
        <v>8</v>
      </c>
      <c r="DQ15" s="1439">
        <v>8</v>
      </c>
      <c r="DR15" s="1439">
        <v>8</v>
      </c>
      <c r="DS15" s="1439">
        <v>8</v>
      </c>
      <c r="DT15" s="1439">
        <v>8</v>
      </c>
      <c r="DU15" s="1439">
        <v>8</v>
      </c>
      <c r="DV15" s="1439">
        <v>8</v>
      </c>
      <c r="DW15" s="1439">
        <v>8</v>
      </c>
      <c r="DX15" s="1439">
        <v>8</v>
      </c>
      <c r="DY15" s="1439">
        <v>8</v>
      </c>
      <c r="DZ15" s="1439">
        <v>8</v>
      </c>
      <c r="EA15" s="1439">
        <v>8</v>
      </c>
      <c r="EB15" s="1439">
        <v>8</v>
      </c>
      <c r="EC15" s="1439">
        <v>8</v>
      </c>
      <c r="ED15" s="1439">
        <v>8</v>
      </c>
      <c r="EE15" s="1439">
        <v>8</v>
      </c>
      <c r="EF15" s="1439">
        <v>8</v>
      </c>
      <c r="EG15" s="1439">
        <v>8</v>
      </c>
      <c r="EH15" s="1439">
        <v>8</v>
      </c>
      <c r="EI15" s="1439">
        <v>8</v>
      </c>
      <c r="EJ15" s="1439">
        <v>8</v>
      </c>
      <c r="EK15" s="1439">
        <v>8</v>
      </c>
      <c r="EL15" s="1439">
        <v>8</v>
      </c>
      <c r="EM15" s="1439">
        <v>8</v>
      </c>
      <c r="EN15" s="1439">
        <v>8</v>
      </c>
      <c r="EO15" s="1439">
        <v>8</v>
      </c>
      <c r="EP15" s="1439">
        <v>8</v>
      </c>
      <c r="EQ15" s="1439">
        <v>8</v>
      </c>
      <c r="ER15" s="1439">
        <v>8</v>
      </c>
      <c r="ES15" s="1439">
        <v>8</v>
      </c>
      <c r="ET15" s="1439">
        <v>8</v>
      </c>
      <c r="EU15" s="1439">
        <v>8</v>
      </c>
      <c r="EV15" s="1439">
        <v>8</v>
      </c>
      <c r="EW15" s="1439">
        <v>8</v>
      </c>
      <c r="EX15" s="1439">
        <v>8</v>
      </c>
      <c r="EY15" s="1439">
        <v>8</v>
      </c>
      <c r="EZ15" s="1439">
        <v>8</v>
      </c>
      <c r="FA15" s="1439">
        <v>8</v>
      </c>
      <c r="FB15" s="1439">
        <v>8</v>
      </c>
      <c r="FC15" s="1439">
        <v>8</v>
      </c>
      <c r="FD15" s="1439">
        <v>8</v>
      </c>
      <c r="FE15" s="1439">
        <v>8</v>
      </c>
      <c r="FF15" s="1439">
        <v>8</v>
      </c>
      <c r="FG15" s="1439">
        <v>8</v>
      </c>
      <c r="FH15" s="1439">
        <v>8</v>
      </c>
      <c r="FI15" s="1439">
        <v>8</v>
      </c>
      <c r="FJ15" s="1439">
        <v>8</v>
      </c>
      <c r="FK15" s="1439">
        <v>8</v>
      </c>
      <c r="FL15" s="1439">
        <v>8</v>
      </c>
      <c r="FM15" s="1439">
        <v>8</v>
      </c>
      <c r="FN15" s="1439">
        <v>8</v>
      </c>
      <c r="FO15" s="1439">
        <v>8</v>
      </c>
      <c r="FP15" s="1439">
        <v>8</v>
      </c>
      <c r="FQ15" s="1439">
        <v>8</v>
      </c>
      <c r="FR15" s="1439">
        <v>8</v>
      </c>
      <c r="FS15" s="1439">
        <v>8</v>
      </c>
      <c r="FT15" s="1439">
        <v>8</v>
      </c>
      <c r="FU15" s="1439">
        <v>8</v>
      </c>
      <c r="FV15" s="1439">
        <v>8</v>
      </c>
      <c r="FW15" s="1439">
        <v>8</v>
      </c>
      <c r="FX15" s="1439">
        <v>8</v>
      </c>
      <c r="FY15" s="1439">
        <v>8</v>
      </c>
      <c r="FZ15" s="1439">
        <v>8</v>
      </c>
      <c r="GA15" s="1439">
        <v>8</v>
      </c>
      <c r="GB15" s="1439">
        <v>8</v>
      </c>
      <c r="GC15" s="1439">
        <v>8</v>
      </c>
      <c r="GD15" s="1439">
        <v>8</v>
      </c>
      <c r="GE15" s="1439">
        <v>8</v>
      </c>
      <c r="GF15" s="1439">
        <v>8</v>
      </c>
      <c r="GG15" s="1439">
        <v>8</v>
      </c>
      <c r="GH15" s="1439">
        <v>8</v>
      </c>
      <c r="GI15" s="1439">
        <v>8</v>
      </c>
      <c r="GJ15" s="1439">
        <v>8</v>
      </c>
      <c r="GK15" s="1439">
        <v>8</v>
      </c>
      <c r="GL15" s="1439">
        <v>8</v>
      </c>
      <c r="GM15" s="1439">
        <v>8</v>
      </c>
      <c r="GN15" s="1439">
        <v>8</v>
      </c>
      <c r="GO15" s="1439">
        <v>8</v>
      </c>
      <c r="GP15" s="1439">
        <v>8</v>
      </c>
      <c r="GQ15" s="1439">
        <v>8</v>
      </c>
      <c r="GR15" s="1439">
        <v>8</v>
      </c>
      <c r="GS15" s="1439">
        <v>8</v>
      </c>
      <c r="GT15" s="1439">
        <v>8</v>
      </c>
      <c r="GU15" s="1439">
        <v>8</v>
      </c>
      <c r="GV15" s="1439">
        <v>8</v>
      </c>
      <c r="GW15" s="1439">
        <v>8</v>
      </c>
      <c r="GX15" s="1439">
        <v>8</v>
      </c>
      <c r="GY15" s="1439">
        <v>8</v>
      </c>
      <c r="GZ15" s="1439">
        <v>8</v>
      </c>
      <c r="HA15" s="1439">
        <v>8</v>
      </c>
      <c r="HB15" s="1439">
        <v>8</v>
      </c>
      <c r="HC15" s="1439">
        <v>8</v>
      </c>
      <c r="HD15" s="1439">
        <v>8</v>
      </c>
      <c r="HE15" s="1439">
        <v>8</v>
      </c>
      <c r="HF15" s="1439">
        <v>8</v>
      </c>
      <c r="HG15" s="1439">
        <v>8</v>
      </c>
      <c r="HH15" s="1439">
        <v>8</v>
      </c>
      <c r="HI15" s="1439">
        <v>8</v>
      </c>
      <c r="HJ15" s="1439">
        <v>8</v>
      </c>
      <c r="HK15" s="1439">
        <v>8</v>
      </c>
      <c r="HL15" s="1439">
        <v>8</v>
      </c>
      <c r="HM15" s="1439">
        <v>8</v>
      </c>
      <c r="HN15" s="1439">
        <v>8</v>
      </c>
      <c r="HO15" s="1439">
        <v>8</v>
      </c>
      <c r="HP15" s="1439">
        <v>8</v>
      </c>
      <c r="HQ15" s="1439">
        <v>8</v>
      </c>
      <c r="HR15" s="1439">
        <v>8</v>
      </c>
      <c r="HS15" s="1439">
        <v>8</v>
      </c>
      <c r="HT15" s="1439">
        <v>8</v>
      </c>
      <c r="HU15" s="1439">
        <v>8</v>
      </c>
      <c r="HV15" s="1439">
        <v>8</v>
      </c>
      <c r="HW15" s="1439">
        <v>8</v>
      </c>
      <c r="HX15" s="1439">
        <v>8</v>
      </c>
      <c r="HY15" s="1439">
        <v>8</v>
      </c>
      <c r="HZ15" s="1439">
        <v>8</v>
      </c>
      <c r="IA15" s="1439">
        <v>8</v>
      </c>
      <c r="IB15" s="1439">
        <v>8</v>
      </c>
      <c r="IC15" s="1439">
        <v>8</v>
      </c>
      <c r="ID15" s="1439">
        <v>8</v>
      </c>
      <c r="IE15" s="1439">
        <v>8</v>
      </c>
      <c r="IF15" s="1439">
        <v>8</v>
      </c>
      <c r="IG15" s="1439">
        <v>8</v>
      </c>
      <c r="IH15" s="1439">
        <v>8</v>
      </c>
      <c r="II15" s="1439">
        <v>8</v>
      </c>
      <c r="IJ15" s="1439">
        <v>8</v>
      </c>
      <c r="IK15" s="1439">
        <v>8</v>
      </c>
      <c r="IL15" s="1439">
        <v>8</v>
      </c>
      <c r="IM15" s="1439">
        <v>8</v>
      </c>
      <c r="IN15" s="1439">
        <v>8</v>
      </c>
      <c r="IO15" s="1439">
        <v>8</v>
      </c>
      <c r="IP15" s="1439">
        <v>8</v>
      </c>
      <c r="IQ15" s="1439">
        <v>8</v>
      </c>
      <c r="IR15" s="1439">
        <v>8</v>
      </c>
      <c r="IS15" s="1439">
        <v>8</v>
      </c>
      <c r="IT15" s="1439">
        <v>8</v>
      </c>
      <c r="IU15" s="1439">
        <v>8</v>
      </c>
      <c r="IV15" s="1439">
        <v>8</v>
      </c>
      <c r="IW15" s="1439">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194853-1899-ACBC-95AA-E8F7EDB7376F}"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30541" width="9.140625" hidden="1"/>
    <col min="2" max="2" style="30620" width="9.140625" hidden="1"/>
    <col min="3" max="3" style="30541" width="3.7109375" hidden="1" customWidth="1"/>
    <col min="4" max="4" style="30726" width="3.00390625" customWidth="1"/>
    <col min="5" max="5" style="30541" width="6.00390625" customWidth="1"/>
    <col min="6" max="6" style="30541" width="27.00390625" customWidth="1"/>
    <col min="7" max="7" style="30541" width="16.00390625" customWidth="1"/>
    <col min="8" max="8" style="30541" width="12.00390625" customWidth="1"/>
    <col min="9" max="9" style="30541" width="32.00390625" customWidth="1"/>
    <col min="10" max="11" style="30541" width="41.00390625" customWidth="1"/>
    <col min="12" max="12" style="30541" width="89.00390625" customWidth="1"/>
    <col min="13" max="13" style="30727" width="3.00390625" customWidth="1"/>
    <col min="14" max="16" style="30727" width="8.00390625" customWidth="1"/>
    <col min="17" max="17" style="30727" width="25.00390625" customWidth="1"/>
    <col min="18" max="18" style="30727" width="14.00390625" customWidth="1"/>
    <col min="19" max="22" style="30728" width="8.00390625" customWidth="1"/>
    <col min="23" max="256" style="30541" width="8.00390625" customWidth="1"/>
    <col min="257" max="257" style="30541" width="9.140625" hidden="1"/>
  </cols>
  <sheetData>
    <row customHeight="1" ht="22.5" hidden="1">
      <c r="IW1" s="1915" t="s">
        <v>14</v>
      </c>
    </row>
    <row s="30681" customFormat="1" customHeight="1" ht="22.5" hidden="1">
      <c r="A2" s="1115"/>
      <c r="B2" s="1650">
        <v>1</v>
      </c>
      <c r="C2" s="1650"/>
      <c r="D2" s="2212" t="s">
        <v>106</v>
      </c>
      <c r="E2" s="2188"/>
      <c r="F2" s="2190" t="str">
        <f>IF(ROIV_INFO_NAME="","",ROIV_INFO_NAME)</f>
        <v>АО "ДГК"</v>
      </c>
      <c r="G2" s="2016" t="s">
        <v>28</v>
      </c>
      <c r="H2" s="2200"/>
      <c r="I2" s="1822"/>
      <c r="J2" s="1102"/>
      <c r="K2" s="1102"/>
      <c r="L2" s="512"/>
      <c r="M2" s="1819">
        <f>MERGEVALUE(F2)</f>
      </c>
      <c r="N2" s="1920"/>
      <c r="O2" s="1920"/>
      <c r="P2" s="1908" t="str">
        <f t="array" ref="P2:P2">IF(ISERROR(MATCH(MID(Q2,1,250),MID(note_ter,1,250),0)),"n","y")</f>
        <v>n</v>
      </c>
      <c r="Q2" s="1920"/>
      <c r="R2" s="1908" t="str">
        <f>G2&amp;"("&amp;L2&amp;")"</f>
        <v>()</v>
      </c>
      <c r="S2" s="1650"/>
      <c r="T2" s="1650"/>
      <c r="U2" s="704"/>
      <c r="V2" s="1650"/>
      <c r="W2" s="1650"/>
      <c r="X2" s="1650"/>
      <c r="Y2" s="1117"/>
      <c r="Z2" s="1117"/>
      <c r="AA2" s="911"/>
      <c r="AB2" s="911"/>
      <c r="AC2" s="911"/>
      <c r="AD2" s="911"/>
      <c r="AE2" s="911"/>
      <c r="AF2" s="911"/>
      <c r="AG2" s="911"/>
      <c r="AH2" s="911"/>
      <c r="AI2" s="911"/>
      <c r="AJ2" s="911"/>
      <c r="AK2" s="911"/>
      <c r="AL2" s="911"/>
      <c r="AM2" s="911"/>
      <c r="AN2" s="911"/>
      <c r="AO2" s="911"/>
      <c r="AP2" s="911"/>
      <c r="AQ2" s="911"/>
      <c r="AR2" s="911"/>
      <c r="AS2" s="911"/>
      <c r="AT2" s="911"/>
      <c r="AU2" s="911"/>
      <c r="AV2" s="911"/>
      <c r="AW2" s="911"/>
      <c r="AX2" s="911"/>
      <c r="AY2" s="911"/>
      <c r="AZ2" s="911"/>
      <c r="BA2" s="911"/>
      <c r="BB2" s="911"/>
      <c r="BC2" s="911"/>
      <c r="BD2" s="911"/>
      <c r="BE2" s="911"/>
      <c r="BF2" s="911"/>
      <c r="BG2" s="911"/>
      <c r="BH2" s="911"/>
      <c r="BI2" s="911"/>
      <c r="BJ2" s="911"/>
      <c r="BK2" s="911"/>
      <c r="BL2" s="911"/>
      <c r="BM2" s="911"/>
      <c r="BN2" s="911"/>
      <c r="BO2" s="911"/>
      <c r="BP2" s="911"/>
      <c r="BQ2" s="911"/>
      <c r="BR2" s="911"/>
      <c r="BS2" s="911"/>
      <c r="BT2" s="911"/>
      <c r="BU2" s="911"/>
      <c r="BV2" s="1117"/>
      <c r="BW2" s="1117"/>
      <c r="BX2" s="1117"/>
      <c r="BY2" s="1117"/>
      <c r="BZ2" s="1117"/>
      <c r="CA2" s="1117"/>
      <c r="CB2" s="1117"/>
      <c r="CC2" s="1117"/>
      <c r="CD2" s="1117"/>
      <c r="CE2" s="1117"/>
      <c r="IW2" s="908">
        <v>0</v>
      </c>
    </row>
    <row s="30621" customFormat="1" customHeight="1" ht="5.25" hidden="1">
      <c r="A3" s="1925"/>
      <c r="D3" s="2177"/>
      <c r="F3" s="532" t="s">
        <v>86</v>
      </c>
      <c r="G3" s="2019" t="s">
        <v>87</v>
      </c>
      <c r="H3" s="2177"/>
      <c r="I3" s="2177"/>
      <c r="J3" s="2177"/>
      <c r="K3" s="2177"/>
      <c r="L3" s="511" t="s">
        <v>88</v>
      </c>
      <c r="M3" s="532" t="s">
        <v>86</v>
      </c>
      <c r="N3" s="532"/>
      <c r="O3" s="532"/>
      <c r="P3" s="532"/>
      <c r="Q3" s="532"/>
      <c r="R3" s="532"/>
      <c r="S3" s="532"/>
      <c r="T3" s="532"/>
      <c r="U3" s="532"/>
      <c r="V3" s="532"/>
      <c r="W3" s="511"/>
      <c r="X3" s="511"/>
      <c r="Y3" s="511"/>
      <c r="Z3" s="511"/>
      <c r="AA3" s="511"/>
      <c r="AB3" s="511"/>
      <c r="AC3" s="511"/>
      <c r="AD3" s="511"/>
      <c r="AE3" s="511"/>
      <c r="AF3" s="511"/>
      <c r="AG3" s="511"/>
      <c r="AH3" s="511"/>
      <c r="AI3" s="511"/>
      <c r="AJ3" s="511"/>
      <c r="AK3" s="511"/>
      <c r="AL3" s="511"/>
      <c r="AM3" s="511"/>
      <c r="AN3" s="511"/>
      <c r="AO3" s="511"/>
      <c r="AP3" s="511"/>
      <c r="AQ3" s="511"/>
      <c r="AR3" s="511"/>
      <c r="AS3" s="511"/>
      <c r="AT3" s="511"/>
      <c r="AU3" s="511"/>
      <c r="AV3" s="511"/>
      <c r="AW3" s="511"/>
      <c r="AX3" s="511"/>
      <c r="AY3" s="511"/>
      <c r="AZ3" s="511"/>
      <c r="BA3" s="511"/>
      <c r="BB3" s="511"/>
      <c r="BC3" s="511"/>
      <c r="BD3" s="511"/>
      <c r="BE3" s="511"/>
      <c r="BF3" s="511"/>
      <c r="BG3" s="511"/>
      <c r="BH3" s="511"/>
      <c r="BI3" s="511"/>
      <c r="BJ3" s="511"/>
      <c r="BK3" s="511"/>
      <c r="BL3" s="511"/>
      <c r="BM3" s="511"/>
      <c r="BN3" s="511"/>
      <c r="BO3" s="511"/>
      <c r="BP3" s="511"/>
      <c r="BQ3" s="511"/>
      <c r="BR3" s="511"/>
      <c r="BS3" s="511"/>
      <c r="BT3" s="511"/>
      <c r="BU3" s="511"/>
      <c r="BV3" s="511"/>
      <c r="BW3" s="511"/>
      <c r="BX3" s="511"/>
      <c r="BY3" s="511"/>
      <c r="BZ3" s="511"/>
      <c r="CA3" s="511"/>
      <c r="CB3" s="511"/>
      <c r="CC3" s="511"/>
      <c r="CD3" s="511"/>
      <c r="CE3" s="511"/>
      <c r="CF3" s="511"/>
      <c r="CG3" s="511"/>
      <c r="CH3" s="511"/>
      <c r="CI3" s="511"/>
      <c r="CJ3" s="511"/>
      <c r="CK3" s="511"/>
      <c r="CL3" s="511"/>
      <c r="CM3" s="511"/>
      <c r="CN3" s="511"/>
      <c r="CO3" s="511"/>
      <c r="CP3" s="511"/>
      <c r="CQ3" s="511"/>
      <c r="CR3" s="511"/>
      <c r="CS3" s="511"/>
      <c r="CT3" s="511"/>
      <c r="CU3" s="511"/>
      <c r="CV3" s="511"/>
      <c r="CW3" s="511"/>
      <c r="CX3" s="511"/>
      <c r="CY3" s="511"/>
      <c r="CZ3" s="511"/>
      <c r="DA3" s="511"/>
      <c r="DB3" s="511"/>
      <c r="DC3" s="511"/>
      <c r="DD3" s="511"/>
      <c r="DE3" s="511"/>
      <c r="DF3" s="511"/>
      <c r="DG3" s="511"/>
      <c r="DH3" s="511"/>
      <c r="DI3" s="511"/>
      <c r="DJ3" s="511"/>
      <c r="DK3" s="511"/>
      <c r="DL3" s="511"/>
      <c r="DM3" s="511"/>
      <c r="DN3" s="511"/>
      <c r="DO3" s="511"/>
      <c r="DP3" s="511"/>
      <c r="DQ3" s="511"/>
      <c r="DR3" s="511"/>
      <c r="DS3" s="511"/>
      <c r="DT3" s="511"/>
      <c r="DU3" s="511"/>
      <c r="DV3" s="511"/>
      <c r="DW3" s="511"/>
      <c r="DX3" s="511"/>
      <c r="DY3" s="511"/>
      <c r="DZ3" s="511"/>
      <c r="EA3" s="511"/>
      <c r="EB3" s="511"/>
      <c r="EC3" s="511"/>
      <c r="ED3" s="511"/>
      <c r="EE3" s="511"/>
      <c r="EF3" s="511"/>
      <c r="EG3" s="511"/>
      <c r="EH3" s="511"/>
      <c r="EI3" s="511"/>
      <c r="EJ3" s="511"/>
      <c r="EK3" s="511"/>
      <c r="EL3" s="511"/>
      <c r="EM3" s="511"/>
      <c r="EN3" s="511"/>
      <c r="EO3" s="511"/>
      <c r="EP3" s="511"/>
      <c r="EQ3" s="511"/>
      <c r="ER3" s="511"/>
      <c r="ES3" s="511"/>
      <c r="ET3" s="511"/>
      <c r="EU3" s="511"/>
      <c r="EV3" s="511"/>
      <c r="EW3" s="511"/>
      <c r="EX3" s="511"/>
      <c r="EY3" s="511"/>
      <c r="EZ3" s="511"/>
      <c r="FA3" s="511"/>
      <c r="FB3" s="511"/>
      <c r="FC3" s="511"/>
      <c r="FD3" s="511"/>
      <c r="FE3" s="511"/>
      <c r="FF3" s="511"/>
      <c r="FG3" s="511"/>
      <c r="FH3" s="511"/>
      <c r="FI3" s="511"/>
      <c r="FJ3" s="511"/>
      <c r="FK3" s="511"/>
      <c r="FL3" s="511"/>
      <c r="FM3" s="511"/>
      <c r="FN3" s="511"/>
      <c r="FO3" s="511"/>
      <c r="FP3" s="511"/>
      <c r="FQ3" s="511"/>
      <c r="FR3" s="511"/>
      <c r="FS3" s="511"/>
      <c r="FT3" s="511"/>
      <c r="FU3" s="511"/>
      <c r="FV3" s="511"/>
      <c r="FW3" s="511"/>
      <c r="FX3" s="511"/>
      <c r="FY3" s="511"/>
      <c r="FZ3" s="511"/>
      <c r="GA3" s="511"/>
      <c r="GB3" s="511"/>
      <c r="GC3" s="511"/>
      <c r="GD3" s="511"/>
      <c r="GE3" s="511"/>
      <c r="GF3" s="511"/>
      <c r="GG3" s="511"/>
      <c r="GH3" s="511"/>
      <c r="GI3" s="511"/>
      <c r="GJ3" s="511"/>
      <c r="GK3" s="511"/>
      <c r="GL3" s="511"/>
      <c r="GM3" s="511"/>
      <c r="GN3" s="511"/>
      <c r="GO3" s="511"/>
      <c r="GP3" s="511"/>
      <c r="GQ3" s="511"/>
      <c r="GR3" s="511"/>
      <c r="GS3" s="511"/>
      <c r="GT3" s="511"/>
      <c r="GU3" s="511"/>
      <c r="GV3" s="511"/>
      <c r="GW3" s="511"/>
      <c r="GX3" s="511"/>
      <c r="GY3" s="511"/>
      <c r="GZ3" s="511"/>
      <c r="HA3" s="511"/>
      <c r="HB3" s="511"/>
      <c r="HC3" s="511"/>
      <c r="HD3" s="511"/>
      <c r="HE3" s="511"/>
      <c r="HF3" s="511"/>
      <c r="HG3" s="511"/>
      <c r="HH3" s="511"/>
      <c r="HI3" s="511"/>
      <c r="HJ3" s="511"/>
      <c r="HK3" s="511"/>
      <c r="HL3" s="511"/>
      <c r="HM3" s="511"/>
      <c r="HN3" s="511"/>
      <c r="HO3" s="511"/>
      <c r="HP3" s="511"/>
      <c r="HQ3" s="511"/>
      <c r="HR3" s="511"/>
      <c r="HS3" s="511"/>
      <c r="HT3" s="511"/>
      <c r="HU3" s="511"/>
      <c r="HV3" s="511"/>
      <c r="HW3" s="511"/>
      <c r="HX3" s="511"/>
      <c r="HY3" s="511"/>
      <c r="HZ3" s="511"/>
      <c r="IA3" s="511"/>
      <c r="IB3" s="511"/>
      <c r="IC3" s="511"/>
      <c r="ID3" s="511"/>
      <c r="IE3" s="511"/>
      <c r="IF3" s="511"/>
      <c r="IG3" s="511"/>
      <c r="IH3" s="511"/>
      <c r="II3" s="511"/>
      <c r="IJ3" s="511"/>
      <c r="IK3" s="511"/>
      <c r="IL3" s="511"/>
      <c r="IM3" s="511"/>
      <c r="IN3" s="511"/>
      <c r="IO3" s="511"/>
      <c r="IP3" s="511"/>
      <c r="IQ3" s="511"/>
      <c r="IR3" s="511"/>
      <c r="IS3" s="511"/>
      <c r="IT3" s="511"/>
      <c r="IU3" s="511"/>
      <c r="IV3" s="511"/>
      <c r="IW3" s="1920">
        <v>0</v>
      </c>
    </row>
    <row s="30636" customFormat="1" customHeight="1" ht="14.699999999999998">
      <c r="A4" s="1915"/>
      <c r="B4" s="1650"/>
      <c r="C4" s="1915"/>
      <c r="D4" s="1799"/>
      <c r="E4" s="1919"/>
      <c r="F4" s="1919"/>
      <c r="G4" s="1919"/>
      <c r="H4" s="1919"/>
      <c r="I4" s="1919"/>
      <c r="J4" s="1919"/>
      <c r="K4" s="1919"/>
      <c r="L4" s="2179"/>
      <c r="M4" s="532"/>
      <c r="N4" s="1908"/>
      <c r="O4" s="1908"/>
      <c r="P4" s="1908"/>
      <c r="Q4" s="1908"/>
      <c r="R4" s="1908"/>
      <c r="S4" s="509"/>
      <c r="T4" s="509"/>
      <c r="U4" s="509"/>
      <c r="V4" s="509"/>
      <c r="IW4" s="1893">
        <v>14</v>
      </c>
    </row>
    <row s="30636" customFormat="1" customHeight="1" ht="27.299999999999997">
      <c r="A5" s="1915"/>
      <c r="B5" s="1650"/>
      <c r="C5" s="1915"/>
      <c r="D5" s="1799"/>
      <c r="E5" s="238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84"/>
      <c r="G5" s="2384"/>
      <c r="H5" s="2384"/>
      <c r="I5" s="2384"/>
      <c r="J5" s="2384"/>
      <c r="K5" s="2384"/>
      <c r="L5" s="1919"/>
      <c r="M5" s="532"/>
      <c r="N5" s="1908"/>
      <c r="O5" s="1908"/>
      <c r="P5" s="1908"/>
      <c r="Q5" s="1908"/>
      <c r="R5" s="1908"/>
      <c r="S5" s="509"/>
      <c r="T5" s="509"/>
      <c r="U5" s="509"/>
      <c r="V5" s="509"/>
      <c r="IW5" s="1893">
        <v>26</v>
      </c>
    </row>
    <row s="30636" customFormat="1" customHeight="1" ht="14.699999999999998">
      <c r="A6" s="1915"/>
      <c r="B6" s="1650"/>
      <c r="C6" s="1915"/>
      <c r="D6" s="1799"/>
      <c r="E6" s="1919"/>
      <c r="F6" s="900"/>
      <c r="G6" s="900"/>
      <c r="H6" s="900"/>
      <c r="I6" s="900"/>
      <c r="J6" s="900"/>
      <c r="K6" s="900"/>
      <c r="L6" s="1536"/>
      <c r="M6" s="1908"/>
      <c r="N6" s="1908"/>
      <c r="O6" s="1908"/>
      <c r="P6" s="1908"/>
      <c r="Q6" s="1908"/>
      <c r="R6" s="1908"/>
      <c r="S6" s="509"/>
      <c r="T6" s="509"/>
      <c r="U6" s="509"/>
      <c r="V6" s="509"/>
      <c r="IW6" s="1893">
        <v>14</v>
      </c>
    </row>
    <row s="30636" customFormat="1" customHeight="1" ht="14.699999999999998">
      <c r="A7" s="1915"/>
      <c r="B7" s="1650"/>
      <c r="C7" s="1915"/>
      <c r="D7" s="1799"/>
      <c r="E7" s="2385" t="s">
        <v>360</v>
      </c>
      <c r="F7" s="2386"/>
      <c r="G7" s="2386"/>
      <c r="H7" s="2386"/>
      <c r="I7" s="2386"/>
      <c r="J7" s="2386"/>
      <c r="K7" s="2386"/>
      <c r="L7" s="2758" t="s">
        <v>361</v>
      </c>
      <c r="M7" s="1908"/>
      <c r="N7" s="1908"/>
      <c r="O7" s="1908"/>
      <c r="P7" s="1908"/>
      <c r="Q7" s="1908"/>
      <c r="R7" s="1908"/>
      <c r="S7" s="509"/>
      <c r="T7" s="509"/>
      <c r="U7" s="509"/>
      <c r="V7" s="509"/>
      <c r="IW7" s="1893">
        <v>14</v>
      </c>
    </row>
    <row s="30636" customFormat="1" customHeight="1" ht="67.2">
      <c r="A8" s="1915"/>
      <c r="B8" s="1650"/>
      <c r="C8" s="1915"/>
      <c r="D8" s="1799"/>
      <c r="E8" s="2762" t="s">
        <v>91</v>
      </c>
      <c r="F8" s="2762" t="s">
        <v>1959</v>
      </c>
      <c r="G8" s="2764" t="s">
        <v>1960</v>
      </c>
      <c r="H8" s="2765"/>
      <c r="I8" s="2766"/>
      <c r="J8" s="2762" t="s">
        <v>1961</v>
      </c>
      <c r="K8" s="27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60"/>
      <c r="M8" s="1908"/>
      <c r="N8" s="1908"/>
      <c r="O8" s="1908"/>
      <c r="P8" s="1908"/>
      <c r="Q8" s="1908"/>
      <c r="R8" s="1908"/>
      <c r="S8" s="509"/>
      <c r="T8" s="509"/>
      <c r="U8" s="509"/>
      <c r="V8" s="509"/>
      <c r="IW8" s="1893">
        <v>64</v>
      </c>
    </row>
    <row s="30636" customFormat="1" customHeight="1" ht="29.25">
      <c r="A9" s="1915"/>
      <c r="B9" s="1650"/>
      <c r="C9" s="1915"/>
      <c r="D9" s="1799"/>
      <c r="E9" s="2763"/>
      <c r="F9" s="2763"/>
      <c r="G9" s="2178" t="s">
        <v>1955</v>
      </c>
      <c r="H9" s="2178" t="s">
        <v>1956</v>
      </c>
      <c r="I9" s="2178" t="s">
        <v>1957</v>
      </c>
      <c r="J9" s="2763"/>
      <c r="K9" s="2763"/>
      <c r="L9" s="2759"/>
      <c r="M9" s="1908"/>
      <c r="N9" s="1908"/>
      <c r="O9" s="1908"/>
      <c r="P9" s="1908"/>
      <c r="Q9" s="1908"/>
      <c r="R9" s="1908"/>
      <c r="S9" s="509"/>
      <c r="T9" s="509"/>
      <c r="U9" s="509"/>
      <c r="V9" s="509"/>
      <c r="IW9" s="1893">
        <v>28</v>
      </c>
    </row>
    <row s="30681" customFormat="1" customHeight="1" ht="1.05">
      <c r="A10" s="2383"/>
      <c r="B10" s="1650">
        <v>1</v>
      </c>
      <c r="C10" s="1650"/>
      <c r="D10" s="1084"/>
      <c r="E10" s="1079">
        <v>0</v>
      </c>
      <c r="F10" s="2175" t="str">
        <f>IF(ROIV_INFO_NAME="","",ROIV_INFO_NAME)</f>
        <v>АО "ДГК"</v>
      </c>
      <c r="G10" s="2017" t="s">
        <v>28</v>
      </c>
      <c r="H10" s="2187"/>
      <c r="I10" s="2187"/>
      <c r="J10" s="803"/>
      <c r="K10" s="803"/>
      <c r="L10" s="271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819">
        <f>MERGEVALUE(F10)</f>
      </c>
      <c r="N10" s="1920"/>
      <c r="O10" s="1920"/>
      <c r="P10" s="1908" t="str">
        <f t="array" ref="P10:P10">IF(ISERROR(MATCH(MID(Q10,1,250),MID(note_ter,1,250),0)),"n","y")</f>
        <v>n</v>
      </c>
      <c r="Q10" s="1920"/>
      <c r="R10" s="190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650"/>
      <c r="T10" s="1650"/>
      <c r="U10" s="704"/>
      <c r="V10" s="1650"/>
      <c r="W10" s="1650"/>
      <c r="X10" s="1650"/>
      <c r="Y10" s="1117"/>
      <c r="Z10" s="1117"/>
      <c r="AA10" s="911"/>
      <c r="AB10" s="911"/>
      <c r="AC10" s="911"/>
      <c r="AD10" s="911"/>
      <c r="AE10" s="911"/>
      <c r="AF10" s="911"/>
      <c r="AG10" s="911"/>
      <c r="AH10" s="911"/>
      <c r="AI10" s="911"/>
      <c r="AJ10" s="911"/>
      <c r="AK10" s="911"/>
      <c r="AL10" s="911"/>
      <c r="AM10" s="911"/>
      <c r="AN10" s="911"/>
      <c r="AO10" s="911"/>
      <c r="AP10" s="911"/>
      <c r="AQ10" s="911"/>
      <c r="AR10" s="911"/>
      <c r="AS10" s="911"/>
      <c r="AT10" s="911"/>
      <c r="AU10" s="911"/>
      <c r="AV10" s="911"/>
      <c r="AW10" s="911"/>
      <c r="AX10" s="911"/>
      <c r="AY10" s="911"/>
      <c r="AZ10" s="911"/>
      <c r="BA10" s="911"/>
      <c r="BB10" s="911"/>
      <c r="BC10" s="911"/>
      <c r="BD10" s="911"/>
      <c r="BE10" s="911"/>
      <c r="BF10" s="911"/>
      <c r="BG10" s="911"/>
      <c r="BH10" s="911"/>
      <c r="BI10" s="911"/>
      <c r="BJ10" s="911"/>
      <c r="BK10" s="911"/>
      <c r="BL10" s="911"/>
      <c r="BM10" s="911"/>
      <c r="BN10" s="911"/>
      <c r="BO10" s="911"/>
      <c r="BP10" s="911"/>
      <c r="BQ10" s="911"/>
      <c r="BR10" s="911"/>
      <c r="BS10" s="911"/>
      <c r="BT10" s="911"/>
      <c r="BU10" s="911"/>
      <c r="BV10" s="1117"/>
      <c r="BW10" s="1117"/>
      <c r="BX10" s="1117"/>
      <c r="BY10" s="1117"/>
      <c r="BZ10" s="1117"/>
      <c r="CA10" s="1117"/>
      <c r="CB10" s="1117"/>
      <c r="CC10" s="1117"/>
      <c r="CD10" s="1117"/>
      <c r="CE10" s="1117"/>
      <c r="IW10" s="908">
        <v>1</v>
      </c>
    </row>
    <row s="30681" customFormat="1" customHeight="1" ht="15.75">
      <c r="A11" s="2383"/>
      <c r="B11" s="1650"/>
      <c r="C11" s="696"/>
      <c r="D11" s="1085"/>
      <c r="E11" s="705"/>
      <c r="F11" s="935" t="s">
        <v>1958</v>
      </c>
      <c r="G11" s="471"/>
      <c r="H11" s="471"/>
      <c r="I11" s="471"/>
      <c r="J11" s="471"/>
      <c r="K11" s="708"/>
      <c r="L11" s="2761"/>
      <c r="M11" s="1820"/>
      <c r="N11" s="1920"/>
      <c r="O11" s="1920"/>
      <c r="P11" s="1920"/>
      <c r="Q11" s="1908"/>
      <c r="R11" s="1920"/>
      <c r="S11" s="1650"/>
      <c r="T11" s="1650"/>
      <c r="U11" s="704"/>
      <c r="V11" s="1650"/>
      <c r="W11" s="1650"/>
      <c r="X11" s="1650"/>
      <c r="Y11" s="1117"/>
      <c r="Z11" s="1117"/>
      <c r="AA11" s="911"/>
      <c r="AB11" s="911"/>
      <c r="AC11" s="911"/>
      <c r="AD11" s="911"/>
      <c r="AE11" s="911"/>
      <c r="AF11" s="911"/>
      <c r="AG11" s="911"/>
      <c r="AH11" s="911"/>
      <c r="AI11" s="911"/>
      <c r="AJ11" s="911"/>
      <c r="AK11" s="911"/>
      <c r="AL11" s="911"/>
      <c r="AM11" s="911"/>
      <c r="AN11" s="911"/>
      <c r="AO11" s="911"/>
      <c r="AP11" s="911"/>
      <c r="AQ11" s="911"/>
      <c r="AR11" s="911"/>
      <c r="AS11" s="911"/>
      <c r="AT11" s="911"/>
      <c r="AU11" s="911"/>
      <c r="AV11" s="911"/>
      <c r="AW11" s="911"/>
      <c r="AX11" s="911"/>
      <c r="AY11" s="911"/>
      <c r="AZ11" s="911"/>
      <c r="BA11" s="911"/>
      <c r="BB11" s="911"/>
      <c r="BC11" s="911"/>
      <c r="BD11" s="911"/>
      <c r="BE11" s="911"/>
      <c r="BF11" s="911"/>
      <c r="BG11" s="911"/>
      <c r="BH11" s="911"/>
      <c r="BI11" s="911"/>
      <c r="BJ11" s="911"/>
      <c r="BK11" s="911"/>
      <c r="BL11" s="911"/>
      <c r="BM11" s="911"/>
      <c r="BN11" s="911"/>
      <c r="BO11" s="911"/>
      <c r="BP11" s="911"/>
      <c r="BQ11" s="911"/>
      <c r="BR11" s="911"/>
      <c r="BS11" s="911"/>
      <c r="BT11" s="911"/>
      <c r="BU11" s="911"/>
      <c r="BV11" s="1117"/>
      <c r="BW11" s="1117"/>
      <c r="BX11" s="1117"/>
      <c r="BY11" s="1117"/>
      <c r="BZ11" s="1117"/>
      <c r="CA11" s="1117"/>
      <c r="CB11" s="1117"/>
      <c r="CC11" s="1117"/>
      <c r="CD11" s="1117"/>
      <c r="CE11" s="1117"/>
      <c r="IW11" s="908">
        <v>15</v>
      </c>
    </row>
    <row s="30636" customFormat="1" customHeight="1" ht="22.049999999999997">
      <c r="A12" s="1915"/>
      <c r="B12" s="1650"/>
      <c r="C12" s="1915"/>
      <c r="D12" s="1917"/>
      <c r="E12" s="464"/>
      <c r="F12" s="464"/>
      <c r="G12" s="464"/>
      <c r="H12" s="464"/>
      <c r="I12" s="464"/>
      <c r="J12" s="464"/>
      <c r="K12" s="464"/>
      <c r="L12" s="464"/>
      <c r="M12" s="1908"/>
      <c r="N12" s="1908"/>
      <c r="O12" s="1908"/>
      <c r="P12" s="1908"/>
      <c r="Q12" s="1908"/>
      <c r="R12" s="1908"/>
      <c r="S12" s="509"/>
      <c r="T12" s="509"/>
      <c r="U12" s="509"/>
      <c r="V12" s="509"/>
      <c r="IW12" s="1893">
        <v>21</v>
      </c>
    </row>
    <row s="30636" customFormat="1" customHeight="1" ht="14.699999999999998">
      <c r="A13" s="1915"/>
      <c r="B13" s="1650"/>
      <c r="C13" s="1915"/>
      <c r="D13" s="1917"/>
      <c r="E13" s="1915"/>
      <c r="F13" s="1915"/>
      <c r="G13" s="1915"/>
      <c r="H13" s="1915"/>
      <c r="I13" s="1915"/>
      <c r="J13" s="1915"/>
      <c r="K13" s="1915"/>
      <c r="L13" s="1915"/>
      <c r="M13" s="1908"/>
      <c r="N13" s="1908"/>
      <c r="O13" s="1908"/>
      <c r="P13" s="1908"/>
      <c r="Q13" s="1908"/>
      <c r="R13" s="1908"/>
      <c r="S13" s="509"/>
      <c r="T13" s="509"/>
      <c r="U13" s="509"/>
      <c r="V13" s="509"/>
      <c r="IW13" s="1893">
        <v>14</v>
      </c>
    </row>
    <row s="30636" customFormat="1" customHeight="1" ht="1.05">
      <c r="A14" s="1915"/>
      <c r="B14" s="1650"/>
      <c r="C14" s="1915"/>
      <c r="D14" s="1917"/>
      <c r="E14" s="1915"/>
      <c r="F14" s="1915"/>
      <c r="G14" s="1915"/>
      <c r="H14" s="1915"/>
      <c r="I14" s="1915"/>
      <c r="J14" s="1915"/>
      <c r="K14" s="1915"/>
      <c r="L14" s="1915"/>
      <c r="M14" s="1908"/>
      <c r="N14" s="1908"/>
      <c r="O14" s="1908"/>
      <c r="P14" s="1908"/>
      <c r="Q14" s="1908"/>
      <c r="R14" s="1908"/>
      <c r="S14" s="509"/>
      <c r="T14" s="509"/>
      <c r="U14" s="509"/>
      <c r="V14" s="509"/>
      <c r="IW14" s="1893">
        <v>1</v>
      </c>
    </row>
    <row customHeight="1" ht="22.5" hidden="1">
      <c r="A15" s="1915" t="s">
        <v>85</v>
      </c>
      <c r="B15" s="1650">
        <v>0</v>
      </c>
      <c r="C15" s="1915">
        <v>0</v>
      </c>
      <c r="D15" s="1917">
        <v>3</v>
      </c>
      <c r="E15" s="1915">
        <v>6</v>
      </c>
      <c r="F15" s="1915">
        <v>27</v>
      </c>
      <c r="G15" s="1915">
        <v>16</v>
      </c>
      <c r="H15" s="1915">
        <v>12</v>
      </c>
      <c r="I15" s="1915">
        <v>32</v>
      </c>
      <c r="J15" s="1915">
        <v>41</v>
      </c>
      <c r="K15" s="1915">
        <v>41</v>
      </c>
      <c r="L15" s="1915">
        <v>89</v>
      </c>
      <c r="M15" s="1908">
        <v>3</v>
      </c>
      <c r="N15" s="1908">
        <v>8</v>
      </c>
      <c r="O15" s="1908">
        <v>8</v>
      </c>
      <c r="P15" s="1908">
        <v>8</v>
      </c>
      <c r="Q15" s="1908">
        <v>25</v>
      </c>
      <c r="R15" s="1908">
        <v>14</v>
      </c>
      <c r="S15" s="509">
        <v>8</v>
      </c>
      <c r="T15" s="509">
        <v>8</v>
      </c>
      <c r="U15" s="509">
        <v>8</v>
      </c>
      <c r="V15" s="509">
        <v>8</v>
      </c>
      <c r="W15" s="1915">
        <v>8</v>
      </c>
      <c r="X15" s="1915">
        <v>8</v>
      </c>
      <c r="Y15" s="1915">
        <v>8</v>
      </c>
      <c r="Z15" s="1915">
        <v>8</v>
      </c>
      <c r="AA15" s="1915">
        <v>8</v>
      </c>
      <c r="AB15" s="1915">
        <v>8</v>
      </c>
      <c r="AC15" s="1915">
        <v>8</v>
      </c>
      <c r="AD15" s="1915">
        <v>8</v>
      </c>
      <c r="AE15" s="1915">
        <v>8</v>
      </c>
      <c r="AF15" s="1915">
        <v>8</v>
      </c>
      <c r="AG15" s="1915">
        <v>8</v>
      </c>
      <c r="AH15" s="1915">
        <v>8</v>
      </c>
      <c r="AI15" s="1915">
        <v>8</v>
      </c>
      <c r="AJ15" s="1915">
        <v>8</v>
      </c>
      <c r="AK15" s="1915">
        <v>8</v>
      </c>
      <c r="AL15" s="1915">
        <v>8</v>
      </c>
      <c r="AM15" s="1915">
        <v>8</v>
      </c>
      <c r="AN15" s="1915">
        <v>8</v>
      </c>
      <c r="AO15" s="1915">
        <v>8</v>
      </c>
      <c r="AP15" s="1915">
        <v>8</v>
      </c>
      <c r="AQ15" s="1915">
        <v>8</v>
      </c>
      <c r="AR15" s="1915">
        <v>8</v>
      </c>
      <c r="AS15" s="1915">
        <v>8</v>
      </c>
      <c r="AT15" s="1915">
        <v>8</v>
      </c>
      <c r="AU15" s="1915">
        <v>8</v>
      </c>
      <c r="AV15" s="1915">
        <v>8</v>
      </c>
      <c r="AW15" s="1915">
        <v>8</v>
      </c>
      <c r="AX15" s="1915">
        <v>8</v>
      </c>
      <c r="AY15" s="1915">
        <v>8</v>
      </c>
      <c r="AZ15" s="1915">
        <v>8</v>
      </c>
      <c r="BA15" s="1915">
        <v>8</v>
      </c>
      <c r="BB15" s="1915">
        <v>8</v>
      </c>
      <c r="BC15" s="1915">
        <v>8</v>
      </c>
      <c r="BD15" s="1915">
        <v>8</v>
      </c>
      <c r="BE15" s="1915">
        <v>8</v>
      </c>
      <c r="BF15" s="1915">
        <v>8</v>
      </c>
      <c r="BG15" s="1915">
        <v>8</v>
      </c>
      <c r="BH15" s="1915">
        <v>8</v>
      </c>
      <c r="BI15" s="1915">
        <v>8</v>
      </c>
      <c r="BJ15" s="1915">
        <v>8</v>
      </c>
      <c r="BK15" s="1915">
        <v>8</v>
      </c>
      <c r="BL15" s="1915">
        <v>8</v>
      </c>
      <c r="BM15" s="1915">
        <v>8</v>
      </c>
      <c r="BN15" s="1915">
        <v>8</v>
      </c>
      <c r="BO15" s="1915">
        <v>8</v>
      </c>
      <c r="BP15" s="1915">
        <v>8</v>
      </c>
      <c r="BQ15" s="1915">
        <v>8</v>
      </c>
      <c r="BR15" s="1915">
        <v>8</v>
      </c>
      <c r="BS15" s="1915">
        <v>8</v>
      </c>
      <c r="BT15" s="1915">
        <v>8</v>
      </c>
      <c r="BU15" s="1915">
        <v>8</v>
      </c>
      <c r="BV15" s="1915">
        <v>8</v>
      </c>
      <c r="BW15" s="1915">
        <v>8</v>
      </c>
      <c r="BX15" s="1915">
        <v>8</v>
      </c>
      <c r="BY15" s="1915">
        <v>8</v>
      </c>
      <c r="BZ15" s="1915">
        <v>8</v>
      </c>
      <c r="CA15" s="1915">
        <v>8</v>
      </c>
      <c r="CB15" s="1915">
        <v>8</v>
      </c>
      <c r="CC15" s="1915">
        <v>8</v>
      </c>
      <c r="CD15" s="1915">
        <v>8</v>
      </c>
      <c r="CE15" s="1915">
        <v>8</v>
      </c>
      <c r="CF15" s="1915">
        <v>8</v>
      </c>
      <c r="CG15" s="1915">
        <v>8</v>
      </c>
      <c r="CH15" s="1915">
        <v>8</v>
      </c>
      <c r="CI15" s="1915">
        <v>8</v>
      </c>
      <c r="CJ15" s="1915">
        <v>8</v>
      </c>
      <c r="CK15" s="1915">
        <v>8</v>
      </c>
      <c r="CL15" s="1915">
        <v>8</v>
      </c>
      <c r="CM15" s="1915">
        <v>8</v>
      </c>
      <c r="CN15" s="1915">
        <v>8</v>
      </c>
      <c r="CO15" s="1915">
        <v>8</v>
      </c>
      <c r="CP15" s="1915">
        <v>8</v>
      </c>
      <c r="CQ15" s="1915">
        <v>8</v>
      </c>
      <c r="CR15" s="1915">
        <v>8</v>
      </c>
      <c r="CS15" s="1915">
        <v>8</v>
      </c>
      <c r="CT15" s="1915">
        <v>8</v>
      </c>
      <c r="CU15" s="1915">
        <v>8</v>
      </c>
      <c r="CV15" s="1915">
        <v>8</v>
      </c>
      <c r="CW15" s="1915">
        <v>8</v>
      </c>
      <c r="CX15" s="1915">
        <v>8</v>
      </c>
      <c r="CY15" s="1915">
        <v>8</v>
      </c>
      <c r="CZ15" s="1915">
        <v>8</v>
      </c>
      <c r="DA15" s="1915">
        <v>8</v>
      </c>
      <c r="DB15" s="1915">
        <v>8</v>
      </c>
      <c r="DC15" s="1915">
        <v>8</v>
      </c>
      <c r="DD15" s="1915">
        <v>8</v>
      </c>
      <c r="DE15" s="1915">
        <v>8</v>
      </c>
      <c r="DF15" s="1915">
        <v>8</v>
      </c>
      <c r="DG15" s="1915">
        <v>8</v>
      </c>
      <c r="DH15" s="1915">
        <v>8</v>
      </c>
      <c r="DI15" s="1915">
        <v>8</v>
      </c>
      <c r="DJ15" s="1915">
        <v>8</v>
      </c>
      <c r="DK15" s="1915">
        <v>8</v>
      </c>
      <c r="DL15" s="1915">
        <v>8</v>
      </c>
      <c r="DM15" s="1915">
        <v>8</v>
      </c>
      <c r="DN15" s="1915">
        <v>8</v>
      </c>
      <c r="DO15" s="1915">
        <v>8</v>
      </c>
      <c r="DP15" s="1915">
        <v>8</v>
      </c>
      <c r="DQ15" s="1915">
        <v>8</v>
      </c>
      <c r="DR15" s="1915">
        <v>8</v>
      </c>
      <c r="DS15" s="1915">
        <v>8</v>
      </c>
      <c r="DT15" s="1915">
        <v>8</v>
      </c>
      <c r="DU15" s="1915">
        <v>8</v>
      </c>
      <c r="DV15" s="1915">
        <v>8</v>
      </c>
      <c r="DW15" s="1915">
        <v>8</v>
      </c>
      <c r="DX15" s="1915">
        <v>8</v>
      </c>
      <c r="DY15" s="1915">
        <v>8</v>
      </c>
      <c r="DZ15" s="1915">
        <v>8</v>
      </c>
      <c r="EA15" s="1915">
        <v>8</v>
      </c>
      <c r="EB15" s="1915">
        <v>8</v>
      </c>
      <c r="EC15" s="1915">
        <v>8</v>
      </c>
      <c r="ED15" s="1915">
        <v>8</v>
      </c>
      <c r="EE15" s="1915">
        <v>8</v>
      </c>
      <c r="EF15" s="1915">
        <v>8</v>
      </c>
      <c r="EG15" s="1915">
        <v>8</v>
      </c>
      <c r="EH15" s="1915">
        <v>8</v>
      </c>
      <c r="EI15" s="1915">
        <v>8</v>
      </c>
      <c r="EJ15" s="1915">
        <v>8</v>
      </c>
      <c r="EK15" s="1915">
        <v>8</v>
      </c>
      <c r="EL15" s="1915">
        <v>8</v>
      </c>
      <c r="EM15" s="1915">
        <v>8</v>
      </c>
      <c r="EN15" s="1915">
        <v>8</v>
      </c>
      <c r="EO15" s="1915">
        <v>8</v>
      </c>
      <c r="EP15" s="1915">
        <v>8</v>
      </c>
      <c r="EQ15" s="1915">
        <v>8</v>
      </c>
      <c r="ER15" s="1915">
        <v>8</v>
      </c>
      <c r="ES15" s="1915">
        <v>8</v>
      </c>
      <c r="ET15" s="1915">
        <v>8</v>
      </c>
      <c r="EU15" s="1915">
        <v>8</v>
      </c>
      <c r="EV15" s="1915">
        <v>8</v>
      </c>
      <c r="EW15" s="1915">
        <v>8</v>
      </c>
      <c r="EX15" s="1915">
        <v>8</v>
      </c>
      <c r="EY15" s="1915">
        <v>8</v>
      </c>
      <c r="EZ15" s="1915">
        <v>8</v>
      </c>
      <c r="FA15" s="1915">
        <v>8</v>
      </c>
      <c r="FB15" s="1915">
        <v>8</v>
      </c>
      <c r="FC15" s="1915">
        <v>8</v>
      </c>
      <c r="FD15" s="1915">
        <v>8</v>
      </c>
      <c r="FE15" s="1915">
        <v>8</v>
      </c>
      <c r="FF15" s="1915">
        <v>8</v>
      </c>
      <c r="FG15" s="1915">
        <v>8</v>
      </c>
      <c r="FH15" s="1915">
        <v>8</v>
      </c>
      <c r="FI15" s="1915">
        <v>8</v>
      </c>
      <c r="FJ15" s="1915">
        <v>8</v>
      </c>
      <c r="FK15" s="1915">
        <v>8</v>
      </c>
      <c r="FL15" s="1915">
        <v>8</v>
      </c>
      <c r="FM15" s="1915">
        <v>8</v>
      </c>
      <c r="FN15" s="1915">
        <v>8</v>
      </c>
      <c r="FO15" s="1915">
        <v>8</v>
      </c>
      <c r="FP15" s="1915">
        <v>8</v>
      </c>
      <c r="FQ15" s="1915">
        <v>8</v>
      </c>
      <c r="FR15" s="1915">
        <v>8</v>
      </c>
      <c r="FS15" s="1915">
        <v>8</v>
      </c>
      <c r="FT15" s="1915">
        <v>8</v>
      </c>
      <c r="FU15" s="1915">
        <v>8</v>
      </c>
      <c r="FV15" s="1915">
        <v>8</v>
      </c>
      <c r="FW15" s="1915">
        <v>8</v>
      </c>
      <c r="FX15" s="1915">
        <v>8</v>
      </c>
      <c r="FY15" s="1915">
        <v>8</v>
      </c>
      <c r="FZ15" s="1915">
        <v>8</v>
      </c>
      <c r="GA15" s="1915">
        <v>8</v>
      </c>
      <c r="GB15" s="1915">
        <v>8</v>
      </c>
      <c r="GC15" s="1915">
        <v>8</v>
      </c>
      <c r="GD15" s="1915">
        <v>8</v>
      </c>
      <c r="GE15" s="1915">
        <v>8</v>
      </c>
      <c r="GF15" s="1915">
        <v>8</v>
      </c>
      <c r="GG15" s="1915">
        <v>8</v>
      </c>
      <c r="GH15" s="1915">
        <v>8</v>
      </c>
      <c r="GI15" s="1915">
        <v>8</v>
      </c>
      <c r="GJ15" s="1915">
        <v>8</v>
      </c>
      <c r="GK15" s="1915">
        <v>8</v>
      </c>
      <c r="GL15" s="1915">
        <v>8</v>
      </c>
      <c r="GM15" s="1915">
        <v>8</v>
      </c>
      <c r="GN15" s="1915">
        <v>8</v>
      </c>
      <c r="GO15" s="1915">
        <v>8</v>
      </c>
      <c r="GP15" s="1915">
        <v>8</v>
      </c>
      <c r="GQ15" s="1915">
        <v>8</v>
      </c>
      <c r="GR15" s="1915">
        <v>8</v>
      </c>
      <c r="GS15" s="1915">
        <v>8</v>
      </c>
      <c r="GT15" s="1915">
        <v>8</v>
      </c>
      <c r="GU15" s="1915">
        <v>8</v>
      </c>
      <c r="GV15" s="1915">
        <v>8</v>
      </c>
      <c r="GW15" s="1915">
        <v>8</v>
      </c>
      <c r="GX15" s="1915">
        <v>8</v>
      </c>
      <c r="GY15" s="1915">
        <v>8</v>
      </c>
      <c r="GZ15" s="1915">
        <v>8</v>
      </c>
      <c r="HA15" s="1915">
        <v>8</v>
      </c>
      <c r="HB15" s="1915">
        <v>8</v>
      </c>
      <c r="HC15" s="1915">
        <v>8</v>
      </c>
      <c r="HD15" s="1915">
        <v>8</v>
      </c>
      <c r="HE15" s="1915">
        <v>8</v>
      </c>
      <c r="HF15" s="1915">
        <v>8</v>
      </c>
      <c r="HG15" s="1915">
        <v>8</v>
      </c>
      <c r="HH15" s="1915">
        <v>8</v>
      </c>
      <c r="HI15" s="1915">
        <v>8</v>
      </c>
      <c r="HJ15" s="1915">
        <v>8</v>
      </c>
      <c r="HK15" s="1915">
        <v>8</v>
      </c>
      <c r="HL15" s="1915">
        <v>8</v>
      </c>
      <c r="HM15" s="1915">
        <v>8</v>
      </c>
      <c r="HN15" s="1915">
        <v>8</v>
      </c>
      <c r="HO15" s="1915">
        <v>8</v>
      </c>
      <c r="HP15" s="1915">
        <v>8</v>
      </c>
      <c r="HQ15" s="1915">
        <v>8</v>
      </c>
      <c r="HR15" s="1915">
        <v>8</v>
      </c>
      <c r="HS15" s="1915">
        <v>8</v>
      </c>
      <c r="HT15" s="1915">
        <v>8</v>
      </c>
      <c r="HU15" s="1915">
        <v>8</v>
      </c>
      <c r="HV15" s="1915">
        <v>8</v>
      </c>
      <c r="HW15" s="1915">
        <v>8</v>
      </c>
      <c r="HX15" s="1915">
        <v>8</v>
      </c>
      <c r="HY15" s="1915">
        <v>8</v>
      </c>
      <c r="HZ15" s="1915">
        <v>8</v>
      </c>
      <c r="IA15" s="1915">
        <v>8</v>
      </c>
      <c r="IB15" s="1915">
        <v>8</v>
      </c>
      <c r="IC15" s="1915">
        <v>8</v>
      </c>
      <c r="ID15" s="1915">
        <v>8</v>
      </c>
      <c r="IE15" s="1915">
        <v>8</v>
      </c>
      <c r="IF15" s="1915">
        <v>8</v>
      </c>
      <c r="IG15" s="1915">
        <v>8</v>
      </c>
      <c r="IH15" s="1915">
        <v>8</v>
      </c>
      <c r="II15" s="1915">
        <v>8</v>
      </c>
      <c r="IJ15" s="1915">
        <v>8</v>
      </c>
      <c r="IK15" s="1915">
        <v>8</v>
      </c>
      <c r="IL15" s="1915">
        <v>8</v>
      </c>
      <c r="IM15" s="1915">
        <v>8</v>
      </c>
      <c r="IN15" s="1915">
        <v>8</v>
      </c>
      <c r="IO15" s="1915">
        <v>8</v>
      </c>
      <c r="IP15" s="1915">
        <v>8</v>
      </c>
      <c r="IQ15" s="1915">
        <v>8</v>
      </c>
      <c r="IR15" s="1915">
        <v>8</v>
      </c>
      <c r="IS15" s="1915">
        <v>8</v>
      </c>
      <c r="IT15" s="1915">
        <v>8</v>
      </c>
      <c r="IU15" s="1915">
        <v>8</v>
      </c>
      <c r="IV15" s="1915">
        <v>8</v>
      </c>
      <c r="IW15" s="1915">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D43A18-9C54-A481-3291-DF2C4DB08E3C}"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30541" width="9.140625" hidden="1"/>
    <col min="2" max="2" style="30620" width="9.140625" hidden="1"/>
    <col min="3" max="3" style="30541" width="3.7109375" hidden="1" customWidth="1"/>
    <col min="4" max="4" style="30726" width="3.00390625" customWidth="1"/>
    <col min="5" max="5" style="30541" width="6.00390625" customWidth="1"/>
    <col min="6" max="6" style="30541" width="27.00390625" customWidth="1"/>
    <col min="7" max="7" style="30541" width="29.00390625" customWidth="1"/>
    <col min="8" max="8" style="30541" width="25.00390625" customWidth="1"/>
    <col min="9" max="9" style="30541" width="5.00390625" customWidth="1"/>
    <col min="10" max="10" style="30541" width="6.00390625" customWidth="1"/>
    <col min="11" max="11" style="30541" width="41.00390625" customWidth="1"/>
    <col min="12" max="12" style="30541" width="42.00390625" customWidth="1"/>
    <col min="13" max="13" style="30541" width="41.00390625" customWidth="1"/>
    <col min="14" max="14" style="30541" width="89.00390625" customWidth="1"/>
    <col min="15" max="15" style="30727" width="3.00390625" customWidth="1"/>
    <col min="16" max="16" style="30727" width="8.00390625" customWidth="1"/>
    <col min="17" max="17" style="30541" width="9.140625" hidden="1"/>
  </cols>
  <sheetData>
    <row customHeight="1" ht="22.5" hidden="1">
      <c r="Q1" s="1439" t="s">
        <v>14</v>
      </c>
    </row>
    <row s="30681" customFormat="1" customHeight="1" ht="22.5" hidden="1">
      <c r="A2" s="780"/>
      <c r="B2" s="1444">
        <v>1</v>
      </c>
      <c r="C2" s="1444"/>
      <c r="D2" s="2212" t="s">
        <v>106</v>
      </c>
      <c r="E2" s="2411">
        <v>1</v>
      </c>
      <c r="F2" s="2587" t="str">
        <f>IF(region_name="","",region_name)</f>
        <v>Хабаровский край</v>
      </c>
      <c r="G2" s="2767"/>
      <c r="H2" s="2768"/>
      <c r="I2" s="758"/>
      <c r="J2" s="2194">
        <v>1</v>
      </c>
      <c r="K2" s="2196"/>
      <c r="L2" s="2196"/>
      <c r="M2" s="2196"/>
      <c r="N2" s="776"/>
      <c r="O2" s="1819"/>
      <c r="P2" s="795"/>
      <c r="Q2" s="707">
        <v>0</v>
      </c>
    </row>
    <row s="30681" customFormat="1" customHeight="1" ht="22.5" hidden="1">
      <c r="A3" s="1115"/>
      <c r="B3" s="1444"/>
      <c r="C3" s="1444"/>
      <c r="D3" s="1085"/>
      <c r="E3" s="2411"/>
      <c r="F3" s="2587"/>
      <c r="G3" s="2767"/>
      <c r="H3" s="2769"/>
      <c r="I3" s="705"/>
      <c r="J3" s="1784"/>
      <c r="K3" s="1784" t="s">
        <v>1962</v>
      </c>
      <c r="L3" s="1827"/>
      <c r="M3" s="2204"/>
      <c r="N3" s="2197"/>
      <c r="O3" s="1819"/>
      <c r="P3" s="795"/>
      <c r="Q3" s="707">
        <v>0</v>
      </c>
    </row>
    <row s="30621" customFormat="1" customHeight="1" ht="5.25" hidden="1">
      <c r="A4" s="780"/>
      <c r="D4" s="778"/>
      <c r="F4" s="531" t="s">
        <v>86</v>
      </c>
      <c r="G4" s="778" t="s">
        <v>87</v>
      </c>
      <c r="H4" s="778"/>
      <c r="I4" s="2207"/>
      <c r="J4" s="1828"/>
      <c r="K4" s="2195"/>
      <c r="L4" s="2195"/>
      <c r="M4" s="2195"/>
      <c r="N4" s="2191"/>
      <c r="O4" s="531" t="s">
        <v>86</v>
      </c>
      <c r="P4" s="531"/>
      <c r="Q4" s="795">
        <v>0</v>
      </c>
    </row>
    <row s="30681" customFormat="1" customHeight="1" ht="22.5" hidden="1">
      <c r="A5" s="1925"/>
      <c r="B5" s="1650">
        <v>1</v>
      </c>
      <c r="C5" s="1650"/>
      <c r="D5" s="1085"/>
      <c r="E5" s="2197"/>
      <c r="F5" s="2197"/>
      <c r="G5" s="2197"/>
      <c r="H5" s="2208"/>
      <c r="I5" s="2213" t="s">
        <v>106</v>
      </c>
      <c r="J5" s="2206">
        <v>1</v>
      </c>
      <c r="K5" s="2196"/>
      <c r="L5" s="2196"/>
      <c r="M5" s="2196"/>
      <c r="N5" s="776"/>
      <c r="O5" s="1819"/>
      <c r="P5" s="1920"/>
      <c r="Q5" s="908">
        <v>0</v>
      </c>
    </row>
    <row s="30636" customFormat="1" customHeight="1" ht="14.699999999999998">
      <c r="A6" s="1439"/>
      <c r="B6" s="1444"/>
      <c r="C6" s="1439"/>
      <c r="D6" s="1779"/>
      <c r="E6" s="793"/>
      <c r="F6" s="793"/>
      <c r="G6" s="793"/>
      <c r="H6" s="793"/>
      <c r="I6" s="793"/>
      <c r="J6" s="793"/>
      <c r="K6" s="793"/>
      <c r="L6" s="793"/>
      <c r="M6" s="793"/>
      <c r="N6" s="1919"/>
      <c r="O6" s="531"/>
      <c r="P6" s="784"/>
      <c r="Q6" s="791">
        <v>14</v>
      </c>
    </row>
    <row s="30636" customFormat="1" customHeight="1" ht="27.299999999999997">
      <c r="A7" s="1439"/>
      <c r="B7" s="1444"/>
      <c r="C7" s="1439"/>
      <c r="D7" s="1779"/>
      <c r="E7" s="277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74"/>
      <c r="G7" s="2774"/>
      <c r="H7" s="2774"/>
      <c r="I7" s="2774"/>
      <c r="J7" s="2774"/>
      <c r="K7" s="2774"/>
      <c r="L7" s="2774"/>
      <c r="M7" s="2774"/>
      <c r="N7" s="1536"/>
      <c r="O7" s="531"/>
      <c r="P7" s="784"/>
      <c r="Q7" s="791">
        <v>26</v>
      </c>
    </row>
    <row s="30636" customFormat="1" customHeight="1" ht="14.699999999999998">
      <c r="A8" s="1439"/>
      <c r="B8" s="1444"/>
      <c r="C8" s="1439"/>
      <c r="D8" s="1779"/>
      <c r="E8" s="793"/>
      <c r="F8" s="451"/>
      <c r="G8" s="451"/>
      <c r="H8" s="451"/>
      <c r="I8" s="451"/>
      <c r="J8" s="451"/>
      <c r="K8" s="451"/>
      <c r="L8" s="451"/>
      <c r="M8" s="451"/>
      <c r="N8" s="900"/>
      <c r="O8" s="784"/>
      <c r="P8" s="784"/>
      <c r="Q8" s="791">
        <v>14</v>
      </c>
    </row>
    <row s="38372" customFormat="1" customHeight="1" ht="14.25" hidden="1">
      <c r="A9" s="1752"/>
      <c r="B9" s="1762"/>
      <c r="C9" s="1752"/>
      <c r="D9" s="1779"/>
      <c r="E9" s="2198"/>
      <c r="F9" s="2198"/>
      <c r="G9" s="2198"/>
      <c r="H9" s="2198"/>
      <c r="I9" s="2777"/>
      <c r="J9" s="2777"/>
      <c r="K9" s="2777"/>
      <c r="L9" s="2198"/>
      <c r="M9" s="2199"/>
      <c r="O9" s="1829"/>
      <c r="P9" s="1829"/>
      <c r="Q9" s="1830">
        <v>0</v>
      </c>
    </row>
    <row s="30636" customFormat="1" customHeight="1" ht="14.699999999999998">
      <c r="A10" s="1439"/>
      <c r="B10" s="1444"/>
      <c r="C10" s="1439"/>
      <c r="D10" s="1779"/>
      <c r="E10" s="2411" t="s">
        <v>360</v>
      </c>
      <c r="F10" s="2411"/>
      <c r="G10" s="2411"/>
      <c r="H10" s="2411"/>
      <c r="I10" s="2411"/>
      <c r="J10" s="2411"/>
      <c r="K10" s="2411"/>
      <c r="L10" s="2411"/>
      <c r="M10" s="2385"/>
      <c r="N10" s="2762" t="s">
        <v>361</v>
      </c>
      <c r="O10" s="784"/>
      <c r="P10" s="784"/>
      <c r="Q10" s="791">
        <v>14</v>
      </c>
    </row>
    <row s="30636" customFormat="1" customHeight="1" ht="44.25">
      <c r="A11" s="1915"/>
      <c r="B11" s="1650"/>
      <c r="C11" s="1915"/>
      <c r="D11" s="1799"/>
      <c r="E11" s="2776" t="s">
        <v>91</v>
      </c>
      <c r="F11" s="2776" t="s">
        <v>364</v>
      </c>
      <c r="G11" s="2776" t="s">
        <v>1963</v>
      </c>
      <c r="H11" s="2776"/>
      <c r="I11" s="2776" t="s">
        <v>1964</v>
      </c>
      <c r="J11" s="2776"/>
      <c r="K11" s="2776"/>
      <c r="L11" s="2776" t="s">
        <v>1965</v>
      </c>
      <c r="M11" s="2764" t="s">
        <v>1966</v>
      </c>
      <c r="N11" s="2775"/>
      <c r="O11" s="1908"/>
      <c r="P11" s="1908"/>
      <c r="Q11" s="1893">
        <v>42</v>
      </c>
    </row>
    <row s="30636" customFormat="1" customHeight="1" ht="29.25">
      <c r="A12" s="1439"/>
      <c r="B12" s="1444"/>
      <c r="C12" s="1439"/>
      <c r="D12" s="1779"/>
      <c r="E12" s="2762"/>
      <c r="F12" s="2776"/>
      <c r="G12" s="2193" t="s">
        <v>1967</v>
      </c>
      <c r="H12" s="2193" t="s">
        <v>368</v>
      </c>
      <c r="I12" s="2776"/>
      <c r="J12" s="2776"/>
      <c r="K12" s="2776"/>
      <c r="L12" s="2776"/>
      <c r="M12" s="2764"/>
      <c r="N12" s="2763"/>
      <c r="O12" s="784"/>
      <c r="P12" s="784"/>
      <c r="Q12" s="791">
        <v>28</v>
      </c>
    </row>
    <row s="30681" customFormat="1" customHeight="1" ht="23.25">
      <c r="A13" s="2383">
        <v>26379339</v>
      </c>
      <c r="B13" s="1444">
        <v>1</v>
      </c>
      <c r="C13" s="1444"/>
      <c r="D13" s="1085"/>
      <c r="E13" s="2411">
        <v>1</v>
      </c>
      <c r="F13" s="2770" t="str">
        <f>IF(region_name="","",region_name)</f>
        <v>Хабаровский край</v>
      </c>
      <c r="G13" s="2771"/>
      <c r="H13" s="2778"/>
      <c r="I13" s="758"/>
      <c r="J13" s="2189">
        <v>1</v>
      </c>
      <c r="K13" s="2202"/>
      <c r="L13" s="2203"/>
      <c r="M13" s="2203"/>
      <c r="N13" s="2772" t="s">
        <v>1968</v>
      </c>
      <c r="O13" s="1819"/>
      <c r="P13" s="795"/>
      <c r="Q13" s="707">
        <v>22</v>
      </c>
    </row>
    <row s="30681" customFormat="1" customHeight="1" ht="23.25">
      <c r="A14" s="2383"/>
      <c r="B14" s="1444"/>
      <c r="C14" s="1444"/>
      <c r="D14" s="1085"/>
      <c r="E14" s="2411"/>
      <c r="F14" s="2770"/>
      <c r="G14" s="2771"/>
      <c r="H14" s="2779"/>
      <c r="I14" s="705"/>
      <c r="J14" s="1784"/>
      <c r="K14" s="1784" t="s">
        <v>1962</v>
      </c>
      <c r="L14" s="1827"/>
      <c r="M14" s="1827"/>
      <c r="N14" s="2773"/>
      <c r="O14" s="1819"/>
      <c r="P14" s="795"/>
      <c r="Q14" s="707">
        <v>22</v>
      </c>
    </row>
    <row s="30681" customFormat="1" customHeight="1" ht="23.25">
      <c r="A15" s="2383"/>
      <c r="B15" s="1444"/>
      <c r="C15" s="696"/>
      <c r="D15" s="1085"/>
      <c r="E15" s="705"/>
      <c r="F15" s="1784" t="s">
        <v>1954</v>
      </c>
      <c r="G15" s="1826"/>
      <c r="H15" s="1826"/>
      <c r="I15" s="471"/>
      <c r="J15" s="471"/>
      <c r="K15" s="471"/>
      <c r="L15" s="471"/>
      <c r="M15" s="471"/>
      <c r="N15" s="2773"/>
      <c r="O15" s="1820"/>
      <c r="P15" s="795"/>
      <c r="Q15" s="707">
        <v>22</v>
      </c>
    </row>
    <row s="30636" customFormat="1" customHeight="1" ht="22.049999999999997">
      <c r="A16" s="1439"/>
      <c r="B16" s="1444"/>
      <c r="C16" s="1439"/>
      <c r="D16" s="735"/>
      <c r="E16" s="464"/>
      <c r="F16" s="464"/>
      <c r="G16" s="464"/>
      <c r="H16" s="464"/>
      <c r="I16" s="464"/>
      <c r="J16" s="464"/>
      <c r="K16" s="464"/>
      <c r="L16" s="464"/>
      <c r="M16" s="793"/>
      <c r="N16" s="1919"/>
      <c r="O16" s="784"/>
      <c r="P16" s="784"/>
      <c r="Q16" s="791">
        <v>21</v>
      </c>
    </row>
    <row s="30636" customFormat="1" customHeight="1" ht="14.699999999999998">
      <c r="A17" s="1439"/>
      <c r="B17" s="1444"/>
      <c r="C17" s="1439"/>
      <c r="D17" s="735"/>
      <c r="E17" s="1439"/>
      <c r="F17" s="1439"/>
      <c r="G17" s="1439"/>
      <c r="H17" s="1439"/>
      <c r="I17" s="1439"/>
      <c r="J17" s="1439"/>
      <c r="K17" s="1439"/>
      <c r="L17" s="1439"/>
      <c r="M17" s="1439"/>
      <c r="N17" s="1915"/>
      <c r="O17" s="784"/>
      <c r="P17" s="784"/>
      <c r="Q17" s="791">
        <v>14</v>
      </c>
    </row>
    <row s="30636" customFormat="1" customHeight="1" ht="1.05">
      <c r="A18" s="1439"/>
      <c r="B18" s="1444"/>
      <c r="C18" s="1439"/>
      <c r="D18" s="735"/>
      <c r="E18" s="1439"/>
      <c r="F18" s="1439"/>
      <c r="G18" s="1439"/>
      <c r="H18" s="1439"/>
      <c r="I18" s="1439"/>
      <c r="J18" s="1439"/>
      <c r="K18" s="1439"/>
      <c r="L18" s="1439"/>
      <c r="M18" s="1439"/>
      <c r="N18" s="1915"/>
      <c r="O18" s="784"/>
      <c r="P18" s="784"/>
      <c r="Q18" s="791">
        <v>1</v>
      </c>
    </row>
    <row customHeight="1" ht="22.5" hidden="1">
      <c r="A19" s="1439" t="s">
        <v>85</v>
      </c>
      <c r="B19" s="1444">
        <v>0</v>
      </c>
      <c r="C19" s="1439">
        <v>0</v>
      </c>
      <c r="D19" s="735">
        <v>3</v>
      </c>
      <c r="E19" s="1439">
        <v>6</v>
      </c>
      <c r="F19" s="1439">
        <v>27</v>
      </c>
      <c r="G19" s="1439">
        <v>29</v>
      </c>
      <c r="H19" s="1439">
        <v>25</v>
      </c>
      <c r="I19" s="1439">
        <v>5</v>
      </c>
      <c r="J19" s="1439">
        <v>6</v>
      </c>
      <c r="K19" s="1439">
        <v>41</v>
      </c>
      <c r="L19" s="1439">
        <v>42</v>
      </c>
      <c r="M19" s="1439">
        <v>41</v>
      </c>
      <c r="N19" s="1915">
        <v>89</v>
      </c>
      <c r="O19" s="784">
        <v>3</v>
      </c>
      <c r="P19" s="784">
        <v>8</v>
      </c>
      <c r="Q19" s="1439">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933E44-552F-8ABB-1BCF-AC0FF77A6E0D}"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1128" width="9.140625" hidden="1"/>
    <col min="2" max="2" style="38057" width="9.140625" hidden="1"/>
    <col min="3" max="3" style="38412" width="3.00390625" customWidth="1"/>
    <col min="4" max="4" style="38057" width="6.00390625" customWidth="1"/>
    <col min="5" max="5" style="38057" width="22.00390625" customWidth="1"/>
    <col min="6" max="6" style="38057" width="15.00390625" customWidth="1"/>
    <col min="7" max="7" style="38057" width="14.00390625" customWidth="1"/>
    <col min="8" max="8" style="38057" width="47.00390625" customWidth="1"/>
    <col min="9" max="9" style="38057" width="115.00390625" customWidth="1"/>
    <col min="10" max="10" style="38057" width="3.00390625" customWidth="1"/>
    <col min="11" max="12" style="38057" width="8.00390625" customWidth="1"/>
    <col min="13" max="13" style="38057" width="9.140625" hidden="1"/>
  </cols>
  <sheetData>
    <row customHeight="1" ht="14.25" hidden="1">
      <c r="M1" s="405" t="s">
        <v>14</v>
      </c>
    </row>
    <row customHeight="1" ht="14.25" hidden="1">
      <c r="M2" s="405">
        <v>0</v>
      </c>
    </row>
    <row customHeight="1" ht="14.25" hidden="1">
      <c r="M3" s="405">
        <v>0</v>
      </c>
    </row>
    <row customHeight="1" ht="3">
      <c r="M4" s="405">
        <v>3</v>
      </c>
    </row>
    <row s="30541" customFormat="1" customHeight="1" ht="31.5">
      <c r="A5" s="399"/>
      <c r="C5" s="374"/>
      <c r="D5" s="2384" t="s">
        <v>1969</v>
      </c>
      <c r="E5" s="2384"/>
      <c r="F5" s="2384"/>
      <c r="G5" s="2384"/>
      <c r="H5" s="2384"/>
      <c r="I5" s="549"/>
      <c r="M5" s="367">
        <v>30</v>
      </c>
    </row>
    <row customHeight="1" ht="3" hidden="1">
      <c r="D6" s="406"/>
      <c r="E6" s="406"/>
      <c r="F6" s="406"/>
      <c r="G6" s="406"/>
      <c r="H6" s="406"/>
      <c r="I6" s="406"/>
      <c r="M6" s="405">
        <v>0</v>
      </c>
    </row>
    <row s="31128" customFormat="1" customHeight="1" ht="14.699999999999998">
      <c r="B7" s="403"/>
      <c r="C7" s="404"/>
      <c r="D7" s="407"/>
      <c r="E7" s="407"/>
      <c r="F7" s="407"/>
      <c r="G7" s="407"/>
      <c r="H7" s="1036"/>
      <c r="I7" s="407"/>
      <c r="J7" s="408"/>
      <c r="M7" s="402">
        <v>14</v>
      </c>
    </row>
    <row customHeight="1" ht="14.699999999999998">
      <c r="D8" s="2493" t="s">
        <v>360</v>
      </c>
      <c r="E8" s="2493"/>
      <c r="F8" s="2493"/>
      <c r="G8" s="2493"/>
      <c r="H8" s="2493"/>
      <c r="I8" s="2493" t="s">
        <v>361</v>
      </c>
      <c r="M8" s="405">
        <v>14</v>
      </c>
    </row>
    <row customHeight="1" ht="29.25">
      <c r="D9" s="2493" t="s">
        <v>91</v>
      </c>
      <c r="E9" s="2493" t="s">
        <v>1970</v>
      </c>
      <c r="F9" s="2493"/>
      <c r="G9" s="2493"/>
      <c r="H9" s="2493"/>
      <c r="I9" s="2493"/>
      <c r="M9" s="405">
        <v>28</v>
      </c>
    </row>
    <row customHeight="1" ht="24">
      <c r="D10" s="2493"/>
      <c r="E10" s="411" t="s">
        <v>1971</v>
      </c>
      <c r="F10" s="411" t="s">
        <v>1972</v>
      </c>
      <c r="G10" s="411" t="s">
        <v>1973</v>
      </c>
      <c r="H10" s="411" t="s">
        <v>450</v>
      </c>
      <c r="I10" s="2493"/>
      <c r="M10" s="405">
        <v>23</v>
      </c>
    </row>
    <row customHeight="1" ht="12" hidden="1">
      <c r="D11" s="371" t="s">
        <v>141</v>
      </c>
      <c r="E11" s="371" t="s">
        <v>94</v>
      </c>
      <c r="F11" s="371" t="s">
        <v>124</v>
      </c>
      <c r="G11" s="371" t="s">
        <v>95</v>
      </c>
      <c r="H11" s="371" t="s">
        <v>96</v>
      </c>
      <c r="I11" s="371" t="s">
        <v>142</v>
      </c>
      <c r="M11" s="405">
        <v>0</v>
      </c>
    </row>
    <row s="38057" customFormat="1" customHeight="1" ht="26.25">
      <c r="A12" s="429" t="s">
        <v>93</v>
      </c>
      <c r="B12" s="409" t="s">
        <v>28</v>
      </c>
      <c r="C12" s="410"/>
      <c r="D12" s="412" t="s">
        <v>141</v>
      </c>
      <c r="E12" s="665"/>
      <c r="F12" s="665"/>
      <c r="G12" s="2018" t="s">
        <v>28</v>
      </c>
      <c r="H12" s="666"/>
      <c r="I12" s="2453" t="s">
        <v>1974</v>
      </c>
      <c r="K12" s="556"/>
      <c r="L12" s="557"/>
      <c r="M12" s="401">
        <v>25</v>
      </c>
    </row>
    <row customHeight="1" ht="15.75">
      <c r="A13" s="405"/>
      <c r="B13" s="405"/>
      <c r="C13" s="405"/>
      <c r="D13" s="393"/>
      <c r="E13" s="414" t="s">
        <v>540</v>
      </c>
      <c r="F13" s="413"/>
      <c r="G13" s="413"/>
      <c r="H13" s="498"/>
      <c r="I13" s="2455"/>
      <c r="M13" s="405">
        <v>15</v>
      </c>
    </row>
    <row customHeight="1" ht="3">
      <c r="A14" s="405"/>
      <c r="B14" s="405"/>
      <c r="C14" s="405"/>
      <c r="M14" s="405">
        <v>3</v>
      </c>
    </row>
    <row customHeight="1" ht="29.25">
      <c r="E15" s="2780" t="s">
        <v>1975</v>
      </c>
      <c r="F15" s="2780"/>
      <c r="G15" s="2780"/>
      <c r="H15" s="2780"/>
      <c r="M15" s="405">
        <v>28</v>
      </c>
    </row>
    <row customHeight="1" ht="14.25" hidden="1">
      <c r="A16" s="402" t="s">
        <v>85</v>
      </c>
      <c r="B16" s="403">
        <v>0</v>
      </c>
      <c r="C16" s="404">
        <v>3</v>
      </c>
      <c r="D16" s="405">
        <v>6</v>
      </c>
      <c r="E16" s="405">
        <v>22</v>
      </c>
      <c r="F16" s="405">
        <v>15</v>
      </c>
      <c r="G16" s="405">
        <v>14</v>
      </c>
      <c r="H16" s="405">
        <v>47</v>
      </c>
      <c r="I16" s="405">
        <v>115</v>
      </c>
      <c r="J16" s="405">
        <v>3</v>
      </c>
      <c r="K16" s="405">
        <v>8</v>
      </c>
      <c r="L16" s="405">
        <v>8</v>
      </c>
      <c r="M16" s="405">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CB07A5-D949-5688-0C5A-629B6D131731}"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E12" sqref="E12"/>
    </sheetView>
  </sheetViews>
  <sheetFormatPr defaultColWidth="9.140625" customHeight="1" defaultRowHeight="14.25"/>
  <cols>
    <col min="1" max="2" style="38431" width="9.140625" hidden="1"/>
    <col min="3" max="3" style="38432" width="3.00390625" customWidth="1"/>
    <col min="4" max="4" style="38431" width="6.00390625" customWidth="1"/>
    <col min="5" max="5" style="38431" width="94.00390625" customWidth="1"/>
    <col min="6" max="9" style="38431" width="8.00390625" customWidth="1"/>
    <col min="10" max="10" style="38431" width="9.140625" hidden="1"/>
  </cols>
  <sheetData>
    <row customHeight="1" ht="14.25" hidden="1">
      <c r="J1" s="353" t="s">
        <v>14</v>
      </c>
    </row>
    <row customHeight="1" ht="14.25" hidden="1">
      <c r="J2" s="353">
        <v>0</v>
      </c>
    </row>
    <row customHeight="1" ht="14.25" hidden="1">
      <c r="J3" s="353">
        <v>0</v>
      </c>
    </row>
    <row customHeight="1" ht="14.25" hidden="1">
      <c r="J4" s="353">
        <v>0</v>
      </c>
    </row>
    <row customHeight="1" ht="14.25" hidden="1">
      <c r="J5" s="353">
        <v>0</v>
      </c>
    </row>
    <row customHeight="1" ht="3">
      <c r="C6" s="376"/>
      <c r="D6" s="354"/>
      <c r="E6" s="354"/>
      <c r="J6" s="353">
        <v>3</v>
      </c>
    </row>
    <row customHeight="1" ht="23.25">
      <c r="C7" s="376"/>
      <c r="D7" s="2781" t="s">
        <v>1976</v>
      </c>
      <c r="E7" s="2782"/>
      <c r="F7" s="551"/>
      <c r="J7" s="353">
        <v>22</v>
      </c>
    </row>
    <row customHeight="1" ht="3">
      <c r="C8" s="376"/>
      <c r="D8" s="354"/>
      <c r="E8" s="354"/>
      <c r="J8" s="353">
        <v>3</v>
      </c>
    </row>
    <row customHeight="1" ht="16.8">
      <c r="C9" s="376"/>
      <c r="D9" s="389" t="s">
        <v>91</v>
      </c>
      <c r="E9" s="544" t="s">
        <v>1977</v>
      </c>
      <c r="J9" s="353">
        <v>16</v>
      </c>
    </row>
    <row customHeight="1" ht="1.05">
      <c r="C10" s="376"/>
      <c r="D10" s="371"/>
      <c r="E10" s="371"/>
      <c r="J10" s="353">
        <v>1</v>
      </c>
    </row>
    <row customHeight="1" ht="11.25" hidden="1">
      <c r="C11" s="376"/>
      <c r="D11" s="434">
        <v>0</v>
      </c>
      <c r="E11" s="545"/>
      <c r="J11" s="353">
        <v>0</v>
      </c>
    </row>
    <row customHeight="1" ht="15.75">
      <c r="C12" s="420"/>
      <c r="D12" s="397">
        <v>1</v>
      </c>
      <c r="E12" s="661" t="s">
        <v>1978</v>
      </c>
      <c r="J12" s="353">
        <v>15</v>
      </c>
    </row>
    <row customHeight="1" ht="12.75">
      <c r="C13" s="376"/>
      <c r="D13" s="546"/>
      <c r="E13" s="547" t="s">
        <v>1979</v>
      </c>
      <c r="J13" s="353">
        <v>12</v>
      </c>
    </row>
    <row customHeight="1" ht="3">
      <c r="J14" s="353">
        <v>3</v>
      </c>
    </row>
    <row customHeight="1" ht="23.25">
      <c r="C15" s="421"/>
      <c r="D15" s="2783" t="s">
        <v>1980</v>
      </c>
      <c r="E15" s="2783"/>
      <c r="F15" s="422"/>
      <c r="G15" s="422"/>
      <c r="H15" s="422"/>
      <c r="I15" s="422"/>
      <c r="J15" s="353">
        <v>22</v>
      </c>
    </row>
    <row customHeight="1" ht="14.25" hidden="1">
      <c r="A16" s="353" t="s">
        <v>85</v>
      </c>
      <c r="B16" s="353">
        <v>0</v>
      </c>
      <c r="C16" s="375">
        <v>3</v>
      </c>
      <c r="D16" s="353">
        <v>6</v>
      </c>
      <c r="E16" s="353">
        <v>94</v>
      </c>
      <c r="F16" s="353">
        <v>8</v>
      </c>
      <c r="G16" s="353">
        <v>8</v>
      </c>
      <c r="H16" s="353">
        <v>8</v>
      </c>
      <c r="I16" s="353">
        <v>8</v>
      </c>
      <c r="J16" s="353">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3C78D3-4511-C93C-1F3C-E9AE5E38CF0E}" mc:Ignorable="x14ac xr xr2 xr3">
  <sheetPr>
    <tabColor rgb="FFCCCCFF"/>
    <pageSetUpPr fitToPage="1"/>
  </sheetPr>
  <dimension ref="A1:M13"/>
  <sheetViews>
    <sheetView topLeftCell="C6" showGridLines="0" zoomScale="90" workbookViewId="0">
      <selection activeCell="C12" sqref="C12"/>
    </sheetView>
  </sheetViews>
  <sheetFormatPr defaultColWidth="9.140625" customHeight="1" defaultRowHeight="14.25"/>
  <cols>
    <col min="1" max="2" style="38431" width="9.140625" hidden="1"/>
    <col min="3" max="3" style="38432" width="3.00390625" customWidth="1"/>
    <col min="4" max="4" style="38431" width="6.00390625" customWidth="1"/>
    <col min="5" max="5" style="38431" width="94.00390625" customWidth="1"/>
    <col min="6" max="12" style="38431" width="8.00390625" customWidth="1"/>
    <col min="13" max="13" style="38431" width="9.140625" hidden="1"/>
  </cols>
  <sheetData>
    <row customHeight="1" ht="14.25" hidden="1">
      <c r="L1" s="548"/>
      <c r="M1" s="353" t="s">
        <v>14</v>
      </c>
    </row>
    <row customHeight="1" ht="14.25" hidden="1">
      <c r="M2" s="353">
        <v>0</v>
      </c>
    </row>
    <row customHeight="1" ht="14.25" hidden="1">
      <c r="M3" s="353">
        <v>0</v>
      </c>
    </row>
    <row customHeight="1" ht="14.25" hidden="1">
      <c r="M4" s="353">
        <v>0</v>
      </c>
    </row>
    <row customHeight="1" ht="14.25" hidden="1">
      <c r="M5" s="353">
        <v>0</v>
      </c>
    </row>
    <row customHeight="1" ht="3">
      <c r="C6" s="376"/>
      <c r="D6" s="354"/>
      <c r="E6" s="354"/>
      <c r="M6" s="353">
        <v>3</v>
      </c>
    </row>
    <row customHeight="1" ht="23.25">
      <c r="C7" s="376"/>
      <c r="D7" s="2384" t="s">
        <v>1981</v>
      </c>
      <c r="E7" s="2384"/>
      <c r="F7" s="551"/>
      <c r="M7" s="353">
        <v>22</v>
      </c>
    </row>
    <row customHeight="1" ht="3">
      <c r="C8" s="376"/>
      <c r="D8" s="354"/>
      <c r="E8" s="354"/>
      <c r="M8" s="353">
        <v>3</v>
      </c>
    </row>
    <row customHeight="1" ht="16.8">
      <c r="C9" s="376"/>
      <c r="D9" s="389" t="s">
        <v>91</v>
      </c>
      <c r="E9" s="392" t="s">
        <v>347</v>
      </c>
      <c r="M9" s="353">
        <v>16</v>
      </c>
    </row>
    <row customHeight="1" ht="12.75">
      <c r="C10" s="376"/>
      <c r="D10" s="371" t="s">
        <v>141</v>
      </c>
      <c r="E10" s="371" t="s">
        <v>105</v>
      </c>
      <c r="M10" s="353">
        <v>12</v>
      </c>
    </row>
    <row customHeight="1" ht="15" hidden="1">
      <c r="C11" s="376"/>
      <c r="D11" s="397">
        <v>0</v>
      </c>
      <c r="E11" s="433"/>
      <c r="M11" s="353">
        <v>0</v>
      </c>
    </row>
    <row customHeight="1" ht="14.699999999999998">
      <c r="C12" s="376"/>
      <c r="D12" s="393"/>
      <c r="E12" s="391" t="s">
        <v>1979</v>
      </c>
      <c r="M12" s="353">
        <v>14</v>
      </c>
    </row>
    <row customHeight="1" ht="14.25" hidden="1">
      <c r="A13" s="353" t="s">
        <v>85</v>
      </c>
      <c r="B13" s="353">
        <v>0</v>
      </c>
      <c r="C13" s="375">
        <v>3</v>
      </c>
      <c r="D13" s="353">
        <v>6</v>
      </c>
      <c r="E13" s="353">
        <v>94</v>
      </c>
      <c r="F13" s="353">
        <v>8</v>
      </c>
      <c r="G13" s="353">
        <v>8</v>
      </c>
      <c r="H13" s="353">
        <v>8</v>
      </c>
      <c r="I13" s="353">
        <v>8</v>
      </c>
      <c r="J13" s="353">
        <v>8</v>
      </c>
      <c r="K13" s="353">
        <v>8</v>
      </c>
      <c r="L13" s="353">
        <v>8</v>
      </c>
      <c r="M13" s="353">
        <v>14</v>
      </c>
    </row>
  </sheetData>
  <sheetProtection sheet="1" formatColumns="0" formatRows="0" autoFilter="0" sort="1" insertRows="1" insertColumns="1" deleteRows="1" deleteColumns="1"/>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B0E449-45BB-16FB-5BD7-A307FA3E0554}"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30681" width="9.140625" hidden="1"/>
    <col min="3" max="4" style="30681" width="3.00390625" customWidth="1"/>
    <col min="5" max="6" style="30681" width="15.00390625" customWidth="1"/>
    <col min="7" max="7" style="30681" width="11.57421875" customWidth="1"/>
    <col min="8" max="9" style="30681" width="3.00390625" customWidth="1"/>
    <col min="10" max="10" style="30681" width="12.00390625" customWidth="1"/>
    <col min="11" max="11" style="30681" width="0.28125" customWidth="1"/>
    <col min="12" max="13" style="30681" width="10.00390625" customWidth="1"/>
    <col min="14" max="15" style="30681" width="3.00390625" customWidth="1"/>
    <col min="16" max="16" style="30681" width="19.00390625" customWidth="1"/>
    <col min="17" max="17" style="30681" width="0.28125" customWidth="1"/>
    <col min="18" max="19" style="30681" width="10.00390625" customWidth="1"/>
    <col min="20" max="21" style="30681" width="3.00390625" customWidth="1"/>
    <col min="22" max="22" style="30681" width="25.00390625" customWidth="1"/>
    <col min="23" max="23" style="30681" width="0.28125" customWidth="1"/>
    <col min="24" max="25" style="30681" width="10.00390625" customWidth="1"/>
    <col min="26" max="27" style="30681" width="3.00390625" customWidth="1"/>
    <col min="28" max="28" style="30681" width="16.00390625" customWidth="1"/>
    <col min="29" max="29" style="30681" width="0.28125" customWidth="1"/>
    <col min="30" max="31" style="30681" width="10.00390625" customWidth="1"/>
    <col min="32" max="33" style="30681" width="3.00390625" customWidth="1"/>
    <col min="34" max="34" style="30681" width="8.00390625" customWidth="1"/>
    <col min="35" max="35" style="30681" width="21.00390625" customWidth="1"/>
    <col min="36" max="36" style="30681" width="8.00390625" customWidth="1"/>
    <col min="37" max="37" style="31128" width="8.00390625" customWidth="1"/>
    <col min="38" max="64" style="30681" width="8.00390625" customWidth="1"/>
    <col min="65" max="65" style="30681" width="9.140625" hidden="1"/>
  </cols>
  <sheetData>
    <row s="31054" customFormat="1" customHeight="1" ht="11.25" hidden="1">
      <c r="AJ1" s="706"/>
      <c r="AK1" s="706"/>
      <c r="AL1" s="706"/>
      <c r="AM1" s="706"/>
      <c r="AN1" s="706"/>
      <c r="AO1" s="706"/>
      <c r="AP1" s="706"/>
      <c r="AQ1" s="706"/>
      <c r="AR1" s="706"/>
      <c r="AS1" s="706"/>
      <c r="AT1" s="706"/>
      <c r="AU1" s="706"/>
      <c r="AV1" s="706"/>
      <c r="AW1" s="706"/>
      <c r="AX1" s="706"/>
      <c r="AY1" s="706"/>
      <c r="AZ1" s="706"/>
      <c r="BA1" s="706"/>
      <c r="BB1" s="706"/>
      <c r="BC1" s="706"/>
      <c r="BD1" s="706"/>
      <c r="BE1" s="706"/>
      <c r="BF1" s="706"/>
      <c r="BG1" s="706"/>
      <c r="BH1" s="706"/>
      <c r="BI1" s="706"/>
      <c r="BJ1" s="706"/>
      <c r="BK1" s="706"/>
      <c r="BL1" s="706"/>
      <c r="BM1" s="703" t="s">
        <v>14</v>
      </c>
    </row>
    <row s="31055" customFormat="1" customHeight="1" ht="11.25" hidden="1">
      <c r="L2" s="1837" t="s">
        <v>339</v>
      </c>
      <c r="M2" s="1837" t="s">
        <v>340</v>
      </c>
      <c r="R2" s="1837" t="s">
        <v>341</v>
      </c>
      <c r="S2" s="1837" t="s">
        <v>340</v>
      </c>
      <c r="X2" s="1837" t="s">
        <v>339</v>
      </c>
      <c r="Y2" s="1837" t="s">
        <v>340</v>
      </c>
      <c r="AD2" s="1837" t="s">
        <v>339</v>
      </c>
      <c r="AE2" s="1837" t="s">
        <v>340</v>
      </c>
      <c r="AJ2" s="1859"/>
      <c r="AK2" s="1859"/>
      <c r="AL2" s="1859"/>
      <c r="AM2" s="1859"/>
      <c r="AN2" s="1859"/>
      <c r="AO2" s="1859"/>
      <c r="AP2" s="1859"/>
      <c r="AQ2" s="1859"/>
      <c r="AR2" s="1859"/>
      <c r="AS2" s="1859"/>
      <c r="AT2" s="1859"/>
      <c r="AU2" s="1859"/>
      <c r="AV2" s="1859"/>
      <c r="AW2" s="1859"/>
      <c r="AX2" s="1859"/>
      <c r="AY2" s="1859"/>
      <c r="AZ2" s="1859"/>
      <c r="BA2" s="1859"/>
      <c r="BB2" s="1859"/>
      <c r="BC2" s="1859"/>
      <c r="BD2" s="1859"/>
      <c r="BE2" s="1859"/>
      <c r="BF2" s="1859"/>
      <c r="BG2" s="1859"/>
      <c r="BH2" s="1859"/>
      <c r="BI2" s="1859"/>
      <c r="BJ2" s="1859"/>
      <c r="BK2" s="1859"/>
      <c r="BL2" s="1859"/>
      <c r="BM2" s="1837">
        <v>0</v>
      </c>
    </row>
    <row s="31058" customFormat="1" customHeight="1" ht="11.549999999999999">
      <c r="AJ3" s="1858"/>
      <c r="AK3" s="590"/>
      <c r="AL3" s="1858"/>
      <c r="AM3" s="1858"/>
      <c r="AN3" s="1858"/>
      <c r="AO3" s="1858"/>
      <c r="AP3" s="1858"/>
      <c r="AQ3" s="1858"/>
      <c r="AR3" s="1858"/>
      <c r="AS3" s="1858"/>
      <c r="AT3" s="1858"/>
      <c r="AU3" s="1858"/>
      <c r="AV3" s="1858"/>
      <c r="AW3" s="1858"/>
      <c r="AX3" s="1858"/>
      <c r="AY3" s="1858"/>
      <c r="AZ3" s="1858"/>
      <c r="BA3" s="1858"/>
      <c r="BB3" s="1858"/>
      <c r="BC3" s="1858"/>
      <c r="BD3" s="1858"/>
      <c r="BE3" s="1858"/>
      <c r="BF3" s="1858"/>
      <c r="BG3" s="1858"/>
      <c r="BH3" s="1858"/>
      <c r="BI3" s="1858"/>
      <c r="BJ3" s="1858"/>
      <c r="BK3" s="1858"/>
      <c r="BL3" s="1858"/>
      <c r="BM3" s="1838">
        <v>11</v>
      </c>
    </row>
    <row s="30636" customFormat="1" customHeight="1" ht="34.5">
      <c r="A4" s="1440"/>
      <c r="B4" s="1439"/>
      <c r="C4" s="1799"/>
      <c r="D4" s="2475" t="s">
        <v>342</v>
      </c>
      <c r="E4" s="2475"/>
      <c r="F4" s="2475"/>
      <c r="G4" s="2475"/>
      <c r="H4" s="2475"/>
      <c r="I4" s="2475"/>
      <c r="J4" s="2475"/>
      <c r="K4" s="983"/>
      <c r="T4" s="1839"/>
      <c r="AJ4" s="1860"/>
      <c r="AK4" s="1861"/>
      <c r="AL4" s="1860"/>
      <c r="AM4" s="1860"/>
      <c r="AN4" s="1860"/>
      <c r="AO4" s="1860"/>
      <c r="AP4" s="1860"/>
      <c r="AQ4" s="1860"/>
      <c r="AR4" s="1860"/>
      <c r="AS4" s="1860"/>
      <c r="AT4" s="1860"/>
      <c r="AU4" s="1860"/>
      <c r="AV4" s="1860"/>
      <c r="AW4" s="1860"/>
      <c r="AX4" s="1860"/>
      <c r="AY4" s="1860"/>
      <c r="AZ4" s="1860"/>
      <c r="BA4" s="1860"/>
      <c r="BB4" s="1860"/>
      <c r="BC4" s="1860"/>
      <c r="BD4" s="1860"/>
      <c r="BE4" s="1860"/>
      <c r="BF4" s="1860"/>
      <c r="BG4" s="1860"/>
      <c r="BH4" s="1860"/>
      <c r="BI4" s="1860"/>
      <c r="BJ4" s="1860"/>
      <c r="BK4" s="1860"/>
      <c r="BL4" s="1860"/>
      <c r="BM4" s="791">
        <v>33</v>
      </c>
    </row>
    <row s="30636" customFormat="1" customHeight="1" ht="14.699999999999998">
      <c r="A5" s="1916"/>
      <c r="B5" s="1915"/>
      <c r="C5" s="1799"/>
      <c r="D5" s="2460" t="str">
        <f>IF(org=0,"Не определено",org)</f>
        <v>АО "ДГК"</v>
      </c>
      <c r="E5" s="2460"/>
      <c r="F5" s="2460"/>
      <c r="G5" s="2460"/>
      <c r="H5" s="2460"/>
      <c r="I5" s="2460"/>
      <c r="J5" s="2460"/>
      <c r="K5" s="983"/>
      <c r="T5" s="1839"/>
      <c r="AJ5" s="1860"/>
      <c r="AK5" s="1861"/>
      <c r="AL5" s="1860"/>
      <c r="AM5" s="1860"/>
      <c r="AN5" s="1860"/>
      <c r="AO5" s="1860"/>
      <c r="AP5" s="1860"/>
      <c r="AQ5" s="1860"/>
      <c r="AR5" s="1860"/>
      <c r="AS5" s="1860"/>
      <c r="AT5" s="1860"/>
      <c r="AU5" s="1860"/>
      <c r="AV5" s="1860"/>
      <c r="AW5" s="1860"/>
      <c r="AX5" s="1860"/>
      <c r="AY5" s="1860"/>
      <c r="AZ5" s="1860"/>
      <c r="BA5" s="1860"/>
      <c r="BB5" s="1860"/>
      <c r="BC5" s="1860"/>
      <c r="BD5" s="1860"/>
      <c r="BE5" s="1860"/>
      <c r="BF5" s="1860"/>
      <c r="BG5" s="1860"/>
      <c r="BH5" s="1860"/>
      <c r="BI5" s="1860"/>
      <c r="BJ5" s="1860"/>
      <c r="BK5" s="1860"/>
      <c r="BL5" s="1860"/>
      <c r="BM5" s="1893">
        <v>14</v>
      </c>
    </row>
    <row s="30636" customFormat="1" customHeight="1" ht="14.699999999999998">
      <c r="A6" s="1440"/>
      <c r="B6" s="1439"/>
      <c r="C6" s="1799"/>
      <c r="D6" s="983"/>
      <c r="E6" s="983"/>
      <c r="F6" s="983"/>
      <c r="G6" s="983"/>
      <c r="H6" s="983"/>
      <c r="I6" s="983"/>
      <c r="J6" s="983"/>
      <c r="K6" s="983"/>
      <c r="T6" s="1839"/>
      <c r="AJ6" s="1860"/>
      <c r="AK6" s="1861"/>
      <c r="AL6" s="1860"/>
      <c r="AM6" s="1860"/>
      <c r="AN6" s="1860"/>
      <c r="AO6" s="1860"/>
      <c r="AP6" s="1860"/>
      <c r="AQ6" s="1860"/>
      <c r="AR6" s="1860"/>
      <c r="AS6" s="1860"/>
      <c r="AT6" s="1860"/>
      <c r="AU6" s="1860"/>
      <c r="AV6" s="1860"/>
      <c r="AW6" s="1860"/>
      <c r="AX6" s="1860"/>
      <c r="AY6" s="1860"/>
      <c r="AZ6" s="1860"/>
      <c r="BA6" s="1860"/>
      <c r="BB6" s="1860"/>
      <c r="BC6" s="1860"/>
      <c r="BD6" s="1860"/>
      <c r="BE6" s="1860"/>
      <c r="BF6" s="1860"/>
      <c r="BG6" s="1860"/>
      <c r="BH6" s="1860"/>
      <c r="BI6" s="1860"/>
      <c r="BJ6" s="1860"/>
      <c r="BK6" s="1860"/>
      <c r="BL6" s="1860"/>
      <c r="BM6" s="791">
        <v>14</v>
      </c>
    </row>
    <row s="31054" customFormat="1" customHeight="1" ht="1.05">
      <c r="AJ7" s="706"/>
      <c r="AK7" s="706"/>
      <c r="AL7" s="706"/>
      <c r="AM7" s="706"/>
      <c r="AN7" s="706"/>
      <c r="AO7" s="706"/>
      <c r="AP7" s="706"/>
      <c r="AQ7" s="706"/>
      <c r="AR7" s="706"/>
      <c r="AS7" s="706"/>
      <c r="AT7" s="706"/>
      <c r="AU7" s="706"/>
      <c r="AV7" s="706"/>
      <c r="AW7" s="706"/>
      <c r="AX7" s="706"/>
      <c r="AY7" s="706"/>
      <c r="AZ7" s="706"/>
      <c r="BA7" s="706"/>
      <c r="BB7" s="706"/>
      <c r="BC7" s="706"/>
      <c r="BD7" s="706"/>
      <c r="BE7" s="706"/>
      <c r="BF7" s="706"/>
      <c r="BG7" s="706"/>
      <c r="BH7" s="706"/>
      <c r="BI7" s="706"/>
      <c r="BJ7" s="706"/>
      <c r="BK7" s="706"/>
      <c r="BL7" s="706"/>
      <c r="BM7" s="703">
        <v>1</v>
      </c>
    </row>
    <row customHeight="1" ht="33.75">
      <c r="D8" s="2411" t="s">
        <v>91</v>
      </c>
      <c r="E8" s="2411" t="s">
        <v>137</v>
      </c>
      <c r="F8" s="2476" t="s">
        <v>152</v>
      </c>
      <c r="G8" s="2477"/>
      <c r="H8" s="2476" t="s">
        <v>91</v>
      </c>
      <c r="I8" s="2477"/>
      <c r="J8" s="2411" t="s">
        <v>153</v>
      </c>
      <c r="K8" s="1840"/>
      <c r="L8" s="2480" t="s">
        <v>343</v>
      </c>
      <c r="M8" s="2480"/>
      <c r="N8" s="2480"/>
      <c r="O8" s="2480"/>
      <c r="P8" s="2480"/>
      <c r="Q8" s="1841"/>
      <c r="R8" s="2380" t="s">
        <v>344</v>
      </c>
      <c r="S8" s="2481"/>
      <c r="T8" s="2481"/>
      <c r="U8" s="2481"/>
      <c r="V8" s="2481"/>
      <c r="W8" s="1841"/>
      <c r="X8" s="2482" t="s">
        <v>345</v>
      </c>
      <c r="Y8" s="2482"/>
      <c r="Z8" s="2482"/>
      <c r="AA8" s="2482"/>
      <c r="AB8" s="2482"/>
      <c r="AC8" s="1842"/>
      <c r="AD8" s="2411" t="s">
        <v>346</v>
      </c>
      <c r="AE8" s="2411"/>
      <c r="AF8" s="2411"/>
      <c r="AG8" s="2411"/>
      <c r="AH8" s="2385"/>
      <c r="AI8" s="2411" t="s">
        <v>347</v>
      </c>
      <c r="AJ8" s="1858"/>
      <c r="BM8" s="577">
        <v>32</v>
      </c>
    </row>
    <row customHeight="1" ht="23.25">
      <c r="D9" s="2411"/>
      <c r="E9" s="2411"/>
      <c r="F9" s="2459" t="s">
        <v>92</v>
      </c>
      <c r="G9" s="2459" t="s">
        <v>158</v>
      </c>
      <c r="H9" s="2478"/>
      <c r="I9" s="2479"/>
      <c r="J9" s="2385"/>
      <c r="K9" s="1843"/>
      <c r="L9" s="2411" t="s">
        <v>348</v>
      </c>
      <c r="M9" s="2385"/>
      <c r="N9" s="2476" t="s">
        <v>91</v>
      </c>
      <c r="O9" s="2477"/>
      <c r="P9" s="2411" t="s">
        <v>159</v>
      </c>
      <c r="Q9" s="1840"/>
      <c r="R9" s="2411" t="s">
        <v>348</v>
      </c>
      <c r="S9" s="2385"/>
      <c r="T9" s="2476" t="s">
        <v>91</v>
      </c>
      <c r="U9" s="2477"/>
      <c r="V9" s="2411" t="s">
        <v>159</v>
      </c>
      <c r="W9" s="1840"/>
      <c r="X9" s="2411" t="s">
        <v>348</v>
      </c>
      <c r="Y9" s="2385"/>
      <c r="Z9" s="2476" t="s">
        <v>91</v>
      </c>
      <c r="AA9" s="2477"/>
      <c r="AB9" s="2411" t="s">
        <v>349</v>
      </c>
      <c r="AC9" s="1840"/>
      <c r="AD9" s="2411" t="s">
        <v>348</v>
      </c>
      <c r="AE9" s="2385"/>
      <c r="AF9" s="2476" t="s">
        <v>91</v>
      </c>
      <c r="AG9" s="2477"/>
      <c r="AH9" s="2385" t="s">
        <v>349</v>
      </c>
      <c r="AI9" s="2411"/>
      <c r="AJ9" s="1858"/>
      <c r="BM9" s="577">
        <v>22</v>
      </c>
    </row>
    <row customHeight="1" ht="24">
      <c r="D10" s="2459"/>
      <c r="E10" s="2459"/>
      <c r="F10" s="2483"/>
      <c r="G10" s="2483"/>
      <c r="H10" s="2484"/>
      <c r="I10" s="2485"/>
      <c r="J10" s="2476"/>
      <c r="K10" s="1843"/>
      <c r="L10" s="1862" t="s">
        <v>350</v>
      </c>
      <c r="M10" s="1857" t="s">
        <v>351</v>
      </c>
      <c r="N10" s="2478"/>
      <c r="O10" s="2479"/>
      <c r="P10" s="2459"/>
      <c r="Q10" s="1840"/>
      <c r="R10" s="1862" t="s">
        <v>350</v>
      </c>
      <c r="S10" s="1857" t="s">
        <v>351</v>
      </c>
      <c r="T10" s="2478"/>
      <c r="U10" s="2479"/>
      <c r="V10" s="2459"/>
      <c r="W10" s="1840"/>
      <c r="X10" s="1862" t="s">
        <v>350</v>
      </c>
      <c r="Y10" s="1857" t="s">
        <v>351</v>
      </c>
      <c r="Z10" s="2478"/>
      <c r="AA10" s="2479"/>
      <c r="AB10" s="2459"/>
      <c r="AC10" s="1840"/>
      <c r="AD10" s="1862" t="s">
        <v>350</v>
      </c>
      <c r="AE10" s="1857" t="s">
        <v>351</v>
      </c>
      <c r="AF10" s="2478"/>
      <c r="AG10" s="2479"/>
      <c r="AH10" s="2476"/>
      <c r="AI10" s="2459"/>
      <c r="AJ10" s="1858"/>
      <c r="AK10" s="538" t="s">
        <v>352</v>
      </c>
      <c r="AL10" s="538" t="s">
        <v>160</v>
      </c>
      <c r="BM10" s="577">
        <v>23</v>
      </c>
    </row>
    <row customHeight="1" ht="15">
      <c r="D11" s="2467" t="s">
        <v>141</v>
      </c>
      <c r="E11" s="2463" t="s">
        <v>353</v>
      </c>
      <c r="F11" s="2463" t="s">
        <v>354</v>
      </c>
      <c r="G11" s="2469" t="s">
        <v>19</v>
      </c>
      <c r="H11" s="1883"/>
      <c r="I11" s="2465"/>
      <c r="J11" s="2436"/>
      <c r="K11" s="1798"/>
      <c r="L11" s="2421"/>
      <c r="M11" s="2421"/>
      <c r="N11" s="1868"/>
      <c r="O11" s="2421"/>
      <c r="P11" s="2436"/>
      <c r="Q11" s="1869"/>
      <c r="R11" s="2421"/>
      <c r="S11" s="2421"/>
      <c r="T11" s="1870"/>
      <c r="U11" s="2421"/>
      <c r="V11" s="2436"/>
      <c r="W11" s="1871"/>
      <c r="X11" s="2421"/>
      <c r="Y11" s="2421"/>
      <c r="Z11" s="1868"/>
      <c r="AA11" s="2421"/>
      <c r="AB11" s="2436"/>
      <c r="AC11" s="1872"/>
      <c r="AD11" s="2421"/>
      <c r="AE11" s="2421"/>
      <c r="AF11" s="1797"/>
      <c r="AG11" s="1797"/>
      <c r="AH11" s="1873"/>
      <c r="AI11" s="1580"/>
      <c r="AJ11" s="1858"/>
      <c r="BM11" s="577">
        <v>14</v>
      </c>
    </row>
    <row customHeight="1" ht="14.699999999999998">
      <c r="D12" s="2467"/>
      <c r="E12" s="2463"/>
      <c r="F12" s="2463"/>
      <c r="G12" s="2470"/>
      <c r="H12" s="1884"/>
      <c r="I12" s="2466"/>
      <c r="J12" s="2437"/>
      <c r="K12" s="1894"/>
      <c r="L12" s="2422"/>
      <c r="M12" s="2422"/>
      <c r="N12" s="1874"/>
      <c r="O12" s="2422"/>
      <c r="P12" s="2437"/>
      <c r="Q12" s="1875"/>
      <c r="R12" s="2422"/>
      <c r="S12" s="2422"/>
      <c r="T12" s="1876"/>
      <c r="U12" s="2422"/>
      <c r="V12" s="2437"/>
      <c r="W12" s="1877"/>
      <c r="X12" s="2422"/>
      <c r="Y12" s="2422"/>
      <c r="Z12" s="1874"/>
      <c r="AA12" s="2422"/>
      <c r="AB12" s="2437"/>
      <c r="AC12" s="1878"/>
      <c r="AD12" s="2422"/>
      <c r="AE12" s="2422"/>
      <c r="AF12" s="1879"/>
      <c r="AG12" s="1879"/>
      <c r="AH12" s="2461"/>
      <c r="AI12" s="2462"/>
      <c r="AJ12" s="1858"/>
      <c r="BM12" s="577">
        <v>14</v>
      </c>
    </row>
    <row customHeight="1" ht="14.699999999999998">
      <c r="D13" s="2467"/>
      <c r="E13" s="2463"/>
      <c r="F13" s="2463"/>
      <c r="G13" s="2470"/>
      <c r="H13" s="1884"/>
      <c r="I13" s="2466"/>
      <c r="J13" s="2437"/>
      <c r="K13" s="1894"/>
      <c r="L13" s="2422"/>
      <c r="M13" s="2422"/>
      <c r="N13" s="1874"/>
      <c r="O13" s="2422"/>
      <c r="P13" s="2437"/>
      <c r="Q13" s="1875"/>
      <c r="R13" s="2422"/>
      <c r="S13" s="2422"/>
      <c r="T13" s="1876"/>
      <c r="U13" s="2422"/>
      <c r="V13" s="2437"/>
      <c r="W13" s="1877"/>
      <c r="X13" s="2422"/>
      <c r="Y13" s="2422"/>
      <c r="Z13" s="1796"/>
      <c r="AA13" s="1879"/>
      <c r="AB13" s="2461"/>
      <c r="AC13" s="2461"/>
      <c r="AD13" s="2461"/>
      <c r="AE13" s="2461"/>
      <c r="AF13" s="2461"/>
      <c r="AG13" s="2461"/>
      <c r="AH13" s="2461"/>
      <c r="AI13" s="2462"/>
      <c r="AJ13" s="1858"/>
      <c r="BM13" s="577">
        <v>14</v>
      </c>
    </row>
    <row customHeight="1" ht="14.699999999999998">
      <c r="D14" s="2467"/>
      <c r="E14" s="2463"/>
      <c r="F14" s="2463"/>
      <c r="G14" s="2470"/>
      <c r="H14" s="1884"/>
      <c r="I14" s="2466"/>
      <c r="J14" s="2437"/>
      <c r="K14" s="1894"/>
      <c r="L14" s="2422"/>
      <c r="M14" s="2422"/>
      <c r="N14" s="1874"/>
      <c r="O14" s="2422"/>
      <c r="P14" s="2437"/>
      <c r="Q14" s="1875"/>
      <c r="R14" s="2422"/>
      <c r="S14" s="2422"/>
      <c r="T14" s="1880"/>
      <c r="U14" s="1881"/>
      <c r="V14" s="2461"/>
      <c r="W14" s="2461"/>
      <c r="X14" s="2461"/>
      <c r="Y14" s="2461"/>
      <c r="Z14" s="2461"/>
      <c r="AA14" s="2461"/>
      <c r="AB14" s="2461"/>
      <c r="AC14" s="2461"/>
      <c r="AD14" s="2461"/>
      <c r="AE14" s="2461"/>
      <c r="AF14" s="2461"/>
      <c r="AG14" s="2461"/>
      <c r="AH14" s="2461"/>
      <c r="AI14" s="2462"/>
      <c r="AJ14" s="1858"/>
      <c r="BM14" s="577">
        <v>14</v>
      </c>
    </row>
    <row customHeight="1" ht="11.549999999999999">
      <c r="D15" s="2467"/>
      <c r="E15" s="2463"/>
      <c r="F15" s="2463"/>
      <c r="G15" s="2470"/>
      <c r="H15" s="1885"/>
      <c r="I15" s="2466"/>
      <c r="J15" s="2437"/>
      <c r="K15" s="1894"/>
      <c r="L15" s="2422"/>
      <c r="M15" s="2422"/>
      <c r="N15" s="1879"/>
      <c r="O15" s="1879"/>
      <c r="P15" s="2461"/>
      <c r="Q15" s="2461"/>
      <c r="R15" s="2461"/>
      <c r="S15" s="2461"/>
      <c r="T15" s="2461"/>
      <c r="U15" s="2461"/>
      <c r="V15" s="2461"/>
      <c r="W15" s="2461"/>
      <c r="X15" s="2461"/>
      <c r="Y15" s="2461"/>
      <c r="Z15" s="2461"/>
      <c r="AA15" s="2461"/>
      <c r="AB15" s="2461"/>
      <c r="AC15" s="2461"/>
      <c r="AD15" s="2461"/>
      <c r="AE15" s="2461"/>
      <c r="AF15" s="2461"/>
      <c r="AG15" s="2461"/>
      <c r="AH15" s="2461"/>
      <c r="AI15" s="2462"/>
      <c r="AJ15" s="1858"/>
      <c r="BM15" s="577">
        <v>11</v>
      </c>
    </row>
    <row s="31058" customFormat="1" customHeight="1" ht="11.549999999999999">
      <c r="D16" s="2473"/>
      <c r="E16" s="2474"/>
      <c r="F16" s="2464"/>
      <c r="G16" s="2396"/>
      <c r="H16" s="1882"/>
      <c r="I16" s="1886"/>
      <c r="J16" s="2471"/>
      <c r="K16" s="2471"/>
      <c r="L16" s="2471"/>
      <c r="M16" s="2471"/>
      <c r="N16" s="2471"/>
      <c r="O16" s="2471"/>
      <c r="P16" s="2471"/>
      <c r="Q16" s="2471"/>
      <c r="R16" s="2471"/>
      <c r="S16" s="2471"/>
      <c r="T16" s="2471"/>
      <c r="U16" s="2471"/>
      <c r="V16" s="2471"/>
      <c r="W16" s="2471"/>
      <c r="X16" s="2471"/>
      <c r="Y16" s="2471"/>
      <c r="Z16" s="2471"/>
      <c r="AA16" s="2471"/>
      <c r="AB16" s="2471"/>
      <c r="AC16" s="2471"/>
      <c r="AD16" s="2471"/>
      <c r="AE16" s="2471"/>
      <c r="AF16" s="2471"/>
      <c r="AG16" s="2471"/>
      <c r="AH16" s="2471"/>
      <c r="AI16" s="2472"/>
      <c r="AJ16" s="1858"/>
      <c r="AK16" s="590"/>
      <c r="AL16" s="1858"/>
      <c r="AM16" s="1858"/>
      <c r="AN16" s="1858"/>
      <c r="AO16" s="1858"/>
      <c r="AP16" s="1858"/>
      <c r="AQ16" s="1858"/>
      <c r="AR16" s="1858"/>
      <c r="AS16" s="1858"/>
      <c r="AT16" s="1858"/>
      <c r="AU16" s="1858"/>
      <c r="AV16" s="1858"/>
      <c r="AW16" s="1858"/>
      <c r="AX16" s="1858"/>
      <c r="AY16" s="1858"/>
      <c r="AZ16" s="1858"/>
      <c r="BA16" s="1858"/>
      <c r="BB16" s="1858"/>
      <c r="BC16" s="1858"/>
      <c r="BD16" s="1858"/>
      <c r="BE16" s="1858"/>
      <c r="BF16" s="1858"/>
      <c r="BG16" s="1858"/>
      <c r="BH16" s="1858"/>
      <c r="BI16" s="1858"/>
      <c r="BJ16" s="1858"/>
      <c r="BK16" s="1858"/>
      <c r="BL16" s="1858"/>
      <c r="BM16" s="1838">
        <v>11</v>
      </c>
    </row>
    <row customHeight="1" ht="15">
      <c r="D17" s="2467" t="s">
        <v>105</v>
      </c>
      <c r="E17" s="2463" t="s">
        <v>353</v>
      </c>
      <c r="F17" s="2463" t="s">
        <v>355</v>
      </c>
      <c r="G17" s="2469" t="s">
        <v>19</v>
      </c>
      <c r="H17" s="1883"/>
      <c r="I17" s="2465"/>
      <c r="J17" s="2436"/>
      <c r="K17" s="1798"/>
      <c r="L17" s="2421"/>
      <c r="M17" s="2421"/>
      <c r="N17" s="1868"/>
      <c r="O17" s="2421"/>
      <c r="P17" s="2436"/>
      <c r="Q17" s="1869"/>
      <c r="R17" s="2421"/>
      <c r="S17" s="2421"/>
      <c r="T17" s="1870"/>
      <c r="U17" s="2421"/>
      <c r="V17" s="2436"/>
      <c r="W17" s="1871"/>
      <c r="X17" s="2421"/>
      <c r="Y17" s="2421"/>
      <c r="Z17" s="1868"/>
      <c r="AA17" s="2421"/>
      <c r="AB17" s="2436"/>
      <c r="AC17" s="1872"/>
      <c r="AD17" s="2421"/>
      <c r="AE17" s="2421"/>
      <c r="AF17" s="1797"/>
      <c r="AG17" s="1797"/>
      <c r="AH17" s="1873"/>
      <c r="AI17" s="1580"/>
      <c r="AJ17" s="1858"/>
      <c r="BM17" s="577">
        <v>14</v>
      </c>
    </row>
    <row customHeight="1" ht="14.699999999999998">
      <c r="D18" s="2467"/>
      <c r="E18" s="2463"/>
      <c r="F18" s="2463"/>
      <c r="G18" s="2470"/>
      <c r="H18" s="1884"/>
      <c r="I18" s="2466"/>
      <c r="J18" s="2437"/>
      <c r="K18" s="1867"/>
      <c r="L18" s="2422"/>
      <c r="M18" s="2422"/>
      <c r="N18" s="1874"/>
      <c r="O18" s="2422"/>
      <c r="P18" s="2437"/>
      <c r="Q18" s="1875"/>
      <c r="R18" s="2422"/>
      <c r="S18" s="2422"/>
      <c r="T18" s="1876"/>
      <c r="U18" s="2422"/>
      <c r="V18" s="2437"/>
      <c r="W18" s="1877"/>
      <c r="X18" s="2422"/>
      <c r="Y18" s="2422"/>
      <c r="Z18" s="1874"/>
      <c r="AA18" s="2422"/>
      <c r="AB18" s="2437"/>
      <c r="AC18" s="1878"/>
      <c r="AD18" s="2422"/>
      <c r="AE18" s="2422"/>
      <c r="AF18" s="1879"/>
      <c r="AG18" s="1879"/>
      <c r="AH18" s="2461"/>
      <c r="AI18" s="2462"/>
      <c r="AJ18" s="1858"/>
      <c r="BM18" s="577">
        <v>14</v>
      </c>
    </row>
    <row customHeight="1" ht="14.699999999999998">
      <c r="D19" s="2467"/>
      <c r="E19" s="2463"/>
      <c r="F19" s="2463"/>
      <c r="G19" s="2470"/>
      <c r="H19" s="1884"/>
      <c r="I19" s="2466"/>
      <c r="J19" s="2437"/>
      <c r="K19" s="1867"/>
      <c r="L19" s="2422"/>
      <c r="M19" s="2422"/>
      <c r="N19" s="1874"/>
      <c r="O19" s="2422"/>
      <c r="P19" s="2437"/>
      <c r="Q19" s="1875"/>
      <c r="R19" s="2422"/>
      <c r="S19" s="2422"/>
      <c r="T19" s="1876"/>
      <c r="U19" s="2422"/>
      <c r="V19" s="2437"/>
      <c r="W19" s="1877"/>
      <c r="X19" s="2422"/>
      <c r="Y19" s="2422"/>
      <c r="Z19" s="1796"/>
      <c r="AA19" s="1879"/>
      <c r="AB19" s="2461"/>
      <c r="AC19" s="2461"/>
      <c r="AD19" s="2461"/>
      <c r="AE19" s="2461"/>
      <c r="AF19" s="2461"/>
      <c r="AG19" s="2461"/>
      <c r="AH19" s="2461"/>
      <c r="AI19" s="2462"/>
      <c r="AJ19" s="1858"/>
      <c r="BM19" s="577">
        <v>14</v>
      </c>
    </row>
    <row customHeight="1" ht="14.699999999999998">
      <c r="D20" s="2467"/>
      <c r="E20" s="2463"/>
      <c r="F20" s="2463"/>
      <c r="G20" s="2470"/>
      <c r="H20" s="1884"/>
      <c r="I20" s="2466"/>
      <c r="J20" s="2437"/>
      <c r="K20" s="1867"/>
      <c r="L20" s="2422"/>
      <c r="M20" s="2422"/>
      <c r="N20" s="1874"/>
      <c r="O20" s="2422"/>
      <c r="P20" s="2437"/>
      <c r="Q20" s="1875"/>
      <c r="R20" s="2422"/>
      <c r="S20" s="2422"/>
      <c r="T20" s="1880"/>
      <c r="U20" s="1881"/>
      <c r="V20" s="2461"/>
      <c r="W20" s="2461"/>
      <c r="X20" s="2461"/>
      <c r="Y20" s="2461"/>
      <c r="Z20" s="2461"/>
      <c r="AA20" s="2461"/>
      <c r="AB20" s="2461"/>
      <c r="AC20" s="2461"/>
      <c r="AD20" s="2461"/>
      <c r="AE20" s="2461"/>
      <c r="AF20" s="2461"/>
      <c r="AG20" s="2461"/>
      <c r="AH20" s="2461"/>
      <c r="AI20" s="2462"/>
      <c r="AJ20" s="1858"/>
      <c r="BM20" s="577">
        <v>14</v>
      </c>
    </row>
    <row customHeight="1" ht="11.549999999999999">
      <c r="D21" s="2467"/>
      <c r="E21" s="2463"/>
      <c r="F21" s="2463"/>
      <c r="G21" s="2470"/>
      <c r="H21" s="1885"/>
      <c r="I21" s="2466"/>
      <c r="J21" s="2437"/>
      <c r="K21" s="1867"/>
      <c r="L21" s="2422"/>
      <c r="M21" s="2422"/>
      <c r="N21" s="1879"/>
      <c r="O21" s="1879"/>
      <c r="P21" s="2461"/>
      <c r="Q21" s="2461"/>
      <c r="R21" s="2461"/>
      <c r="S21" s="2461"/>
      <c r="T21" s="2461"/>
      <c r="U21" s="2461"/>
      <c r="V21" s="2461"/>
      <c r="W21" s="2461"/>
      <c r="X21" s="2461"/>
      <c r="Y21" s="2461"/>
      <c r="Z21" s="2461"/>
      <c r="AA21" s="2461"/>
      <c r="AB21" s="2461"/>
      <c r="AC21" s="2461"/>
      <c r="AD21" s="2461"/>
      <c r="AE21" s="2461"/>
      <c r="AF21" s="2461"/>
      <c r="AG21" s="2461"/>
      <c r="AH21" s="2461"/>
      <c r="AI21" s="2462"/>
      <c r="AJ21" s="1858"/>
      <c r="BM21" s="577">
        <v>11</v>
      </c>
    </row>
    <row s="31058" customFormat="1" customHeight="1" ht="11.549999999999999">
      <c r="D22" s="2473"/>
      <c r="E22" s="2474"/>
      <c r="F22" s="2464"/>
      <c r="G22" s="2396"/>
      <c r="H22" s="1882"/>
      <c r="I22" s="1886"/>
      <c r="J22" s="2471"/>
      <c r="K22" s="2471"/>
      <c r="L22" s="2471"/>
      <c r="M22" s="2471"/>
      <c r="N22" s="2471"/>
      <c r="O22" s="2471"/>
      <c r="P22" s="2471"/>
      <c r="Q22" s="2471"/>
      <c r="R22" s="2471"/>
      <c r="S22" s="2471"/>
      <c r="T22" s="2471"/>
      <c r="U22" s="2471"/>
      <c r="V22" s="2471"/>
      <c r="W22" s="2471"/>
      <c r="X22" s="2471"/>
      <c r="Y22" s="2471"/>
      <c r="Z22" s="2471"/>
      <c r="AA22" s="2471"/>
      <c r="AB22" s="2471"/>
      <c r="AC22" s="2471"/>
      <c r="AD22" s="2471"/>
      <c r="AE22" s="2471"/>
      <c r="AF22" s="2471"/>
      <c r="AG22" s="2471"/>
      <c r="AH22" s="2471"/>
      <c r="AI22" s="2472"/>
      <c r="AJ22" s="1858"/>
      <c r="AK22" s="590"/>
      <c r="AL22" s="1858"/>
      <c r="AM22" s="1858"/>
      <c r="AN22" s="1858"/>
      <c r="AO22" s="1858"/>
      <c r="AP22" s="1858"/>
      <c r="AQ22" s="1858"/>
      <c r="AR22" s="1858"/>
      <c r="AS22" s="1858"/>
      <c r="AT22" s="1858"/>
      <c r="AU22" s="1858"/>
      <c r="AV22" s="1858"/>
      <c r="AW22" s="1858"/>
      <c r="AX22" s="1858"/>
      <c r="AY22" s="1858"/>
      <c r="AZ22" s="1858"/>
      <c r="BA22" s="1858"/>
      <c r="BB22" s="1858"/>
      <c r="BC22" s="1858"/>
      <c r="BD22" s="1858"/>
      <c r="BE22" s="1858"/>
      <c r="BF22" s="1858"/>
      <c r="BG22" s="1858"/>
      <c r="BH22" s="1858"/>
      <c r="BI22" s="1858"/>
      <c r="BJ22" s="1858"/>
      <c r="BK22" s="1858"/>
      <c r="BL22" s="1858"/>
      <c r="BM22" s="1838">
        <v>11</v>
      </c>
    </row>
    <row customHeight="1" ht="15">
      <c r="D23" s="2467" t="s">
        <v>93</v>
      </c>
      <c r="E23" s="2463" t="s">
        <v>353</v>
      </c>
      <c r="F23" s="2463" t="s">
        <v>356</v>
      </c>
      <c r="G23" s="2469" t="s">
        <v>19</v>
      </c>
      <c r="H23" s="1883"/>
      <c r="I23" s="2465"/>
      <c r="J23" s="2436"/>
      <c r="K23" s="1798"/>
      <c r="L23" s="2421"/>
      <c r="M23" s="2421"/>
      <c r="N23" s="1868"/>
      <c r="O23" s="2421"/>
      <c r="P23" s="2436"/>
      <c r="Q23" s="1869"/>
      <c r="R23" s="2421"/>
      <c r="S23" s="2421"/>
      <c r="T23" s="1870"/>
      <c r="U23" s="2421"/>
      <c r="V23" s="2436"/>
      <c r="W23" s="1871"/>
      <c r="X23" s="2421"/>
      <c r="Y23" s="2421"/>
      <c r="Z23" s="1868"/>
      <c r="AA23" s="2421"/>
      <c r="AB23" s="2436"/>
      <c r="AC23" s="1872"/>
      <c r="AD23" s="2421"/>
      <c r="AE23" s="2421"/>
      <c r="AF23" s="1797"/>
      <c r="AG23" s="1797"/>
      <c r="AH23" s="1873"/>
      <c r="AI23" s="1580"/>
      <c r="AJ23" s="1858"/>
      <c r="AK23" s="590" t="s">
        <v>101</v>
      </c>
      <c r="BM23" s="577">
        <v>14</v>
      </c>
    </row>
    <row customHeight="1" ht="14.699999999999998">
      <c r="D24" s="2467"/>
      <c r="E24" s="2463"/>
      <c r="F24" s="2463"/>
      <c r="G24" s="2470"/>
      <c r="H24" s="1884"/>
      <c r="I24" s="2466"/>
      <c r="J24" s="2437"/>
      <c r="K24" s="1894"/>
      <c r="L24" s="2422"/>
      <c r="M24" s="2422"/>
      <c r="N24" s="1874"/>
      <c r="O24" s="2422"/>
      <c r="P24" s="2437"/>
      <c r="Q24" s="1875"/>
      <c r="R24" s="2422"/>
      <c r="S24" s="2422"/>
      <c r="T24" s="1876"/>
      <c r="U24" s="2422"/>
      <c r="V24" s="2437"/>
      <c r="W24" s="1877"/>
      <c r="X24" s="2422"/>
      <c r="Y24" s="2422"/>
      <c r="Z24" s="1874"/>
      <c r="AA24" s="2422"/>
      <c r="AB24" s="2437"/>
      <c r="AC24" s="1878"/>
      <c r="AD24" s="2422"/>
      <c r="AE24" s="2422"/>
      <c r="AF24" s="1879"/>
      <c r="AG24" s="1879"/>
      <c r="AH24" s="2461"/>
      <c r="AI24" s="2462"/>
      <c r="AJ24" s="1858"/>
      <c r="BM24" s="577">
        <v>14</v>
      </c>
    </row>
    <row customHeight="1" ht="14.699999999999998">
      <c r="D25" s="2467"/>
      <c r="E25" s="2463"/>
      <c r="F25" s="2463"/>
      <c r="G25" s="2470"/>
      <c r="H25" s="1884"/>
      <c r="I25" s="2466"/>
      <c r="J25" s="2437"/>
      <c r="K25" s="1894"/>
      <c r="L25" s="2422"/>
      <c r="M25" s="2422"/>
      <c r="N25" s="1874"/>
      <c r="O25" s="2422"/>
      <c r="P25" s="2437"/>
      <c r="Q25" s="1875"/>
      <c r="R25" s="2422"/>
      <c r="S25" s="2422"/>
      <c r="T25" s="1876"/>
      <c r="U25" s="2422"/>
      <c r="V25" s="2437"/>
      <c r="W25" s="1877"/>
      <c r="X25" s="2422"/>
      <c r="Y25" s="2422"/>
      <c r="Z25" s="1796"/>
      <c r="AA25" s="1879"/>
      <c r="AB25" s="2461"/>
      <c r="AC25" s="2461"/>
      <c r="AD25" s="2461"/>
      <c r="AE25" s="2461"/>
      <c r="AF25" s="2461"/>
      <c r="AG25" s="2461"/>
      <c r="AH25" s="2461"/>
      <c r="AI25" s="2462"/>
      <c r="AJ25" s="1858"/>
      <c r="BM25" s="577">
        <v>14</v>
      </c>
    </row>
    <row customHeight="1" ht="14.699999999999998">
      <c r="D26" s="2467"/>
      <c r="E26" s="2463"/>
      <c r="F26" s="2463"/>
      <c r="G26" s="2470"/>
      <c r="H26" s="1884"/>
      <c r="I26" s="2466"/>
      <c r="J26" s="2437"/>
      <c r="K26" s="1894"/>
      <c r="L26" s="2422"/>
      <c r="M26" s="2422"/>
      <c r="N26" s="1874"/>
      <c r="O26" s="2422"/>
      <c r="P26" s="2437"/>
      <c r="Q26" s="1875"/>
      <c r="R26" s="2422"/>
      <c r="S26" s="2422"/>
      <c r="T26" s="1880"/>
      <c r="U26" s="1881"/>
      <c r="V26" s="2461"/>
      <c r="W26" s="2461"/>
      <c r="X26" s="2461"/>
      <c r="Y26" s="2461"/>
      <c r="Z26" s="2461"/>
      <c r="AA26" s="2461"/>
      <c r="AB26" s="2461"/>
      <c r="AC26" s="2461"/>
      <c r="AD26" s="2461"/>
      <c r="AE26" s="2461"/>
      <c r="AF26" s="2461"/>
      <c r="AG26" s="2461"/>
      <c r="AH26" s="2461"/>
      <c r="AI26" s="2462"/>
      <c r="AJ26" s="1858"/>
      <c r="BM26" s="577">
        <v>14</v>
      </c>
    </row>
    <row customHeight="1" ht="11.549999999999999">
      <c r="D27" s="2467"/>
      <c r="E27" s="2463"/>
      <c r="F27" s="2463"/>
      <c r="G27" s="2470"/>
      <c r="H27" s="1885"/>
      <c r="I27" s="2466"/>
      <c r="J27" s="2437"/>
      <c r="K27" s="1894"/>
      <c r="L27" s="2422"/>
      <c r="M27" s="2422"/>
      <c r="N27" s="1879"/>
      <c r="O27" s="1879"/>
      <c r="P27" s="2461"/>
      <c r="Q27" s="2461"/>
      <c r="R27" s="2461"/>
      <c r="S27" s="2461"/>
      <c r="T27" s="2461"/>
      <c r="U27" s="2461"/>
      <c r="V27" s="2461"/>
      <c r="W27" s="2461"/>
      <c r="X27" s="2461"/>
      <c r="Y27" s="2461"/>
      <c r="Z27" s="2461"/>
      <c r="AA27" s="2461"/>
      <c r="AB27" s="2461"/>
      <c r="AC27" s="2461"/>
      <c r="AD27" s="2461"/>
      <c r="AE27" s="2461"/>
      <c r="AF27" s="2461"/>
      <c r="AG27" s="2461"/>
      <c r="AH27" s="2461"/>
      <c r="AI27" s="2462"/>
      <c r="AJ27" s="1858"/>
      <c r="BM27" s="577">
        <v>11</v>
      </c>
    </row>
    <row s="31058" customFormat="1" customHeight="1" ht="11.549999999999999">
      <c r="D28" s="2473"/>
      <c r="E28" s="2474"/>
      <c r="F28" s="2464"/>
      <c r="G28" s="2396"/>
      <c r="H28" s="1882"/>
      <c r="I28" s="1886"/>
      <c r="J28" s="2471"/>
      <c r="K28" s="2471"/>
      <c r="L28" s="2471"/>
      <c r="M28" s="2471"/>
      <c r="N28" s="2471"/>
      <c r="O28" s="2471"/>
      <c r="P28" s="2471"/>
      <c r="Q28" s="2471"/>
      <c r="R28" s="2471"/>
      <c r="S28" s="2471"/>
      <c r="T28" s="2471"/>
      <c r="U28" s="2471"/>
      <c r="V28" s="2471"/>
      <c r="W28" s="2471"/>
      <c r="X28" s="2471"/>
      <c r="Y28" s="2471"/>
      <c r="Z28" s="2471"/>
      <c r="AA28" s="2471"/>
      <c r="AB28" s="2471"/>
      <c r="AC28" s="2471"/>
      <c r="AD28" s="2471"/>
      <c r="AE28" s="2471"/>
      <c r="AF28" s="2471"/>
      <c r="AG28" s="2471"/>
      <c r="AH28" s="2471"/>
      <c r="AI28" s="2472"/>
      <c r="AJ28" s="1858"/>
      <c r="AK28" s="590"/>
      <c r="AL28" s="1858"/>
      <c r="AM28" s="1858"/>
      <c r="AN28" s="1858"/>
      <c r="AO28" s="1858"/>
      <c r="AP28" s="1858"/>
      <c r="AQ28" s="1858"/>
      <c r="AR28" s="1858"/>
      <c r="AS28" s="1858"/>
      <c r="AT28" s="1858"/>
      <c r="AU28" s="1858"/>
      <c r="AV28" s="1858"/>
      <c r="AW28" s="1858"/>
      <c r="AX28" s="1858"/>
      <c r="AY28" s="1858"/>
      <c r="AZ28" s="1858"/>
      <c r="BA28" s="1858"/>
      <c r="BB28" s="1858"/>
      <c r="BC28" s="1858"/>
      <c r="BD28" s="1858"/>
      <c r="BE28" s="1858"/>
      <c r="BF28" s="1858"/>
      <c r="BG28" s="1858"/>
      <c r="BH28" s="1858"/>
      <c r="BI28" s="1858"/>
      <c r="BJ28" s="1858"/>
      <c r="BK28" s="1858"/>
      <c r="BL28" s="1858"/>
      <c r="BM28" s="1838">
        <v>11</v>
      </c>
    </row>
    <row customHeight="1" ht="15">
      <c r="D29" s="2467" t="s">
        <v>94</v>
      </c>
      <c r="E29" s="2463" t="s">
        <v>353</v>
      </c>
      <c r="F29" s="2463" t="s">
        <v>357</v>
      </c>
      <c r="G29" s="2469" t="s">
        <v>19</v>
      </c>
      <c r="H29" s="1883"/>
      <c r="I29" s="2465"/>
      <c r="J29" s="2436"/>
      <c r="K29" s="1798"/>
      <c r="L29" s="2421"/>
      <c r="M29" s="2421"/>
      <c r="N29" s="1868"/>
      <c r="O29" s="2421"/>
      <c r="P29" s="2436"/>
      <c r="Q29" s="1869"/>
      <c r="R29" s="2421"/>
      <c r="S29" s="2421"/>
      <c r="T29" s="1870"/>
      <c r="U29" s="2421"/>
      <c r="V29" s="2436"/>
      <c r="W29" s="1871"/>
      <c r="X29" s="2421"/>
      <c r="Y29" s="2421"/>
      <c r="Z29" s="1868"/>
      <c r="AA29" s="2421"/>
      <c r="AB29" s="2436"/>
      <c r="AC29" s="1872"/>
      <c r="AD29" s="2421"/>
      <c r="AE29" s="2421"/>
      <c r="AF29" s="1797"/>
      <c r="AG29" s="1797"/>
      <c r="AH29" s="1873"/>
      <c r="AI29" s="1580"/>
      <c r="AJ29" s="1858"/>
      <c r="BM29" s="577">
        <v>14</v>
      </c>
    </row>
    <row customHeight="1" ht="14.699999999999998">
      <c r="D30" s="2467"/>
      <c r="E30" s="2463"/>
      <c r="F30" s="2463"/>
      <c r="G30" s="2470"/>
      <c r="H30" s="1884"/>
      <c r="I30" s="2466"/>
      <c r="J30" s="2437"/>
      <c r="K30" s="1867"/>
      <c r="L30" s="2422"/>
      <c r="M30" s="2422"/>
      <c r="N30" s="1874"/>
      <c r="O30" s="2422"/>
      <c r="P30" s="2437"/>
      <c r="Q30" s="1875"/>
      <c r="R30" s="2422"/>
      <c r="S30" s="2422"/>
      <c r="T30" s="1876"/>
      <c r="U30" s="2422"/>
      <c r="V30" s="2437"/>
      <c r="W30" s="1877"/>
      <c r="X30" s="2422"/>
      <c r="Y30" s="2422"/>
      <c r="Z30" s="1874"/>
      <c r="AA30" s="2422"/>
      <c r="AB30" s="2437"/>
      <c r="AC30" s="1878"/>
      <c r="AD30" s="2422"/>
      <c r="AE30" s="2422"/>
      <c r="AF30" s="1879"/>
      <c r="AG30" s="1879"/>
      <c r="AH30" s="2461"/>
      <c r="AI30" s="2462"/>
      <c r="AJ30" s="1858"/>
      <c r="BM30" s="577">
        <v>14</v>
      </c>
    </row>
    <row customHeight="1" ht="14.699999999999998">
      <c r="D31" s="2467"/>
      <c r="E31" s="2463"/>
      <c r="F31" s="2463"/>
      <c r="G31" s="2470"/>
      <c r="H31" s="1884"/>
      <c r="I31" s="2466"/>
      <c r="J31" s="2437"/>
      <c r="K31" s="1867"/>
      <c r="L31" s="2422"/>
      <c r="M31" s="2422"/>
      <c r="N31" s="1874"/>
      <c r="O31" s="2422"/>
      <c r="P31" s="2437"/>
      <c r="Q31" s="1875"/>
      <c r="R31" s="2422"/>
      <c r="S31" s="2422"/>
      <c r="T31" s="1876"/>
      <c r="U31" s="2422"/>
      <c r="V31" s="2437"/>
      <c r="W31" s="1877"/>
      <c r="X31" s="2422"/>
      <c r="Y31" s="2422"/>
      <c r="Z31" s="1796"/>
      <c r="AA31" s="1879"/>
      <c r="AB31" s="2461"/>
      <c r="AC31" s="2461"/>
      <c r="AD31" s="2461"/>
      <c r="AE31" s="2461"/>
      <c r="AF31" s="2461"/>
      <c r="AG31" s="2461"/>
      <c r="AH31" s="2461"/>
      <c r="AI31" s="2462"/>
      <c r="AJ31" s="1858"/>
      <c r="BM31" s="577">
        <v>14</v>
      </c>
    </row>
    <row customHeight="1" ht="14.699999999999998">
      <c r="D32" s="2467"/>
      <c r="E32" s="2463"/>
      <c r="F32" s="2463"/>
      <c r="G32" s="2470"/>
      <c r="H32" s="1884"/>
      <c r="I32" s="2466"/>
      <c r="J32" s="2437"/>
      <c r="K32" s="1867"/>
      <c r="L32" s="2422"/>
      <c r="M32" s="2422"/>
      <c r="N32" s="1874"/>
      <c r="O32" s="2422"/>
      <c r="P32" s="2437"/>
      <c r="Q32" s="1875"/>
      <c r="R32" s="2422"/>
      <c r="S32" s="2422"/>
      <c r="T32" s="1880"/>
      <c r="U32" s="1881"/>
      <c r="V32" s="2461"/>
      <c r="W32" s="2461"/>
      <c r="X32" s="2461"/>
      <c r="Y32" s="2461"/>
      <c r="Z32" s="2461"/>
      <c r="AA32" s="2461"/>
      <c r="AB32" s="2461"/>
      <c r="AC32" s="2461"/>
      <c r="AD32" s="2461"/>
      <c r="AE32" s="2461"/>
      <c r="AF32" s="2461"/>
      <c r="AG32" s="2461"/>
      <c r="AH32" s="2461"/>
      <c r="AI32" s="2462"/>
      <c r="AJ32" s="1858"/>
      <c r="BM32" s="577">
        <v>14</v>
      </c>
    </row>
    <row customHeight="1" ht="11.549999999999999">
      <c r="D33" s="2467"/>
      <c r="E33" s="2463"/>
      <c r="F33" s="2463"/>
      <c r="G33" s="2470"/>
      <c r="H33" s="1885"/>
      <c r="I33" s="2466"/>
      <c r="J33" s="2437"/>
      <c r="K33" s="1867"/>
      <c r="L33" s="2422"/>
      <c r="M33" s="2422"/>
      <c r="N33" s="1879"/>
      <c r="O33" s="1879"/>
      <c r="P33" s="2461"/>
      <c r="Q33" s="2461"/>
      <c r="R33" s="2461"/>
      <c r="S33" s="2461"/>
      <c r="T33" s="2461"/>
      <c r="U33" s="2461"/>
      <c r="V33" s="2461"/>
      <c r="W33" s="2461"/>
      <c r="X33" s="2461"/>
      <c r="Y33" s="2461"/>
      <c r="Z33" s="2461"/>
      <c r="AA33" s="2461"/>
      <c r="AB33" s="2461"/>
      <c r="AC33" s="2461"/>
      <c r="AD33" s="2461"/>
      <c r="AE33" s="2461"/>
      <c r="AF33" s="2461"/>
      <c r="AG33" s="2461"/>
      <c r="AH33" s="2461"/>
      <c r="AI33" s="2462"/>
      <c r="AJ33" s="1858"/>
      <c r="BM33" s="577">
        <v>11</v>
      </c>
    </row>
    <row s="31058" customFormat="1" customHeight="1" ht="11.549999999999999">
      <c r="D34" s="2473"/>
      <c r="E34" s="2474"/>
      <c r="F34" s="2464"/>
      <c r="G34" s="2396"/>
      <c r="H34" s="1882"/>
      <c r="I34" s="1886"/>
      <c r="J34" s="2471"/>
      <c r="K34" s="2471"/>
      <c r="L34" s="2471"/>
      <c r="M34" s="2471"/>
      <c r="N34" s="2471"/>
      <c r="O34" s="2471"/>
      <c r="P34" s="2471"/>
      <c r="Q34" s="2471"/>
      <c r="R34" s="2471"/>
      <c r="S34" s="2471"/>
      <c r="T34" s="2471"/>
      <c r="U34" s="2471"/>
      <c r="V34" s="2471"/>
      <c r="W34" s="2471"/>
      <c r="X34" s="2471"/>
      <c r="Y34" s="2471"/>
      <c r="Z34" s="2471"/>
      <c r="AA34" s="2471"/>
      <c r="AB34" s="2471"/>
      <c r="AC34" s="2471"/>
      <c r="AD34" s="2471"/>
      <c r="AE34" s="2471"/>
      <c r="AF34" s="2471"/>
      <c r="AG34" s="2471"/>
      <c r="AH34" s="2471"/>
      <c r="AI34" s="2472"/>
      <c r="AJ34" s="1858"/>
      <c r="AK34" s="590"/>
      <c r="AL34" s="1858"/>
      <c r="AM34" s="1858"/>
      <c r="AN34" s="1858"/>
      <c r="AO34" s="1858"/>
      <c r="AP34" s="1858"/>
      <c r="AQ34" s="1858"/>
      <c r="AR34" s="1858"/>
      <c r="AS34" s="1858"/>
      <c r="AT34" s="1858"/>
      <c r="AU34" s="1858"/>
      <c r="AV34" s="1858"/>
      <c r="AW34" s="1858"/>
      <c r="AX34" s="1858"/>
      <c r="AY34" s="1858"/>
      <c r="AZ34" s="1858"/>
      <c r="BA34" s="1858"/>
      <c r="BB34" s="1858"/>
      <c r="BC34" s="1858"/>
      <c r="BD34" s="1858"/>
      <c r="BE34" s="1858"/>
      <c r="BF34" s="1858"/>
      <c r="BG34" s="1858"/>
      <c r="BH34" s="1858"/>
      <c r="BI34" s="1858"/>
      <c r="BJ34" s="1858"/>
      <c r="BK34" s="1858"/>
      <c r="BL34" s="1858"/>
      <c r="BM34" s="1838">
        <v>11</v>
      </c>
    </row>
    <row customHeight="1" ht="15">
      <c r="D35" s="2467" t="s">
        <v>124</v>
      </c>
      <c r="E35" s="2463" t="s">
        <v>353</v>
      </c>
      <c r="F35" s="2463" t="s">
        <v>358</v>
      </c>
      <c r="G35" s="2469" t="s">
        <v>19</v>
      </c>
      <c r="H35" s="1883"/>
      <c r="I35" s="2465"/>
      <c r="J35" s="2436"/>
      <c r="K35" s="1798"/>
      <c r="L35" s="2421"/>
      <c r="M35" s="2421"/>
      <c r="N35" s="1868"/>
      <c r="O35" s="2421"/>
      <c r="P35" s="2436"/>
      <c r="Q35" s="1869"/>
      <c r="R35" s="2421"/>
      <c r="S35" s="2421"/>
      <c r="T35" s="1870"/>
      <c r="U35" s="2421"/>
      <c r="V35" s="2436"/>
      <c r="W35" s="1871"/>
      <c r="X35" s="2421"/>
      <c r="Y35" s="2421"/>
      <c r="Z35" s="1868"/>
      <c r="AA35" s="2421"/>
      <c r="AB35" s="2436"/>
      <c r="AC35" s="1872"/>
      <c r="AD35" s="2421"/>
      <c r="AE35" s="2421"/>
      <c r="AF35" s="1797"/>
      <c r="AG35" s="1797"/>
      <c r="AH35" s="1873"/>
      <c r="AI35" s="1580"/>
      <c r="AJ35" s="1858"/>
      <c r="BM35" s="577">
        <v>14</v>
      </c>
    </row>
    <row customHeight="1" ht="14.699999999999998">
      <c r="D36" s="2467"/>
      <c r="E36" s="2463"/>
      <c r="F36" s="2463"/>
      <c r="G36" s="2470"/>
      <c r="H36" s="1884"/>
      <c r="I36" s="2466"/>
      <c r="J36" s="2437"/>
      <c r="K36" s="1867"/>
      <c r="L36" s="2422"/>
      <c r="M36" s="2422"/>
      <c r="N36" s="1874"/>
      <c r="O36" s="2422"/>
      <c r="P36" s="2437"/>
      <c r="Q36" s="1875"/>
      <c r="R36" s="2422"/>
      <c r="S36" s="2422"/>
      <c r="T36" s="1876"/>
      <c r="U36" s="2422"/>
      <c r="V36" s="2437"/>
      <c r="W36" s="1877"/>
      <c r="X36" s="2422"/>
      <c r="Y36" s="2422"/>
      <c r="Z36" s="1874"/>
      <c r="AA36" s="2422"/>
      <c r="AB36" s="2437"/>
      <c r="AC36" s="1878"/>
      <c r="AD36" s="2422"/>
      <c r="AE36" s="2422"/>
      <c r="AF36" s="1879"/>
      <c r="AG36" s="1879"/>
      <c r="AH36" s="2461"/>
      <c r="AI36" s="2462"/>
      <c r="AJ36" s="1858"/>
      <c r="BM36" s="577">
        <v>14</v>
      </c>
    </row>
    <row customHeight="1" ht="14.699999999999998">
      <c r="D37" s="2467"/>
      <c r="E37" s="2463"/>
      <c r="F37" s="2463"/>
      <c r="G37" s="2470"/>
      <c r="H37" s="1884"/>
      <c r="I37" s="2466"/>
      <c r="J37" s="2437"/>
      <c r="K37" s="1867"/>
      <c r="L37" s="2422"/>
      <c r="M37" s="2422"/>
      <c r="N37" s="1874"/>
      <c r="O37" s="2422"/>
      <c r="P37" s="2437"/>
      <c r="Q37" s="1875"/>
      <c r="R37" s="2422"/>
      <c r="S37" s="2422"/>
      <c r="T37" s="1876"/>
      <c r="U37" s="2422"/>
      <c r="V37" s="2437"/>
      <c r="W37" s="1877"/>
      <c r="X37" s="2422"/>
      <c r="Y37" s="2422"/>
      <c r="Z37" s="1796"/>
      <c r="AA37" s="1879"/>
      <c r="AB37" s="2461"/>
      <c r="AC37" s="2461"/>
      <c r="AD37" s="2461"/>
      <c r="AE37" s="2461"/>
      <c r="AF37" s="2461"/>
      <c r="AG37" s="2461"/>
      <c r="AH37" s="2461"/>
      <c r="AI37" s="2462"/>
      <c r="AJ37" s="1858"/>
      <c r="BM37" s="577">
        <v>14</v>
      </c>
    </row>
    <row customHeight="1" ht="14.699999999999998">
      <c r="D38" s="2467"/>
      <c r="E38" s="2463"/>
      <c r="F38" s="2463"/>
      <c r="G38" s="2470"/>
      <c r="H38" s="1884"/>
      <c r="I38" s="2466"/>
      <c r="J38" s="2437"/>
      <c r="K38" s="1867"/>
      <c r="L38" s="2422"/>
      <c r="M38" s="2422"/>
      <c r="N38" s="1874"/>
      <c r="O38" s="2422"/>
      <c r="P38" s="2437"/>
      <c r="Q38" s="1875"/>
      <c r="R38" s="2422"/>
      <c r="S38" s="2422"/>
      <c r="T38" s="1880"/>
      <c r="U38" s="1881"/>
      <c r="V38" s="2461"/>
      <c r="W38" s="2461"/>
      <c r="X38" s="2461"/>
      <c r="Y38" s="2461"/>
      <c r="Z38" s="2461"/>
      <c r="AA38" s="2461"/>
      <c r="AB38" s="2461"/>
      <c r="AC38" s="2461"/>
      <c r="AD38" s="2461"/>
      <c r="AE38" s="2461"/>
      <c r="AF38" s="2461"/>
      <c r="AG38" s="2461"/>
      <c r="AH38" s="2461"/>
      <c r="AI38" s="2462"/>
      <c r="AJ38" s="1858"/>
      <c r="BM38" s="577">
        <v>14</v>
      </c>
    </row>
    <row customHeight="1" ht="11.549999999999999">
      <c r="D39" s="2467"/>
      <c r="E39" s="2463"/>
      <c r="F39" s="2463"/>
      <c r="G39" s="2470"/>
      <c r="H39" s="1885"/>
      <c r="I39" s="2466"/>
      <c r="J39" s="2437"/>
      <c r="K39" s="1867"/>
      <c r="L39" s="2422"/>
      <c r="M39" s="2422"/>
      <c r="N39" s="1879"/>
      <c r="O39" s="1879"/>
      <c r="P39" s="2461"/>
      <c r="Q39" s="2461"/>
      <c r="R39" s="2461"/>
      <c r="S39" s="2461"/>
      <c r="T39" s="2461"/>
      <c r="U39" s="2461"/>
      <c r="V39" s="2461"/>
      <c r="W39" s="2461"/>
      <c r="X39" s="2461"/>
      <c r="Y39" s="2461"/>
      <c r="Z39" s="2461"/>
      <c r="AA39" s="2461"/>
      <c r="AB39" s="2461"/>
      <c r="AC39" s="2461"/>
      <c r="AD39" s="2461"/>
      <c r="AE39" s="2461"/>
      <c r="AF39" s="2461"/>
      <c r="AG39" s="2461"/>
      <c r="AH39" s="2461"/>
      <c r="AI39" s="2462"/>
      <c r="AJ39" s="1858"/>
      <c r="BM39" s="577">
        <v>11</v>
      </c>
    </row>
    <row s="31058" customFormat="1" customHeight="1" ht="11.549999999999999">
      <c r="D40" s="2467"/>
      <c r="E40" s="2463"/>
      <c r="F40" s="2468"/>
      <c r="G40" s="2396"/>
      <c r="H40" s="1882"/>
      <c r="I40" s="1886"/>
      <c r="J40" s="2471"/>
      <c r="K40" s="2471"/>
      <c r="L40" s="2471"/>
      <c r="M40" s="2471"/>
      <c r="N40" s="2471"/>
      <c r="O40" s="2471"/>
      <c r="P40" s="2471"/>
      <c r="Q40" s="2471"/>
      <c r="R40" s="2471"/>
      <c r="S40" s="2471"/>
      <c r="T40" s="2471"/>
      <c r="U40" s="2471"/>
      <c r="V40" s="2471"/>
      <c r="W40" s="2471"/>
      <c r="X40" s="2471"/>
      <c r="Y40" s="2471"/>
      <c r="Z40" s="2471"/>
      <c r="AA40" s="2471"/>
      <c r="AB40" s="2471"/>
      <c r="AC40" s="2471"/>
      <c r="AD40" s="2471"/>
      <c r="AE40" s="2471"/>
      <c r="AF40" s="2471"/>
      <c r="AG40" s="2471"/>
      <c r="AH40" s="2471"/>
      <c r="AI40" s="2472"/>
      <c r="AJ40" s="1858"/>
      <c r="AK40" s="590"/>
      <c r="AL40" s="1858"/>
      <c r="AM40" s="1858"/>
      <c r="AN40" s="1858"/>
      <c r="AO40" s="1858"/>
      <c r="AP40" s="1858"/>
      <c r="AQ40" s="1858"/>
      <c r="AR40" s="1858"/>
      <c r="AS40" s="1858"/>
      <c r="AT40" s="1858"/>
      <c r="AU40" s="1858"/>
      <c r="AV40" s="1858"/>
      <c r="AW40" s="1858"/>
      <c r="AX40" s="1858"/>
      <c r="AY40" s="1858"/>
      <c r="AZ40" s="1858"/>
      <c r="BA40" s="1858"/>
      <c r="BB40" s="1858"/>
      <c r="BC40" s="1858"/>
      <c r="BD40" s="1858"/>
      <c r="BE40" s="1858"/>
      <c r="BF40" s="1858"/>
      <c r="BG40" s="1858"/>
      <c r="BH40" s="1858"/>
      <c r="BI40" s="1858"/>
      <c r="BJ40" s="1858"/>
      <c r="BK40" s="1858"/>
      <c r="BL40" s="1858"/>
      <c r="BM40" s="1838">
        <v>11</v>
      </c>
    </row>
    <row customHeight="1" ht="11.549999999999999">
      <c r="AK41" s="707"/>
      <c r="BM41" s="577">
        <v>11</v>
      </c>
    </row>
    <row customHeight="1" ht="11.549999999999999">
      <c r="AK42" s="707"/>
      <c r="BM42" s="577">
        <v>11</v>
      </c>
    </row>
    <row customHeight="1" ht="11.549999999999999">
      <c r="AK43" s="707"/>
      <c r="BM43" s="577">
        <v>11</v>
      </c>
    </row>
    <row customHeight="1" ht="11.549999999999999">
      <c r="AK44" s="707"/>
      <c r="BM44" s="577">
        <v>11</v>
      </c>
    </row>
    <row customHeight="1" ht="11.549999999999999">
      <c r="AK45" s="707"/>
      <c r="BM45" s="577">
        <v>11</v>
      </c>
    </row>
    <row customHeight="1" ht="11.549999999999999">
      <c r="AK46" s="707"/>
      <c r="BM46" s="577">
        <v>11</v>
      </c>
    </row>
    <row customHeight="1" ht="11.549999999999999">
      <c r="AK47" s="707"/>
      <c r="BM47" s="577">
        <v>11</v>
      </c>
    </row>
    <row customHeight="1" ht="11.549999999999999">
      <c r="AK48" s="707"/>
      <c r="BM48" s="577">
        <v>11</v>
      </c>
    </row>
    <row customHeight="1" ht="11.549999999999999">
      <c r="AK49" s="707"/>
      <c r="BM49" s="577">
        <v>11</v>
      </c>
    </row>
    <row customHeight="1" ht="11.25" hidden="1">
      <c r="A50" s="577" t="s">
        <v>85</v>
      </c>
      <c r="B50" s="577">
        <v>0</v>
      </c>
      <c r="C50" s="577">
        <v>3</v>
      </c>
      <c r="D50" s="577">
        <v>3</v>
      </c>
      <c r="E50" s="577">
        <v>15</v>
      </c>
      <c r="F50" s="577">
        <v>15</v>
      </c>
      <c r="G50" s="577">
        <v>11</v>
      </c>
      <c r="H50" s="577">
        <v>3</v>
      </c>
      <c r="I50" s="577">
        <v>3</v>
      </c>
      <c r="J50" s="577">
        <v>12</v>
      </c>
      <c r="K50" s="577">
        <v>0</v>
      </c>
      <c r="L50" s="577">
        <v>10</v>
      </c>
      <c r="M50" s="577">
        <v>10</v>
      </c>
      <c r="N50" s="577">
        <v>3</v>
      </c>
      <c r="O50" s="577">
        <v>3</v>
      </c>
      <c r="P50" s="577">
        <v>19</v>
      </c>
      <c r="Q50" s="577">
        <v>0</v>
      </c>
      <c r="R50" s="577">
        <v>10</v>
      </c>
      <c r="S50" s="577">
        <v>10</v>
      </c>
      <c r="T50" s="577">
        <v>3</v>
      </c>
      <c r="U50" s="577">
        <v>3</v>
      </c>
      <c r="V50" s="577">
        <v>25</v>
      </c>
      <c r="W50" s="577">
        <v>0</v>
      </c>
      <c r="X50" s="577">
        <v>10</v>
      </c>
      <c r="Y50" s="577">
        <v>10</v>
      </c>
      <c r="Z50" s="577">
        <v>3</v>
      </c>
      <c r="AA50" s="577">
        <v>3</v>
      </c>
      <c r="AB50" s="577">
        <v>16</v>
      </c>
      <c r="AC50" s="577">
        <v>0</v>
      </c>
      <c r="AD50" s="577">
        <v>10</v>
      </c>
      <c r="AE50" s="577">
        <v>10</v>
      </c>
      <c r="AF50" s="577">
        <v>3</v>
      </c>
      <c r="AG50" s="577">
        <v>3</v>
      </c>
      <c r="AH50" s="577">
        <v>8</v>
      </c>
      <c r="AI50" s="577">
        <v>21</v>
      </c>
      <c r="AJ50" s="707">
        <v>8</v>
      </c>
      <c r="AK50" s="590">
        <v>8</v>
      </c>
      <c r="AL50" s="707">
        <v>8</v>
      </c>
      <c r="AM50" s="707">
        <v>8</v>
      </c>
      <c r="AN50" s="707">
        <v>8</v>
      </c>
      <c r="AO50" s="707">
        <v>8</v>
      </c>
      <c r="AP50" s="707">
        <v>8</v>
      </c>
      <c r="AQ50" s="707">
        <v>8</v>
      </c>
      <c r="AR50" s="707">
        <v>8</v>
      </c>
      <c r="AS50" s="707">
        <v>8</v>
      </c>
      <c r="AT50" s="707">
        <v>8</v>
      </c>
      <c r="AU50" s="707">
        <v>8</v>
      </c>
      <c r="AV50" s="707">
        <v>8</v>
      </c>
      <c r="AW50" s="707">
        <v>8</v>
      </c>
      <c r="AX50" s="707">
        <v>8</v>
      </c>
      <c r="AY50" s="707">
        <v>8</v>
      </c>
      <c r="AZ50" s="707">
        <v>8</v>
      </c>
      <c r="BA50" s="707">
        <v>8</v>
      </c>
      <c r="BB50" s="707">
        <v>8</v>
      </c>
      <c r="BC50" s="707">
        <v>8</v>
      </c>
      <c r="BD50" s="707">
        <v>8</v>
      </c>
      <c r="BE50" s="707">
        <v>8</v>
      </c>
      <c r="BF50" s="707">
        <v>8</v>
      </c>
      <c r="BG50" s="707">
        <v>8</v>
      </c>
      <c r="BH50" s="707">
        <v>8</v>
      </c>
      <c r="BI50" s="707">
        <v>8</v>
      </c>
      <c r="BJ50" s="707">
        <v>8</v>
      </c>
      <c r="BK50" s="707">
        <v>8</v>
      </c>
      <c r="BL50" s="707">
        <v>8</v>
      </c>
      <c r="BM50" s="577">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07D982-EBF3-4A56-4B52-15C904CFC724}"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30681" width="1.7109375" customWidth="1"/>
    <col min="2" max="2" style="30681" width="34.57421875" customWidth="1"/>
    <col min="3" max="3" style="30681" width="85.00390625" customWidth="1"/>
    <col min="4" max="4" style="30681" width="17.00390625" customWidth="1"/>
    <col min="5" max="5" style="30681" width="8.00390625" customWidth="1"/>
    <col min="6" max="6" style="30681" width="9.140625" hidden="1"/>
  </cols>
  <sheetData>
    <row customHeight="1" ht="3">
      <c r="F1" s="373" t="s">
        <v>14</v>
      </c>
    </row>
    <row customHeight="1" ht="22.5">
      <c r="B2" s="2897" t="s">
        <v>1982</v>
      </c>
      <c r="C2" s="2784"/>
      <c r="D2" s="2784"/>
      <c r="E2" s="552"/>
      <c r="F2" s="373">
        <v>22</v>
      </c>
    </row>
    <row customHeight="1" ht="3">
      <c r="F3" s="373">
        <v>3</v>
      </c>
    </row>
    <row customHeight="1" ht="23.25">
      <c r="B4" s="2898" t="s">
        <v>1983</v>
      </c>
      <c r="C4" s="667" t="s">
        <v>1984</v>
      </c>
      <c r="D4" s="667" t="s">
        <v>1985</v>
      </c>
      <c r="F4" s="373">
        <v>22</v>
      </c>
    </row>
    <row customHeight="1" ht="11.25" hidden="1">
      <c r="A5" s="373" t="s">
        <v>85</v>
      </c>
      <c r="B5" s="373">
        <v>34</v>
      </c>
      <c r="C5" s="373">
        <v>85</v>
      </c>
      <c r="D5" s="373">
        <v>17</v>
      </c>
      <c r="E5" s="373">
        <v>8</v>
      </c>
      <c r="F5" s="373">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AC51AD-C859-68D3-685A-EB9DBB3A6BAD}"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30681" width="26.57421875" customWidth="1"/>
    <col min="2" max="2" style="30681" width="10.00390625" customWidth="1"/>
    <col min="3" max="3" style="30681" width="9.140625"/>
    <col min="4" max="4" style="30681" width="11.140625" customWidth="1"/>
    <col min="5" max="5" style="30681" width="16.57421875" customWidth="1"/>
    <col min="6" max="6" style="30681" width="16.28125" customWidth="1"/>
    <col min="7" max="7" style="30681" width="19.140625" customWidth="1"/>
    <col min="8" max="11" style="30681" width="10.00390625" customWidth="1"/>
    <col min="12" max="12" style="30681" width="12.7109375" customWidth="1"/>
    <col min="13" max="13" style="30681" width="61.28125" customWidth="1"/>
    <col min="14" max="14" style="30681" width="10.00390625" customWidth="1"/>
    <col min="15" max="17" style="30681" width="23.7109375" customWidth="1"/>
    <col min="18" max="18" style="30681" width="11.7109375" customWidth="1"/>
    <col min="19" max="19" style="30681" width="8.57421875" customWidth="1"/>
    <col min="20" max="20" style="30681" width="11.7109375" customWidth="1"/>
    <col min="21" max="21" style="30681" width="8.57421875" customWidth="1"/>
    <col min="22" max="22" style="30681" width="4.7109375" customWidth="1"/>
    <col min="23" max="23" style="30681" width="115.7109375" customWidth="1"/>
    <col min="24" max="24" style="30681" width="115.28125" customWidth="1"/>
    <col min="25" max="27" style="30681" width="9.140625"/>
    <col min="28" max="28" style="30681" width="115.7109375" customWidth="1"/>
    <col min="29" max="29" style="30681" width="9.140625"/>
    <col min="30" max="90" style="30681" width="115.7109375" customWidth="1"/>
    <col min="91" max="184" style="30681" width="9.140625"/>
  </cols>
  <sheetData>
    <row r="2" s="38442" customFormat="1" customHeight="1" ht="17.25">
      <c r="A2" s="2099" t="s">
        <v>1986</v>
      </c>
    </row>
    <row r="4" s="38431" customFormat="1" customHeight="1" ht="15">
      <c r="C4" s="2100"/>
      <c r="D4" s="397"/>
      <c r="E4" s="661"/>
    </row>
    <row r="6" s="38442" customFormat="1" customHeight="1" ht="17.25">
      <c r="A6" s="2099" t="s">
        <v>1987</v>
      </c>
    </row>
    <row r="8" s="38431" customFormat="1" customHeight="1" ht="17.25">
      <c r="C8" s="2101"/>
      <c r="D8" s="397"/>
      <c r="E8" s="398"/>
    </row>
    <row r="11" s="38442" customFormat="1" customHeight="1" ht="17.25">
      <c r="A11" s="2099" t="s">
        <v>1988</v>
      </c>
    </row>
    <row r="13" s="30636" customFormat="1" customHeight="1" ht="15">
      <c r="A13" s="2501">
        <v>1</v>
      </c>
      <c r="B13" s="1444"/>
      <c r="C13" s="1085" t="s">
        <v>106</v>
      </c>
      <c r="D13" s="2102"/>
      <c r="E13" s="2089">
        <f>A13</f>
        <v>1</v>
      </c>
      <c r="F13" s="1088"/>
      <c r="G13" s="824" t="str">
        <f>"Территория "&amp;E13</f>
        <v>Территория 1</v>
      </c>
      <c r="H13" s="1076"/>
      <c r="I13" s="1076"/>
      <c r="J13" s="1073"/>
      <c r="K13" s="1908"/>
      <c r="L13" s="1908"/>
      <c r="M13" s="1908"/>
      <c r="N13" s="510"/>
      <c r="O13" s="1908"/>
      <c r="P13" s="509"/>
      <c r="Q13" s="509"/>
      <c r="R13" s="509"/>
      <c r="S13" s="509"/>
    </row>
    <row s="30681" customFormat="1" customHeight="1" ht="15">
      <c r="A14" s="2501"/>
      <c r="B14" s="1444">
        <v>1</v>
      </c>
      <c r="C14" s="1444"/>
      <c r="D14" s="1084"/>
      <c r="E14" s="2097" t="str">
        <f>A13&amp;"."&amp;B14</f>
        <v>1.1</v>
      </c>
      <c r="F14" s="1087">
        <f>$F$20</f>
        <v>0</v>
      </c>
      <c r="G14" s="1077"/>
      <c r="H14" s="1077"/>
      <c r="I14" s="1075"/>
      <c r="J14" s="1908"/>
      <c r="K14" s="1920"/>
      <c r="L14" s="1920"/>
      <c r="M14" s="1908" t="str">
        <f t="array" ref="M14:M14">IF(ISERROR(MATCH(MID(N14,1,250),MID(note_ter,1,250),0)),"n","y")</f>
        <v>n</v>
      </c>
      <c r="N14" s="1920"/>
      <c r="O14" s="1908" t="str">
        <f>H14&amp;"("&amp;I14&amp;")"</f>
        <v>()</v>
      </c>
      <c r="P14" s="1444"/>
      <c r="Q14" s="1444"/>
      <c r="R14" s="704"/>
      <c r="S14" s="1444"/>
      <c r="T14" s="1444"/>
      <c r="U14" s="1444"/>
      <c r="V14" s="706"/>
      <c r="W14" s="706"/>
      <c r="X14" s="703"/>
      <c r="Y14" s="703"/>
      <c r="Z14" s="703"/>
      <c r="AA14" s="703"/>
      <c r="AB14" s="703"/>
      <c r="AC14" s="703"/>
      <c r="AD14" s="703"/>
      <c r="AE14" s="703"/>
      <c r="AF14" s="703"/>
      <c r="AG14" s="703"/>
      <c r="AH14" s="703"/>
      <c r="AI14" s="703"/>
      <c r="AJ14" s="703"/>
      <c r="AK14" s="703"/>
      <c r="AL14" s="703"/>
      <c r="AM14" s="703"/>
      <c r="AN14" s="703"/>
      <c r="AO14" s="703"/>
      <c r="AP14" s="703"/>
      <c r="AQ14" s="703"/>
      <c r="AR14" s="703"/>
      <c r="AS14" s="703"/>
      <c r="AT14" s="703"/>
      <c r="AU14" s="703"/>
      <c r="AV14" s="703"/>
      <c r="AW14" s="703"/>
      <c r="AX14" s="703"/>
      <c r="AY14" s="703"/>
      <c r="AZ14" s="703"/>
      <c r="BA14" s="703"/>
      <c r="BB14" s="703"/>
      <c r="BC14" s="703"/>
      <c r="BD14" s="703"/>
      <c r="BE14" s="703"/>
      <c r="BF14" s="703"/>
      <c r="BG14" s="703"/>
      <c r="BH14" s="703"/>
      <c r="BI14" s="703"/>
      <c r="BJ14" s="703"/>
      <c r="BK14" s="703"/>
      <c r="BL14" s="703"/>
      <c r="BM14" s="703"/>
      <c r="BN14" s="703"/>
      <c r="BO14" s="703"/>
      <c r="BP14" s="703"/>
      <c r="BQ14" s="703"/>
      <c r="BR14" s="703"/>
      <c r="BS14" s="706"/>
      <c r="BT14" s="706"/>
      <c r="BU14" s="706"/>
      <c r="BV14" s="706"/>
      <c r="BW14" s="706"/>
      <c r="BX14" s="706"/>
      <c r="BY14" s="706"/>
      <c r="BZ14" s="706"/>
      <c r="CA14" s="706"/>
      <c r="CB14" s="706"/>
    </row>
    <row s="30681" customFormat="1" customHeight="1" ht="15">
      <c r="A15" s="2501"/>
      <c r="B15" s="1444"/>
      <c r="C15" s="696"/>
      <c r="D15" s="1085"/>
      <c r="E15" s="705"/>
      <c r="F15" s="461"/>
      <c r="G15" s="699" t="s">
        <v>110</v>
      </c>
      <c r="H15" s="471"/>
      <c r="I15" s="708"/>
      <c r="J15" s="1920"/>
      <c r="K15" s="1920"/>
      <c r="L15" s="1920"/>
      <c r="M15" s="1920"/>
      <c r="N15" s="1908"/>
      <c r="O15" s="1920"/>
      <c r="P15" s="1444"/>
      <c r="Q15" s="1444"/>
      <c r="R15" s="704"/>
      <c r="S15" s="1444"/>
      <c r="T15" s="1444"/>
      <c r="U15" s="1444"/>
      <c r="V15" s="706"/>
      <c r="W15" s="706"/>
      <c r="X15" s="703"/>
      <c r="Y15" s="703"/>
      <c r="Z15" s="703"/>
      <c r="AA15" s="703"/>
      <c r="AB15" s="703"/>
      <c r="AC15" s="703"/>
      <c r="AD15" s="703"/>
      <c r="AE15" s="703"/>
      <c r="AF15" s="703"/>
      <c r="AG15" s="703"/>
      <c r="AH15" s="703"/>
      <c r="AI15" s="703"/>
      <c r="AJ15" s="703"/>
      <c r="AK15" s="703"/>
      <c r="AL15" s="703"/>
      <c r="AM15" s="703"/>
      <c r="AN15" s="703"/>
      <c r="AO15" s="703"/>
      <c r="AP15" s="703"/>
      <c r="AQ15" s="703"/>
      <c r="AR15" s="703"/>
      <c r="AS15" s="703"/>
      <c r="AT15" s="703"/>
      <c r="AU15" s="703"/>
      <c r="AV15" s="703"/>
      <c r="AW15" s="703"/>
      <c r="AX15" s="703"/>
      <c r="AY15" s="703"/>
      <c r="AZ15" s="703"/>
      <c r="BA15" s="703"/>
      <c r="BB15" s="703"/>
      <c r="BC15" s="703"/>
      <c r="BD15" s="703"/>
      <c r="BE15" s="703"/>
      <c r="BF15" s="703"/>
      <c r="BG15" s="703"/>
      <c r="BH15" s="703"/>
      <c r="BI15" s="703"/>
      <c r="BJ15" s="703"/>
      <c r="BK15" s="703"/>
      <c r="BL15" s="703"/>
      <c r="BM15" s="703"/>
      <c r="BN15" s="703"/>
      <c r="BO15" s="703"/>
      <c r="BP15" s="703"/>
      <c r="BQ15" s="703"/>
      <c r="BR15" s="703"/>
      <c r="BS15" s="706"/>
      <c r="BT15" s="706"/>
      <c r="BU15" s="706"/>
      <c r="BV15" s="706"/>
      <c r="BW15" s="706"/>
      <c r="BX15" s="706"/>
      <c r="BY15" s="706"/>
      <c r="BZ15" s="706"/>
      <c r="CA15" s="706"/>
      <c r="CB15" s="706"/>
    </row>
    <row r="17" s="38442" customFormat="1" customHeight="1" ht="17.25">
      <c r="A17" s="2099" t="s">
        <v>1989</v>
      </c>
    </row>
    <row r="19" s="30681" customFormat="1" customHeight="1" ht="15">
      <c r="A19" s="2166"/>
      <c r="B19" s="1650">
        <v>1</v>
      </c>
      <c r="C19" s="1650"/>
      <c r="D19" s="1084" t="s">
        <v>106</v>
      </c>
      <c r="E19" s="2162"/>
      <c r="F19" s="2167">
        <f>$F$20</f>
        <v>0</v>
      </c>
      <c r="G19" s="2171"/>
      <c r="H19" s="2171"/>
      <c r="I19" s="2169"/>
      <c r="J19" s="1908"/>
      <c r="K19" s="1920"/>
      <c r="L19" s="1920"/>
      <c r="M19" s="1908" t="str">
        <f t="array" ref="M19:M19">IF(ISERROR(MATCH(MID(N19,1,250),MID(note_ter,1,250),0)),"n","y")</f>
        <v>n</v>
      </c>
      <c r="N19" s="1920"/>
      <c r="O19" s="1908" t="str">
        <f>H19&amp;"("&amp;I19&amp;")"</f>
        <v>()</v>
      </c>
      <c r="P19" s="1650"/>
      <c r="Q19" s="1650"/>
      <c r="R19" s="704"/>
      <c r="S19" s="1650"/>
      <c r="T19" s="1650"/>
      <c r="U19" s="1650"/>
      <c r="V19" s="1117"/>
      <c r="W19" s="1117"/>
      <c r="X19" s="911"/>
      <c r="Y19" s="911"/>
      <c r="Z19" s="911"/>
      <c r="AA19" s="911"/>
      <c r="AB19" s="911"/>
      <c r="AC19" s="911"/>
      <c r="AD19" s="911"/>
      <c r="AE19" s="911"/>
      <c r="AF19" s="911"/>
      <c r="AG19" s="911"/>
      <c r="AH19" s="911"/>
      <c r="AI19" s="911"/>
      <c r="AJ19" s="911"/>
      <c r="AK19" s="911"/>
      <c r="AL19" s="911"/>
      <c r="AM19" s="911"/>
      <c r="AN19" s="911"/>
      <c r="AO19" s="911"/>
      <c r="AP19" s="911"/>
      <c r="AQ19" s="911"/>
      <c r="AR19" s="911"/>
      <c r="AS19" s="911"/>
      <c r="AT19" s="911"/>
      <c r="AU19" s="911"/>
      <c r="AV19" s="911"/>
      <c r="AW19" s="911"/>
      <c r="AX19" s="911"/>
      <c r="AY19" s="911"/>
      <c r="AZ19" s="911"/>
      <c r="BA19" s="911"/>
      <c r="BB19" s="911"/>
      <c r="BC19" s="911"/>
      <c r="BD19" s="911"/>
      <c r="BE19" s="911"/>
      <c r="BF19" s="911"/>
      <c r="BG19" s="911"/>
      <c r="BH19" s="911"/>
      <c r="BI19" s="911"/>
      <c r="BJ19" s="911"/>
      <c r="BK19" s="911"/>
      <c r="BL19" s="911"/>
      <c r="BM19" s="911"/>
      <c r="BN19" s="911"/>
      <c r="BO19" s="911"/>
      <c r="BP19" s="911"/>
      <c r="BQ19" s="911"/>
      <c r="BR19" s="911"/>
      <c r="BS19" s="1117"/>
      <c r="BT19" s="1117"/>
      <c r="BU19" s="1117"/>
      <c r="BV19" s="1117"/>
      <c r="BW19" s="1117"/>
      <c r="BX19" s="1117"/>
      <c r="BY19" s="1117"/>
      <c r="BZ19" s="1117"/>
      <c r="CA19" s="1117"/>
      <c r="CB19" s="1117"/>
    </row>
    <row r="21" s="30681" customFormat="1" customHeight="1" ht="15">
      <c r="A21" s="2099" t="s">
        <v>1990</v>
      </c>
      <c r="B21" s="2099"/>
      <c r="C21" s="2099"/>
      <c r="D21" s="2099"/>
      <c r="E21" s="2099"/>
      <c r="F21" s="2099"/>
      <c r="G21" s="2099"/>
      <c r="H21" s="2099"/>
      <c r="I21" s="2099"/>
      <c r="J21" s="2099"/>
      <c r="K21" s="2099"/>
      <c r="L21" s="2099"/>
      <c r="M21" s="2099"/>
      <c r="N21" s="2099"/>
      <c r="O21" s="2099"/>
      <c r="P21" s="2099"/>
      <c r="Q21" s="2099"/>
      <c r="R21" s="2099"/>
      <c r="S21" s="2099"/>
      <c r="T21" s="2099"/>
      <c r="U21" s="468"/>
      <c r="V21" s="2099"/>
      <c r="W21" s="2099"/>
    </row>
    <row s="30681" customFormat="1" customHeight="1" ht="15">
      <c r="U22" s="469"/>
    </row>
    <row s="30764" customFormat="1" customHeight="1" ht="15">
      <c r="A23" s="707"/>
      <c r="B23" s="707"/>
      <c r="C23" s="2012" t="s">
        <v>106</v>
      </c>
      <c r="D23" s="2392" t="s">
        <v>141</v>
      </c>
      <c r="E23" s="2393"/>
      <c r="F23" s="2391" t="s">
        <v>19</v>
      </c>
      <c r="G23" s="2841"/>
      <c r="H23" s="2411">
        <v>1</v>
      </c>
      <c r="I23" s="2843" t="str">
        <f>IF(U23="","",INDEX(TERRITORY_MR_LIST,MATCH(U23,TERRITORY_LIST_ID,0)))</f>
        <v/>
      </c>
      <c r="J23" s="2391" t="s">
        <v>19</v>
      </c>
      <c r="K23" s="1116"/>
      <c r="L23" s="2066" t="s">
        <v>141</v>
      </c>
      <c r="M23" s="887"/>
      <c r="N23" s="888"/>
      <c r="O23" s="888"/>
      <c r="P23" s="888"/>
      <c r="Q23" s="888"/>
      <c r="R23" s="888"/>
      <c r="S23" s="888"/>
      <c r="T23" s="888"/>
      <c r="U23" s="889"/>
      <c r="V23" s="888"/>
      <c r="W23" s="888"/>
      <c r="X23" s="879"/>
      <c r="Y23" s="879" t="s">
        <v>148</v>
      </c>
      <c r="Z23" s="879">
        <v>1705000</v>
      </c>
      <c r="AA23" s="879"/>
      <c r="AB23" s="879"/>
      <c r="AC23" s="879"/>
      <c r="AD23" s="879"/>
      <c r="AE23" s="879"/>
      <c r="AF23" s="879"/>
      <c r="AG23" s="879"/>
      <c r="AH23" s="879"/>
      <c r="AI23" s="879"/>
      <c r="AJ23" s="879"/>
      <c r="AK23" s="879"/>
      <c r="AL23" s="879"/>
    </row>
    <row s="30764" customFormat="1" customHeight="1" ht="15">
      <c r="A24" s="707"/>
      <c r="B24" s="707"/>
      <c r="C24" s="460"/>
      <c r="D24" s="2392"/>
      <c r="E24" s="2394"/>
      <c r="F24" s="2391"/>
      <c r="G24" s="2842"/>
      <c r="H24" s="2411"/>
      <c r="I24" s="2844"/>
      <c r="J24" s="2391"/>
      <c r="K24" s="705"/>
      <c r="L24" s="461"/>
      <c r="M24" s="891" t="s">
        <v>149</v>
      </c>
      <c r="N24" s="888"/>
      <c r="O24" s="888"/>
      <c r="P24" s="888"/>
      <c r="Q24" s="888"/>
      <c r="R24" s="888"/>
      <c r="S24" s="888"/>
      <c r="T24" s="888"/>
      <c r="U24" s="889"/>
      <c r="V24" s="888"/>
      <c r="W24" s="888"/>
      <c r="X24" s="879"/>
      <c r="Y24" s="879"/>
      <c r="Z24" s="879"/>
      <c r="AA24" s="879"/>
      <c r="AB24" s="879"/>
      <c r="AC24" s="879"/>
      <c r="AD24" s="879"/>
      <c r="AE24" s="879"/>
      <c r="AF24" s="879"/>
      <c r="AG24" s="879"/>
      <c r="AH24" s="879"/>
      <c r="AI24" s="879"/>
      <c r="AJ24" s="879"/>
      <c r="AK24" s="879"/>
      <c r="AL24" s="879"/>
    </row>
    <row s="30764" customFormat="1" customHeight="1" ht="15">
      <c r="A25" s="707"/>
      <c r="B25" s="707"/>
      <c r="C25" s="460"/>
      <c r="D25" s="2392"/>
      <c r="E25" s="2395"/>
      <c r="F25" s="2391"/>
      <c r="G25" s="705"/>
      <c r="H25" s="461"/>
      <c r="I25" s="864" t="s">
        <v>150</v>
      </c>
      <c r="J25" s="461"/>
      <c r="K25" s="461"/>
      <c r="L25" s="461"/>
      <c r="M25" s="892"/>
      <c r="N25" s="888"/>
      <c r="O25" s="888"/>
      <c r="P25" s="888"/>
      <c r="Q25" s="888"/>
      <c r="R25" s="888"/>
      <c r="S25" s="888"/>
      <c r="T25" s="888"/>
      <c r="U25" s="889"/>
      <c r="V25" s="888"/>
      <c r="W25" s="888"/>
      <c r="X25" s="879"/>
      <c r="Y25" s="879"/>
      <c r="Z25" s="879"/>
      <c r="AA25" s="879"/>
      <c r="AB25" s="879"/>
      <c r="AC25" s="879"/>
      <c r="AD25" s="879"/>
      <c r="AE25" s="879"/>
      <c r="AF25" s="879"/>
      <c r="AG25" s="879"/>
      <c r="AH25" s="879"/>
      <c r="AI25" s="879"/>
      <c r="AJ25" s="879"/>
      <c r="AK25" s="879"/>
      <c r="AL25" s="879"/>
    </row>
    <row s="30681" customFormat="1" customHeight="1" ht="15">
      <c r="U26" s="469"/>
    </row>
    <row s="30681" customFormat="1" customHeight="1" ht="15">
      <c r="A27" s="2099" t="s">
        <v>1991</v>
      </c>
      <c r="B27" s="2099"/>
      <c r="C27" s="2099"/>
      <c r="D27" s="2099"/>
      <c r="E27" s="2099"/>
      <c r="F27" s="2099"/>
      <c r="G27" s="2099"/>
      <c r="H27" s="2099"/>
      <c r="I27" s="2099"/>
      <c r="J27" s="2099"/>
      <c r="K27" s="2099"/>
      <c r="L27" s="2099"/>
      <c r="M27" s="2099"/>
      <c r="N27" s="2099"/>
      <c r="O27" s="2099"/>
      <c r="P27" s="2099"/>
      <c r="Q27" s="2099"/>
      <c r="R27" s="2099"/>
      <c r="S27" s="2099"/>
      <c r="T27" s="2099"/>
      <c r="U27" s="468"/>
      <c r="V27" s="2099"/>
      <c r="W27" s="2099"/>
    </row>
    <row s="30681" customFormat="1" customHeight="1" ht="15">
      <c r="U28" s="469"/>
    </row>
    <row s="30764" customFormat="1" customHeight="1" ht="15">
      <c r="A29" s="707"/>
      <c r="B29" s="707"/>
      <c r="C29" s="460"/>
      <c r="D29" s="2105"/>
      <c r="E29" s="2105"/>
      <c r="F29" s="2105"/>
      <c r="G29" s="2845" t="s">
        <v>106</v>
      </c>
      <c r="H29" s="2387">
        <v>1</v>
      </c>
      <c r="I29" s="2846" t="str">
        <f>IF(U29="","",INDEX(TERRITORY_MR_LIST,MATCH(U29,TERRITORY_LIST_ID,0)))</f>
        <v/>
      </c>
      <c r="J29" s="2391" t="s">
        <v>19</v>
      </c>
      <c r="K29" s="1116"/>
      <c r="L29" s="2066" t="s">
        <v>141</v>
      </c>
      <c r="M29" s="887"/>
      <c r="N29" s="888"/>
      <c r="O29" s="888"/>
      <c r="P29" s="888"/>
      <c r="Q29" s="888"/>
      <c r="R29" s="888"/>
      <c r="S29" s="888"/>
      <c r="T29" s="888"/>
      <c r="U29" s="889"/>
      <c r="V29" s="888"/>
      <c r="W29" s="888"/>
      <c r="X29" s="879"/>
      <c r="Y29" s="879" t="s">
        <v>148</v>
      </c>
      <c r="Z29" s="879">
        <v>1705000</v>
      </c>
      <c r="AA29" s="879"/>
      <c r="AB29" s="879"/>
      <c r="AC29" s="879"/>
      <c r="AD29" s="879"/>
      <c r="AE29" s="879"/>
      <c r="AF29" s="879"/>
      <c r="AG29" s="879"/>
      <c r="AH29" s="879"/>
      <c r="AI29" s="879"/>
      <c r="AJ29" s="879"/>
      <c r="AK29" s="879"/>
      <c r="AL29" s="879"/>
    </row>
    <row s="30764" customFormat="1" customHeight="1" ht="15">
      <c r="A30" s="707"/>
      <c r="B30" s="707"/>
      <c r="C30" s="460"/>
      <c r="D30" s="2105"/>
      <c r="E30" s="2105"/>
      <c r="F30" s="2105"/>
      <c r="G30" s="2845"/>
      <c r="H30" s="2387"/>
      <c r="I30" s="2846"/>
      <c r="J30" s="2391"/>
      <c r="K30" s="705"/>
      <c r="L30" s="461"/>
      <c r="M30" s="891" t="s">
        <v>149</v>
      </c>
      <c r="N30" s="888"/>
      <c r="O30" s="888"/>
      <c r="P30" s="888"/>
      <c r="Q30" s="888"/>
      <c r="R30" s="888"/>
      <c r="S30" s="888"/>
      <c r="T30" s="888"/>
      <c r="U30" s="889"/>
      <c r="V30" s="888"/>
      <c r="W30" s="888"/>
      <c r="X30" s="879"/>
      <c r="Y30" s="879"/>
      <c r="Z30" s="879"/>
      <c r="AA30" s="879"/>
      <c r="AB30" s="879"/>
      <c r="AC30" s="879"/>
      <c r="AD30" s="879"/>
      <c r="AE30" s="879"/>
      <c r="AF30" s="879"/>
      <c r="AG30" s="879"/>
      <c r="AH30" s="879"/>
      <c r="AI30" s="879"/>
      <c r="AJ30" s="879"/>
      <c r="AK30" s="879"/>
      <c r="AL30" s="879"/>
    </row>
    <row s="30681" customFormat="1" customHeight="1" ht="15">
      <c r="U31" s="469"/>
    </row>
    <row s="30681" customFormat="1" customHeight="1" ht="15">
      <c r="A32" s="2099" t="s">
        <v>1992</v>
      </c>
      <c r="B32" s="2099"/>
      <c r="C32" s="2099"/>
      <c r="D32" s="2099"/>
      <c r="E32" s="2099"/>
      <c r="F32" s="2099"/>
      <c r="G32" s="2099"/>
      <c r="H32" s="2099"/>
      <c r="I32" s="2099"/>
      <c r="J32" s="2099"/>
      <c r="K32" s="2099"/>
      <c r="L32" s="2099"/>
      <c r="M32" s="2099"/>
      <c r="N32" s="2099"/>
      <c r="O32" s="2099"/>
      <c r="P32" s="2099"/>
      <c r="Q32" s="2099"/>
      <c r="R32" s="2099"/>
      <c r="S32" s="2099"/>
      <c r="T32" s="2099"/>
      <c r="U32" s="468"/>
      <c r="V32" s="2099"/>
      <c r="W32" s="2099"/>
    </row>
    <row s="30681" customFormat="1" customHeight="1" ht="15">
      <c r="U33" s="469"/>
    </row>
    <row s="30764" customFormat="1" customHeight="1" ht="15">
      <c r="A34" s="707"/>
      <c r="B34" s="707"/>
      <c r="C34" s="460"/>
      <c r="D34" s="2105"/>
      <c r="E34" s="2105"/>
      <c r="F34" s="2105"/>
      <c r="G34" s="2105"/>
      <c r="H34" s="2105"/>
      <c r="I34" s="2105"/>
      <c r="J34" s="2105"/>
      <c r="K34" s="2083" t="s">
        <v>106</v>
      </c>
      <c r="L34" s="2013" t="s">
        <v>141</v>
      </c>
      <c r="M34" s="1095"/>
      <c r="N34" s="1096"/>
      <c r="O34" s="888"/>
      <c r="P34" s="888"/>
      <c r="Q34" s="888"/>
      <c r="R34" s="888"/>
      <c r="S34" s="888"/>
      <c r="T34" s="888"/>
      <c r="U34" s="889"/>
      <c r="V34" s="888"/>
      <c r="W34" s="888"/>
      <c r="X34" s="879"/>
      <c r="Y34" s="879" t="s">
        <v>148</v>
      </c>
      <c r="Z34" s="879">
        <v>1705000</v>
      </c>
      <c r="AA34" s="879"/>
      <c r="AB34" s="879"/>
      <c r="AC34" s="879"/>
      <c r="AD34" s="879"/>
      <c r="AE34" s="879"/>
      <c r="AF34" s="879"/>
      <c r="AG34" s="879"/>
      <c r="AH34" s="879"/>
      <c r="AI34" s="879"/>
      <c r="AJ34" s="879"/>
      <c r="AK34" s="879"/>
      <c r="AL34" s="879"/>
    </row>
    <row s="30681" customFormat="1" customHeight="1" ht="15">
      <c r="U35" s="469"/>
    </row>
    <row s="30681" customFormat="1" customHeight="1" ht="15">
      <c r="U36" s="469"/>
    </row>
    <row s="38442" customFormat="1" customHeight="1" ht="11.25">
      <c r="A37" s="2099" t="s">
        <v>1993</v>
      </c>
    </row>
    <row customHeight="1" ht="11.25"/>
    <row s="31217" customFormat="1" customHeight="1" ht="22.5">
      <c r="A39" s="2075"/>
      <c r="B39" s="741"/>
      <c r="C39" s="1143"/>
      <c r="D39" s="724"/>
      <c r="E39" s="1144"/>
      <c r="F39" s="2096"/>
      <c r="G39" s="2106"/>
      <c r="H39" s="759"/>
    </row>
    <row customHeight="1" ht="11.25"/>
    <row s="38442" customFormat="1" customHeight="1" ht="11.25">
      <c r="A41" s="2099" t="s">
        <v>1994</v>
      </c>
    </row>
    <row customHeight="1" ht="11.25"/>
    <row s="31217" customFormat="1" customHeight="1" ht="22.5">
      <c r="A43" s="741"/>
      <c r="B43" s="741"/>
      <c r="C43" s="741"/>
      <c r="D43" s="724"/>
      <c r="E43" s="1144"/>
      <c r="F43" s="1145"/>
      <c r="G43" s="2106"/>
      <c r="H43" s="759"/>
    </row>
    <row customHeight="1" ht="11.25"/>
    <row s="38442" customFormat="1" customHeight="1" ht="11.25">
      <c r="A45" s="2099" t="s">
        <v>1995</v>
      </c>
    </row>
    <row customHeight="1" ht="11.25"/>
    <row s="31217" customFormat="1" customHeight="1" ht="24">
      <c r="A47" s="2486" t="s">
        <v>373</v>
      </c>
      <c r="B47" s="786"/>
      <c r="C47" s="2497"/>
      <c r="D47" s="729" t="str">
        <f>A47</f>
        <v>5.1</v>
      </c>
      <c r="E47" s="726" t="s">
        <v>374</v>
      </c>
      <c r="F47" s="2260" t="s">
        <v>366</v>
      </c>
      <c r="G47" s="728" t="s">
        <v>375</v>
      </c>
      <c r="H47" s="759"/>
      <c r="I47" s="1136"/>
    </row>
    <row s="31217" customFormat="1" customHeight="1" ht="22.5">
      <c r="A48" s="2486"/>
      <c r="B48" s="786"/>
      <c r="C48" s="2497"/>
      <c r="D48" s="724" t="str">
        <f>D47&amp;".1"</f>
        <v>5.1.1</v>
      </c>
      <c r="E48" s="723" t="s">
        <v>376</v>
      </c>
      <c r="F48" s="2261" t="s">
        <v>28</v>
      </c>
      <c r="G48" s="758"/>
      <c r="H48" s="759"/>
      <c r="I48" s="1136"/>
    </row>
    <row s="31217" customFormat="1" customHeight="1" ht="22.5">
      <c r="A49" s="2486"/>
      <c r="B49" s="786"/>
      <c r="C49" s="2497"/>
      <c r="D49" s="724" t="str">
        <f>D47&amp;".2"</f>
        <v>5.1.2</v>
      </c>
      <c r="E49" s="723" t="s">
        <v>377</v>
      </c>
      <c r="F49" s="2016" t="s">
        <v>28</v>
      </c>
      <c r="G49" s="728" t="s">
        <v>378</v>
      </c>
      <c r="H49" s="759"/>
      <c r="I49" s="1136"/>
    </row>
    <row s="31217" customFormat="1" customHeight="1" ht="22.5">
      <c r="A50" s="2486"/>
      <c r="B50" s="786"/>
      <c r="C50" s="2497"/>
      <c r="D50" s="724" t="str">
        <f>D47&amp;".3"</f>
        <v>5.1.3</v>
      </c>
      <c r="E50" s="723" t="s">
        <v>379</v>
      </c>
      <c r="F50" s="2261" t="s">
        <v>28</v>
      </c>
      <c r="G50" s="758"/>
      <c r="H50" s="759"/>
      <c r="I50" s="1136"/>
    </row>
    <row s="31217" customFormat="1" customHeight="1" ht="22.5">
      <c r="A51" s="2486"/>
      <c r="B51" s="786"/>
      <c r="C51" s="2497"/>
      <c r="D51" s="724" t="str">
        <f>D47&amp;".4"</f>
        <v>5.1.4</v>
      </c>
      <c r="E51" s="723" t="s">
        <v>380</v>
      </c>
      <c r="F51" s="2261" t="s">
        <v>28</v>
      </c>
      <c r="G51" s="728" t="s">
        <v>381</v>
      </c>
      <c r="H51" s="759"/>
      <c r="I51" s="1136"/>
    </row>
    <row r="54" s="38442" customFormat="1" customHeight="1" ht="17.25">
      <c r="A54" s="2099" t="s">
        <v>1996</v>
      </c>
    </row>
    <row r="56" s="30516" customFormat="1" customHeight="1" ht="18.75">
      <c r="A56" s="373"/>
      <c r="B56" s="2107"/>
      <c r="C56" s="2107"/>
      <c r="D56" s="2108"/>
      <c r="E56" s="2093"/>
      <c r="F56" s="1152">
        <v>13</v>
      </c>
      <c r="G56" s="1151"/>
      <c r="H56" s="1077"/>
      <c r="I56" s="1075"/>
      <c r="J56" s="804" t="s">
        <v>64</v>
      </c>
      <c r="K56" s="2109" t="s">
        <v>28</v>
      </c>
      <c r="L56" s="373"/>
      <c r="M56" s="1920"/>
      <c r="N56" s="1920"/>
      <c r="O56" s="1920"/>
      <c r="P56" s="800" t="s">
        <v>452</v>
      </c>
      <c r="Q56" s="800" t="s">
        <v>453</v>
      </c>
      <c r="R56" s="801" t="s">
        <v>454</v>
      </c>
      <c r="S56" s="1920" t="s">
        <v>455</v>
      </c>
      <c r="T56" s="1920"/>
      <c r="U56" s="1920"/>
      <c r="V56" s="1920"/>
    </row>
    <row r="58" s="38442" customFormat="1" customHeight="1" ht="11.25">
      <c r="A58" s="2099" t="s">
        <v>1997</v>
      </c>
    </row>
    <row r="60" s="30541" customFormat="1" customHeight="1" ht="14.25">
      <c r="C60" s="1972"/>
      <c r="D60" s="2153"/>
      <c r="E60" s="2061" t="s">
        <v>28</v>
      </c>
      <c r="F60" s="2152"/>
      <c r="G60" s="1140"/>
      <c r="H60" s="2062"/>
      <c r="I60" s="2062"/>
      <c r="J60" s="717"/>
      <c r="K60" s="2147"/>
      <c r="L60" s="716"/>
      <c r="M60" s="2147"/>
      <c r="N60" s="717"/>
      <c r="O60" s="2147"/>
      <c r="P60" s="717"/>
      <c r="Q60" s="2147"/>
      <c r="R60" s="717"/>
      <c r="S60" s="1138"/>
      <c r="T60" s="2062"/>
      <c r="U60" s="717"/>
      <c r="V60" s="717"/>
      <c r="W60" s="2151"/>
      <c r="X60" s="2062"/>
      <c r="Y60" s="717"/>
      <c r="Z60" s="717"/>
      <c r="AA60" s="2151"/>
      <c r="AB60" s="2062"/>
      <c r="AC60" s="717"/>
      <c r="AD60" s="2151"/>
      <c r="AE60" s="373"/>
      <c r="AF60" s="373"/>
      <c r="AG60" s="373"/>
      <c r="AH60" s="373"/>
      <c r="AJ60" s="1920"/>
      <c r="AK60" s="1920"/>
      <c r="AL60" s="1920"/>
      <c r="AM60" s="1920"/>
      <c r="AN60" s="1920"/>
      <c r="AO60" s="1920"/>
      <c r="AP60" s="1908" t="s">
        <v>441</v>
      </c>
      <c r="AQ60" s="1908" t="s">
        <v>441</v>
      </c>
      <c r="AR60" s="1920"/>
      <c r="AS60" s="1920"/>
    </row>
    <row r="62" s="38442" customFormat="1" customHeight="1" ht="11.25">
      <c r="A62" s="2099" t="s">
        <v>1998</v>
      </c>
    </row>
    <row r="64" s="38057" customFormat="1" customHeight="1" ht="15">
      <c r="A64" s="429" t="s">
        <v>93</v>
      </c>
      <c r="B64" s="409" t="s">
        <v>28</v>
      </c>
      <c r="C64" s="2110"/>
      <c r="D64" s="412"/>
      <c r="E64" s="665"/>
      <c r="F64" s="665"/>
      <c r="G64" s="2087"/>
      <c r="H64" s="2109"/>
      <c r="I64" s="2088"/>
      <c r="K64" s="556"/>
      <c r="L64" s="557"/>
    </row>
    <row r="66" s="38442" customFormat="1" customHeight="1" ht="11.25">
      <c r="A66" s="2099" t="s">
        <v>1999</v>
      </c>
    </row>
    <row r="68" s="30541" customFormat="1" customHeight="1" ht="14.25">
      <c r="A68" s="627"/>
      <c r="B68" s="1444"/>
      <c r="C68" s="660"/>
      <c r="D68" s="2094"/>
      <c r="E68" s="1170"/>
      <c r="F68" s="2109"/>
      <c r="G68" s="373"/>
      <c r="I68" s="1908"/>
      <c r="J68" s="1908"/>
    </row>
    <row r="70" s="38442" customFormat="1" customHeight="1" ht="11.25">
      <c r="A70" s="2099" t="s">
        <v>2000</v>
      </c>
    </row>
    <row r="72" s="30541" customFormat="1" customHeight="1" ht="27">
      <c r="A72" s="1450"/>
      <c r="B72" s="1450"/>
      <c r="C72" s="1450"/>
      <c r="D72" s="1444"/>
      <c r="E72" s="2111"/>
      <c r="F72" s="2865"/>
      <c r="G72" s="2866"/>
      <c r="H72" s="2867" t="s">
        <v>64</v>
      </c>
      <c r="I72" s="2869"/>
      <c r="J72" s="2832"/>
      <c r="K72" s="2871"/>
      <c r="L72" s="2834"/>
      <c r="M72" s="2834"/>
      <c r="N72" s="2835"/>
      <c r="O72" s="2835"/>
      <c r="P72" s="2836">
        <f>DATEDIF(DATEVALUE(N72),DATEVALUE(O72),"y")&amp;"г. "&amp;DATEDIF(DATEVALUE(N72),DATEVALUE(O72),"ym")&amp;"мес. "&amp;DATEVALUE(O72)-DATE(YEAR(DATEVALUE(O72)),MONTH(DATEVALUE(O72)),1)&amp;"дн. "</f>
      </c>
      <c r="Q72" s="2831"/>
      <c r="R72" s="2831"/>
      <c r="S72" s="2831"/>
      <c r="T72" s="2832"/>
      <c r="U72" s="2831"/>
      <c r="V72" s="2831"/>
      <c r="W72" s="2831"/>
      <c r="X72" s="2832"/>
      <c r="Y72" s="2829" t="s">
        <v>64</v>
      </c>
      <c r="Z72" s="2092"/>
      <c r="AA72" s="2076">
        <v>1</v>
      </c>
      <c r="AB72" s="1526"/>
      <c r="AD72" s="1920" t="s">
        <v>2001</v>
      </c>
    </row>
    <row s="30541" customFormat="1" customHeight="1" ht="10.5">
      <c r="A73" s="1450"/>
      <c r="B73" s="1450"/>
      <c r="C73" s="1450"/>
      <c r="D73" s="1444"/>
      <c r="E73" s="1231"/>
      <c r="F73" s="2865"/>
      <c r="G73" s="2866"/>
      <c r="H73" s="2868"/>
      <c r="I73" s="2870"/>
      <c r="J73" s="2833"/>
      <c r="K73" s="2871"/>
      <c r="L73" s="2834"/>
      <c r="M73" s="2834"/>
      <c r="N73" s="2835"/>
      <c r="O73" s="2835"/>
      <c r="P73" s="2836"/>
      <c r="Q73" s="2831"/>
      <c r="R73" s="2831"/>
      <c r="S73" s="2831"/>
      <c r="T73" s="2833"/>
      <c r="U73" s="2831"/>
      <c r="V73" s="2831"/>
      <c r="W73" s="2831"/>
      <c r="X73" s="2833"/>
      <c r="Y73" s="2830"/>
      <c r="Z73" s="631"/>
      <c r="AA73" s="856"/>
      <c r="AB73" s="936" t="s">
        <v>2002</v>
      </c>
    </row>
    <row r="75" s="38442" customFormat="1" customHeight="1" ht="11.25">
      <c r="A75" s="2099" t="s">
        <v>2003</v>
      </c>
    </row>
    <row r="77" s="30541" customFormat="1" customHeight="1" ht="27">
      <c r="A77" s="1450"/>
      <c r="B77" s="1450"/>
      <c r="C77" s="1450"/>
      <c r="D77" s="1444"/>
      <c r="E77" s="2111"/>
      <c r="F77" s="2081"/>
      <c r="G77" s="2031"/>
      <c r="H77" s="2032"/>
      <c r="I77" s="2033"/>
      <c r="J77" s="2034"/>
      <c r="K77" s="2035"/>
      <c r="L77" s="2036"/>
      <c r="M77" s="2036"/>
      <c r="N77" s="2037"/>
      <c r="O77" s="2037"/>
      <c r="P77" s="2038"/>
      <c r="Q77" s="2039"/>
      <c r="R77" s="2039"/>
      <c r="S77" s="2039"/>
      <c r="T77" s="2034"/>
      <c r="U77" s="2039"/>
      <c r="V77" s="2039"/>
      <c r="W77" s="2039"/>
      <c r="X77" s="2034"/>
      <c r="Y77" s="2032"/>
      <c r="Z77" s="2092"/>
      <c r="AA77" s="2076">
        <v>1</v>
      </c>
      <c r="AB77" s="1526"/>
      <c r="AD77" s="1920" t="s">
        <v>2001</v>
      </c>
    </row>
    <row r="79" s="38442" customFormat="1" customHeight="1" ht="11.25">
      <c r="A79" s="2099" t="s">
        <v>2004</v>
      </c>
    </row>
    <row customHeight="1" ht="17.25"/>
    <row s="30541" customFormat="1" customHeight="1" ht="21">
      <c r="A81" s="1451"/>
      <c r="B81" s="1450"/>
      <c r="C81" s="1450"/>
      <c r="D81" s="1444"/>
      <c r="E81" s="1454"/>
      <c r="F81" s="1406">
        <f>INDEX(IP_MAIN_LIST_NAME_IP,MATCH(A81,IP_MAIN_LIST_IP_ID,0))&amp;" ("&amp;INDEX(IP_MAIN_START_DATE,MATCH(A81,IP_MAIN_LIST_IP_ID,0))&amp;"-"&amp;INDEX(IP_MAIN_END_DATE,MATCH(A81,IP_MAIN_LIST_IP_ID,0))&amp;")"</f>
      </c>
      <c r="G81" s="1407"/>
      <c r="H81" s="1407"/>
      <c r="I81" s="1469"/>
      <c r="J81" s="1469"/>
      <c r="K81" s="1470"/>
      <c r="L81" s="1470"/>
      <c r="M81" s="1470"/>
      <c r="N81" s="1471"/>
      <c r="O81" s="1471"/>
      <c r="P81" s="1471"/>
      <c r="Q81" s="1471"/>
      <c r="R81" s="1471"/>
      <c r="S81" s="1471"/>
      <c r="T81" s="1471"/>
      <c r="U81" s="1471"/>
      <c r="V81" s="1471"/>
      <c r="W81" s="1471"/>
      <c r="X81" s="1471"/>
      <c r="Y81" s="1471"/>
      <c r="Z81" s="1471"/>
      <c r="AA81" s="1471"/>
      <c r="AB81" s="1471"/>
      <c r="AC81" s="1471"/>
      <c r="AD81" s="1471"/>
      <c r="AE81" s="1472"/>
      <c r="AF81" s="1470"/>
      <c r="AG81" s="1470"/>
      <c r="AH81" s="1470"/>
      <c r="AI81" s="1470"/>
      <c r="AJ81" s="1470"/>
      <c r="AK81" s="1470"/>
      <c r="AL81" s="2272"/>
      <c r="AM81" s="2107"/>
      <c r="AN81" s="2107"/>
      <c r="AO81" s="2107"/>
      <c r="AP81" s="2107"/>
      <c r="AQ81" s="2107"/>
      <c r="AR81" s="2107"/>
      <c r="AS81" s="2107"/>
      <c r="AT81" s="2107"/>
      <c r="AU81" s="2107"/>
      <c r="AV81" s="2107"/>
      <c r="AW81" s="2107"/>
      <c r="AX81" s="2107"/>
      <c r="AY81" s="2107"/>
      <c r="AZ81" s="2107"/>
      <c r="BA81" s="2107"/>
      <c r="BB81" s="2107"/>
      <c r="BC81" s="2107"/>
      <c r="BD81" s="2107"/>
      <c r="BE81" s="2107"/>
      <c r="BF81" s="2107"/>
    </row>
    <row s="30541" customFormat="1" customHeight="1" ht="0.75">
      <c r="A82" s="1450"/>
      <c r="B82" s="1450"/>
      <c r="C82" s="1450"/>
      <c r="D82" s="1444"/>
      <c r="E82" s="1454"/>
      <c r="F82" s="2820"/>
      <c r="G82" s="2799"/>
      <c r="H82" s="2824" t="s">
        <v>436</v>
      </c>
      <c r="I82" s="2825"/>
      <c r="J82" s="2826"/>
      <c r="K82" s="2826"/>
      <c r="L82" s="2818"/>
      <c r="M82" s="2552"/>
      <c r="N82" s="2320"/>
      <c r="O82" s="2319"/>
      <c r="P82" s="2320"/>
      <c r="Q82" s="2320"/>
      <c r="R82" s="2320"/>
      <c r="S82" s="2320"/>
      <c r="T82" s="2320"/>
      <c r="U82" s="2320"/>
      <c r="V82" s="2320"/>
      <c r="W82" s="2320"/>
      <c r="X82" s="2320"/>
      <c r="Y82" s="2320"/>
      <c r="Z82" s="2320"/>
      <c r="AA82" s="2320"/>
      <c r="AB82" s="2320"/>
      <c r="AC82" s="2320"/>
      <c r="AD82" s="2320"/>
      <c r="AE82" s="2320"/>
      <c r="AF82" s="2822"/>
      <c r="AG82" s="2818"/>
      <c r="AH82" s="2818"/>
      <c r="AI82" s="2822"/>
      <c r="AJ82" s="2818"/>
      <c r="AK82" s="2818"/>
      <c r="AL82" s="2272"/>
      <c r="AM82" s="2107"/>
      <c r="AN82" s="2107"/>
      <c r="AO82" s="2107"/>
      <c r="AP82" s="2107"/>
      <c r="AQ82" s="2107"/>
      <c r="AR82" s="2107"/>
      <c r="AS82" s="2107"/>
      <c r="AT82" s="2107"/>
      <c r="AU82" s="2107"/>
      <c r="AV82" s="2107"/>
      <c r="AW82" s="2107"/>
      <c r="AX82" s="2107"/>
      <c r="AY82" s="2107"/>
      <c r="AZ82" s="2107"/>
      <c r="BA82" s="2107"/>
      <c r="BB82" s="2107"/>
      <c r="BC82" s="2107"/>
      <c r="BD82" s="2107"/>
      <c r="BE82" s="2107"/>
      <c r="BF82" s="2107"/>
    </row>
    <row s="30541" customFormat="1" customHeight="1" ht="0.75">
      <c r="A83" s="1450"/>
      <c r="B83" s="1450"/>
      <c r="C83" s="1450"/>
      <c r="D83" s="1444"/>
      <c r="E83" s="1454"/>
      <c r="F83" s="2820"/>
      <c r="G83" s="2799"/>
      <c r="H83" s="2824"/>
      <c r="I83" s="2825"/>
      <c r="J83" s="2826"/>
      <c r="K83" s="2826"/>
      <c r="L83" s="2818"/>
      <c r="M83" s="2552"/>
      <c r="N83" s="2827"/>
      <c r="O83" s="2828"/>
      <c r="P83" s="2872"/>
      <c r="Q83" s="2823"/>
      <c r="R83" s="2823"/>
      <c r="S83" s="2823"/>
      <c r="T83" s="2823"/>
      <c r="U83" s="2823"/>
      <c r="V83" s="2823"/>
      <c r="W83" s="2823"/>
      <c r="X83" s="2823"/>
      <c r="Y83" s="2823"/>
      <c r="Z83" s="2321"/>
      <c r="AA83" s="2322"/>
      <c r="AB83" s="2322"/>
      <c r="AC83" s="2323"/>
      <c r="AD83" s="2323"/>
      <c r="AE83" s="2324"/>
      <c r="AF83" s="2822"/>
      <c r="AG83" s="2818"/>
      <c r="AH83" s="2818"/>
      <c r="AI83" s="2822"/>
      <c r="AJ83" s="2818"/>
      <c r="AK83" s="2818"/>
      <c r="AL83" s="2272"/>
      <c r="AM83" s="2107"/>
      <c r="AN83" s="2107"/>
      <c r="AO83" s="2107"/>
      <c r="AP83" s="2107"/>
      <c r="AQ83" s="2107"/>
      <c r="AR83" s="2107"/>
      <c r="AS83" s="2107"/>
      <c r="AT83" s="2107"/>
      <c r="AU83" s="2107"/>
      <c r="AV83" s="2107"/>
      <c r="AW83" s="2107"/>
      <c r="AX83" s="2107"/>
      <c r="AY83" s="2107"/>
      <c r="AZ83" s="2107"/>
      <c r="BA83" s="2107"/>
      <c r="BB83" s="2107"/>
      <c r="BC83" s="2107"/>
      <c r="BD83" s="2107"/>
      <c r="BE83" s="2107"/>
      <c r="BF83" s="2107"/>
    </row>
    <row s="30541" customFormat="1" customHeight="1" ht="0.75">
      <c r="A84" s="1450"/>
      <c r="B84" s="1450"/>
      <c r="C84" s="1450"/>
      <c r="D84" s="1444"/>
      <c r="E84" s="1454"/>
      <c r="F84" s="2820"/>
      <c r="G84" s="2799"/>
      <c r="H84" s="2824"/>
      <c r="I84" s="2825"/>
      <c r="J84" s="2826"/>
      <c r="K84" s="2826"/>
      <c r="L84" s="2818"/>
      <c r="M84" s="2552"/>
      <c r="N84" s="2827"/>
      <c r="O84" s="2828"/>
      <c r="P84" s="2873"/>
      <c r="Q84" s="2823"/>
      <c r="R84" s="2823"/>
      <c r="S84" s="2823"/>
      <c r="T84" s="2823"/>
      <c r="U84" s="2823"/>
      <c r="V84" s="2823"/>
      <c r="W84" s="2823"/>
      <c r="X84" s="2823"/>
      <c r="Y84" s="2823"/>
      <c r="Z84" s="2325"/>
      <c r="AA84" s="2326"/>
      <c r="AB84" s="2327"/>
      <c r="AC84" s="2328"/>
      <c r="AD84" s="2327"/>
      <c r="AE84" s="2328"/>
      <c r="AF84" s="2822"/>
      <c r="AG84" s="2818"/>
      <c r="AH84" s="2818"/>
      <c r="AI84" s="2822"/>
      <c r="AJ84" s="2818"/>
      <c r="AK84" s="2818"/>
      <c r="AL84" s="2272"/>
      <c r="AM84" s="2107"/>
      <c r="AN84" s="2107"/>
      <c r="AO84" s="2107"/>
      <c r="AP84" s="2107"/>
      <c r="AQ84" s="2107"/>
      <c r="AR84" s="2107"/>
      <c r="AS84" s="2107"/>
      <c r="AT84" s="2107"/>
      <c r="AU84" s="2107"/>
      <c r="AV84" s="2107"/>
      <c r="AW84" s="2107"/>
      <c r="AX84" s="2107"/>
      <c r="AY84" s="2107"/>
      <c r="AZ84" s="2107"/>
      <c r="BA84" s="2107"/>
      <c r="BB84" s="2107"/>
      <c r="BC84" s="2107"/>
      <c r="BD84" s="2107"/>
      <c r="BE84" s="2107"/>
      <c r="BF84" s="2107"/>
    </row>
    <row s="30541" customFormat="1" customHeight="1" ht="0.75">
      <c r="A85" s="1450"/>
      <c r="B85" s="1450"/>
      <c r="C85" s="1450"/>
      <c r="D85" s="1444"/>
      <c r="E85" s="1454"/>
      <c r="F85" s="2820"/>
      <c r="G85" s="2799"/>
      <c r="H85" s="2824"/>
      <c r="I85" s="2825"/>
      <c r="J85" s="2826"/>
      <c r="K85" s="2826"/>
      <c r="L85" s="2818"/>
      <c r="M85" s="2552"/>
      <c r="N85" s="2827"/>
      <c r="O85" s="2828"/>
      <c r="P85" s="2874"/>
      <c r="Q85" s="2823"/>
      <c r="R85" s="2823"/>
      <c r="S85" s="2823"/>
      <c r="T85" s="2823"/>
      <c r="U85" s="2823"/>
      <c r="V85" s="2823"/>
      <c r="W85" s="2823"/>
      <c r="X85" s="2823"/>
      <c r="Y85" s="2823"/>
      <c r="Z85" s="2321"/>
      <c r="AA85" s="2322"/>
      <c r="AB85" s="2329"/>
      <c r="AC85" s="2323"/>
      <c r="AD85" s="2323"/>
      <c r="AE85" s="2330"/>
      <c r="AF85" s="2822"/>
      <c r="AG85" s="2818"/>
      <c r="AH85" s="2818"/>
      <c r="AI85" s="2822"/>
      <c r="AJ85" s="2818"/>
      <c r="AK85" s="2818"/>
      <c r="AL85" s="2272"/>
      <c r="AM85" s="2107"/>
      <c r="AN85" s="2107"/>
      <c r="AO85" s="2107"/>
      <c r="AP85" s="2107"/>
      <c r="AQ85" s="2107"/>
      <c r="AR85" s="2107"/>
      <c r="AS85" s="2107"/>
      <c r="AT85" s="2107"/>
      <c r="AU85" s="2107"/>
      <c r="AV85" s="2107"/>
      <c r="AW85" s="2107"/>
      <c r="AX85" s="2107"/>
      <c r="AY85" s="2107"/>
      <c r="AZ85" s="2107"/>
      <c r="BA85" s="2107"/>
      <c r="BB85" s="2107"/>
      <c r="BC85" s="2107"/>
      <c r="BD85" s="2107"/>
      <c r="BE85" s="2107"/>
      <c r="BF85" s="2107"/>
    </row>
    <row s="30541" customFormat="1" customHeight="1" ht="0.75">
      <c r="A86" s="1450"/>
      <c r="B86" s="1450"/>
      <c r="C86" s="1450"/>
      <c r="D86" s="1444"/>
      <c r="E86" s="1454"/>
      <c r="F86" s="2820"/>
      <c r="G86" s="2799"/>
      <c r="H86" s="2824"/>
      <c r="I86" s="2825"/>
      <c r="J86" s="2826"/>
      <c r="K86" s="2826"/>
      <c r="L86" s="2818"/>
      <c r="M86" s="2552"/>
      <c r="N86" s="2322"/>
      <c r="O86" s="2322"/>
      <c r="P86" s="2329"/>
      <c r="Q86" s="2322"/>
      <c r="R86" s="2322"/>
      <c r="S86" s="2322"/>
      <c r="T86" s="2322"/>
      <c r="U86" s="2322"/>
      <c r="V86" s="2322"/>
      <c r="W86" s="2322"/>
      <c r="X86" s="2322"/>
      <c r="Y86" s="2322"/>
      <c r="Z86" s="2322"/>
      <c r="AA86" s="2322"/>
      <c r="AB86" s="2322"/>
      <c r="AC86" s="2322"/>
      <c r="AD86" s="2322"/>
      <c r="AE86" s="2331"/>
      <c r="AF86" s="2822"/>
      <c r="AG86" s="2818"/>
      <c r="AH86" s="2818"/>
      <c r="AI86" s="2822"/>
      <c r="AJ86" s="2818"/>
      <c r="AK86" s="2818"/>
      <c r="AL86" s="2272"/>
      <c r="AM86" s="2107"/>
      <c r="AN86" s="2107"/>
      <c r="AO86" s="2107"/>
      <c r="AP86" s="2107"/>
      <c r="AQ86" s="2107"/>
      <c r="AR86" s="2107"/>
      <c r="AS86" s="2107"/>
      <c r="AT86" s="2107"/>
      <c r="AU86" s="2107"/>
      <c r="AV86" s="2107"/>
      <c r="AW86" s="2107"/>
      <c r="AX86" s="2107"/>
      <c r="AY86" s="2107"/>
      <c r="AZ86" s="2107"/>
      <c r="BA86" s="2107"/>
      <c r="BB86" s="2107"/>
      <c r="BC86" s="2107"/>
      <c r="BD86" s="2107"/>
      <c r="BE86" s="2107"/>
      <c r="BF86" s="2107"/>
    </row>
    <row s="30541" customFormat="1" customHeight="1" ht="12">
      <c r="A87" s="1450"/>
      <c r="B87" s="1450"/>
      <c r="C87" s="1450"/>
      <c r="D87" s="1444"/>
      <c r="E87" s="1454"/>
      <c r="F87" s="2821"/>
      <c r="G87" s="1474"/>
      <c r="H87" s="1474"/>
      <c r="I87" s="2819" t="s">
        <v>2005</v>
      </c>
      <c r="J87" s="2819"/>
      <c r="K87" s="2819"/>
      <c r="L87" s="1457"/>
      <c r="M87" s="1457"/>
      <c r="N87" s="1458"/>
      <c r="O87" s="1458"/>
      <c r="P87" s="1458"/>
      <c r="Q87" s="1458"/>
      <c r="R87" s="1458"/>
      <c r="S87" s="1458"/>
      <c r="T87" s="1458"/>
      <c r="U87" s="1458"/>
      <c r="V87" s="1458"/>
      <c r="W87" s="1458"/>
      <c r="X87" s="1458"/>
      <c r="Y87" s="1458"/>
      <c r="Z87" s="1458"/>
      <c r="AA87" s="1458"/>
      <c r="AB87" s="1458"/>
      <c r="AC87" s="1458"/>
      <c r="AD87" s="1458"/>
      <c r="AE87" s="1458"/>
      <c r="AF87" s="1458"/>
      <c r="AG87" s="1457"/>
      <c r="AH87" s="1457"/>
      <c r="AI87" s="1458"/>
      <c r="AJ87" s="1457"/>
      <c r="AK87" s="1458"/>
      <c r="AL87" s="2272"/>
      <c r="AM87" s="2107"/>
      <c r="AN87" s="2107"/>
      <c r="AO87" s="2107"/>
      <c r="AP87" s="2107"/>
      <c r="AQ87" s="2107"/>
      <c r="AR87" s="2107"/>
      <c r="AS87" s="2107"/>
      <c r="AT87" s="2107"/>
      <c r="AU87" s="2107"/>
      <c r="AV87" s="2107"/>
      <c r="AW87" s="2107"/>
      <c r="AX87" s="2107"/>
      <c r="AY87" s="2107"/>
      <c r="AZ87" s="2107"/>
      <c r="BA87" s="2107"/>
      <c r="BB87" s="2107"/>
      <c r="BC87" s="2107"/>
      <c r="BD87" s="2107"/>
      <c r="BE87" s="2107"/>
      <c r="BF87" s="2107"/>
    </row>
    <row r="89" s="38442" customFormat="1" customHeight="1" ht="11.25">
      <c r="A89" s="2099" t="s">
        <v>2006</v>
      </c>
    </row>
    <row r="91" s="30541" customFormat="1" customHeight="1" ht="11.25">
      <c r="A91" s="1450"/>
      <c r="B91" s="1450"/>
      <c r="C91" s="1450"/>
      <c r="D91" s="1444"/>
      <c r="E91" s="1454"/>
      <c r="F91" s="2113"/>
      <c r="G91" s="2114"/>
      <c r="H91" s="2114"/>
      <c r="I91" s="2048"/>
      <c r="J91" s="2048"/>
      <c r="K91" s="2115"/>
      <c r="L91" s="2048"/>
      <c r="M91" s="2114"/>
      <c r="N91" s="2792"/>
      <c r="O91" s="2875">
        <v>1</v>
      </c>
      <c r="P91" s="2794" t="s">
        <v>19</v>
      </c>
      <c r="Q91" s="2797" t="s">
        <v>28</v>
      </c>
      <c r="R91" s="2797" t="s">
        <v>28</v>
      </c>
      <c r="S91" s="2797" t="s">
        <v>28</v>
      </c>
      <c r="T91" s="2797" t="s">
        <v>28</v>
      </c>
      <c r="U91" s="2797" t="s">
        <v>28</v>
      </c>
      <c r="V91" s="2797" t="s">
        <v>28</v>
      </c>
      <c r="W91" s="2797" t="s">
        <v>28</v>
      </c>
      <c r="X91" s="2797" t="s">
        <v>28</v>
      </c>
      <c r="Y91" s="2797"/>
      <c r="Z91" s="1459"/>
      <c r="AA91" s="1460"/>
      <c r="AB91" s="1460"/>
      <c r="AC91" s="1464"/>
      <c r="AD91" s="1464"/>
      <c r="AE91" s="1464"/>
      <c r="AF91" s="2116"/>
      <c r="AG91" s="2043"/>
      <c r="AH91" s="2043"/>
      <c r="AI91" s="2116"/>
      <c r="AJ91" s="2043"/>
      <c r="AK91" s="2271"/>
      <c r="AL91" s="2272"/>
      <c r="AM91" s="2107"/>
      <c r="AN91" s="2107"/>
      <c r="AO91" s="2107"/>
      <c r="AP91" s="2107"/>
      <c r="AQ91" s="2107"/>
      <c r="AR91" s="2107"/>
      <c r="AS91" s="2107"/>
      <c r="AT91" s="2107"/>
      <c r="AU91" s="2107"/>
      <c r="AV91" s="2107"/>
      <c r="AW91" s="2107"/>
      <c r="AX91" s="2107"/>
      <c r="AY91" s="2107"/>
      <c r="AZ91" s="2107"/>
      <c r="BA91" s="2107"/>
      <c r="BB91" s="2107"/>
      <c r="BC91" s="2107"/>
      <c r="BD91" s="2107"/>
      <c r="BE91" s="2107"/>
      <c r="BF91" s="2107"/>
    </row>
    <row s="30541" customFormat="1" customHeight="1" ht="11.25">
      <c r="A92" s="1450"/>
      <c r="B92" s="1450"/>
      <c r="C92" s="1450"/>
      <c r="D92" s="1444"/>
      <c r="E92" s="1454"/>
      <c r="F92" s="2113"/>
      <c r="G92" s="2114"/>
      <c r="H92" s="2114"/>
      <c r="I92" s="2049"/>
      <c r="J92" s="2049"/>
      <c r="K92" s="2115"/>
      <c r="L92" s="2049"/>
      <c r="M92" s="2114"/>
      <c r="N92" s="2792"/>
      <c r="O92" s="2875"/>
      <c r="P92" s="2795"/>
      <c r="Q92" s="2797"/>
      <c r="R92" s="2797"/>
      <c r="S92" s="2798"/>
      <c r="T92" s="2797"/>
      <c r="U92" s="2797"/>
      <c r="V92" s="2797"/>
      <c r="W92" s="2797"/>
      <c r="X92" s="2797"/>
      <c r="Y92" s="2797"/>
      <c r="Z92" s="2112"/>
      <c r="AA92" s="2078">
        <v>1</v>
      </c>
      <c r="AB92" s="1463"/>
      <c r="AC92" s="1453"/>
      <c r="AD92" s="1463">
        <f>AB92</f>
        <v>0</v>
      </c>
      <c r="AE92" s="1008"/>
      <c r="AF92" s="2115"/>
      <c r="AG92" s="2043"/>
      <c r="AH92" s="2043"/>
      <c r="AI92" s="2115"/>
      <c r="AJ92" s="2043"/>
      <c r="AK92" s="2271"/>
      <c r="AL92" s="2272"/>
      <c r="AM92" s="2107"/>
      <c r="AN92" s="2107"/>
      <c r="AO92" s="2107"/>
      <c r="AP92" s="2107"/>
      <c r="AQ92" s="2107"/>
      <c r="AR92" s="2107"/>
      <c r="AS92" s="2107"/>
      <c r="AT92" s="2107"/>
      <c r="AU92" s="2107"/>
      <c r="AV92" s="2107"/>
      <c r="AW92" s="2107"/>
      <c r="AX92" s="2107"/>
      <c r="AY92" s="2107"/>
      <c r="AZ92" s="2107"/>
      <c r="BA92" s="2107"/>
      <c r="BB92" s="2107"/>
      <c r="BC92" s="2107"/>
      <c r="BD92" s="2107"/>
      <c r="BE92" s="2107"/>
      <c r="BF92" s="2107"/>
    </row>
    <row s="30541" customFormat="1" customHeight="1" ht="11.25">
      <c r="A93" s="1450"/>
      <c r="B93" s="1450"/>
      <c r="C93" s="1450"/>
      <c r="D93" s="1444"/>
      <c r="E93" s="1454"/>
      <c r="F93" s="2113"/>
      <c r="G93" s="2114"/>
      <c r="H93" s="2114"/>
      <c r="I93" s="2050"/>
      <c r="J93" s="2050"/>
      <c r="K93" s="2115"/>
      <c r="L93" s="2050"/>
      <c r="M93" s="2114"/>
      <c r="N93" s="2792"/>
      <c r="O93" s="2875"/>
      <c r="P93" s="2796"/>
      <c r="Q93" s="2797"/>
      <c r="R93" s="2797"/>
      <c r="S93" s="2798"/>
      <c r="T93" s="2797"/>
      <c r="U93" s="2797"/>
      <c r="V93" s="2797"/>
      <c r="W93" s="2797"/>
      <c r="X93" s="2797"/>
      <c r="Y93" s="2797"/>
      <c r="Z93" s="1459"/>
      <c r="AA93" s="1460"/>
      <c r="AB93" s="1525" t="s">
        <v>2007</v>
      </c>
      <c r="AC93" s="1464"/>
      <c r="AD93" s="1464"/>
      <c r="AE93" s="1464"/>
      <c r="AF93" s="2117"/>
      <c r="AG93" s="2043"/>
      <c r="AH93" s="2043"/>
      <c r="AI93" s="2117"/>
      <c r="AJ93" s="2043"/>
      <c r="AK93" s="2271"/>
      <c r="AL93" s="2272"/>
      <c r="AM93" s="2107"/>
      <c r="AN93" s="2107"/>
      <c r="AO93" s="2107"/>
      <c r="AP93" s="2107"/>
      <c r="AQ93" s="2107"/>
      <c r="AR93" s="2107"/>
      <c r="AS93" s="2107"/>
      <c r="AT93" s="2107"/>
      <c r="AU93" s="2107"/>
      <c r="AV93" s="2107"/>
      <c r="AW93" s="2107"/>
      <c r="AX93" s="2107"/>
      <c r="AY93" s="2107"/>
      <c r="AZ93" s="2107"/>
      <c r="BA93" s="2107"/>
      <c r="BB93" s="2107"/>
      <c r="BC93" s="2107"/>
      <c r="BD93" s="2107"/>
      <c r="BE93" s="2107"/>
      <c r="BF93" s="2107"/>
    </row>
    <row r="95" s="38442" customFormat="1" customHeight="1" ht="11.25">
      <c r="A95" s="2099" t="s">
        <v>2008</v>
      </c>
    </row>
    <row r="97" s="30541" customFormat="1" customHeight="1" ht="11.25">
      <c r="A97" s="1450"/>
      <c r="B97" s="1450"/>
      <c r="C97" s="1450"/>
      <c r="D97" s="1444"/>
      <c r="E97" s="1454"/>
      <c r="F97" s="2114"/>
      <c r="G97" s="2114"/>
      <c r="H97" s="2114"/>
      <c r="I97" s="2114"/>
      <c r="J97" s="2114"/>
      <c r="K97" s="2114"/>
      <c r="L97" s="2114"/>
      <c r="M97" s="2114"/>
      <c r="N97" s="2114"/>
      <c r="O97" s="2114"/>
      <c r="P97" s="2114"/>
      <c r="Q97" s="2114"/>
      <c r="R97" s="2114"/>
      <c r="S97" s="2114"/>
      <c r="T97" s="2114"/>
      <c r="U97" s="2114"/>
      <c r="V97" s="2114"/>
      <c r="W97" s="2114"/>
      <c r="X97" s="2114"/>
      <c r="Y97" s="2114"/>
      <c r="Z97" s="2118"/>
      <c r="AA97" s="2098">
        <v>1</v>
      </c>
      <c r="AB97" s="1463"/>
      <c r="AC97" s="1453"/>
      <c r="AD97" s="1463">
        <f>AB97</f>
        <v>0</v>
      </c>
      <c r="AE97" s="1453"/>
      <c r="AF97" s="2115"/>
      <c r="AG97" s="2043"/>
      <c r="AH97" s="2043"/>
      <c r="AI97" s="2115"/>
      <c r="AJ97" s="2043"/>
      <c r="AK97" s="2271"/>
      <c r="AL97" s="2272"/>
      <c r="AM97" s="2107"/>
      <c r="AN97" s="2107"/>
      <c r="AO97" s="2107"/>
      <c r="AP97" s="2107"/>
      <c r="AQ97" s="2107"/>
      <c r="AR97" s="2107"/>
      <c r="AS97" s="2107"/>
      <c r="AT97" s="2107"/>
      <c r="AU97" s="2107"/>
      <c r="AV97" s="2107"/>
      <c r="AW97" s="2107"/>
      <c r="AX97" s="2107"/>
      <c r="AY97" s="2107"/>
      <c r="AZ97" s="2107"/>
      <c r="BA97" s="2107"/>
      <c r="BB97" s="2107"/>
      <c r="BC97" s="2107"/>
      <c r="BD97" s="2107"/>
      <c r="BE97" s="2107"/>
      <c r="BF97" s="2107"/>
    </row>
    <row r="99" s="38442" customFormat="1" customHeight="1" ht="11.25">
      <c r="A99" s="2099" t="s">
        <v>2009</v>
      </c>
    </row>
    <row r="101" s="30541" customFormat="1" customHeight="1" ht="11.25">
      <c r="A101" s="1450"/>
      <c r="B101" s="1450"/>
      <c r="C101" s="1450"/>
      <c r="D101" s="1444"/>
      <c r="E101" s="1454"/>
      <c r="F101" s="2113"/>
      <c r="G101" s="2114"/>
      <c r="H101" s="2799" t="s">
        <v>141</v>
      </c>
      <c r="I101" s="2800"/>
      <c r="J101" s="2769"/>
      <c r="K101" s="2801"/>
      <c r="L101" s="2391" t="s">
        <v>19</v>
      </c>
      <c r="M101" s="2392"/>
      <c r="N101" s="2270"/>
      <c r="O101" s="1461" t="s">
        <v>436</v>
      </c>
      <c r="P101" s="1462"/>
      <c r="Q101" s="1462"/>
      <c r="R101" s="1462"/>
      <c r="S101" s="1462"/>
      <c r="T101" s="1462"/>
      <c r="U101" s="1462"/>
      <c r="V101" s="1462"/>
      <c r="W101" s="1462"/>
      <c r="X101" s="1462"/>
      <c r="Y101" s="1462"/>
      <c r="Z101" s="1462"/>
      <c r="AA101" s="1462"/>
      <c r="AB101" s="1462"/>
      <c r="AC101" s="1462"/>
      <c r="AD101" s="1462"/>
      <c r="AE101" s="1462"/>
      <c r="AF101" s="2790"/>
      <c r="AG101" s="2791"/>
      <c r="AH101" s="2791"/>
      <c r="AI101" s="2790"/>
      <c r="AJ101" s="2791"/>
      <c r="AK101" s="2791"/>
      <c r="AL101" s="2272"/>
      <c r="AM101" s="2107"/>
      <c r="AN101" s="2107"/>
      <c r="AO101" s="2107"/>
      <c r="AP101" s="2107"/>
      <c r="AQ101" s="2107"/>
      <c r="AR101" s="2107"/>
      <c r="AS101" s="2107"/>
      <c r="AT101" s="2107"/>
      <c r="AU101" s="2107"/>
      <c r="AV101" s="2107"/>
      <c r="AW101" s="2107"/>
      <c r="AX101" s="2107"/>
      <c r="AY101" s="2107"/>
      <c r="AZ101" s="2107"/>
      <c r="BA101" s="2107"/>
      <c r="BB101" s="2107"/>
      <c r="BC101" s="2107"/>
      <c r="BD101" s="2107"/>
      <c r="BE101" s="2107"/>
      <c r="BF101" s="2107"/>
    </row>
    <row s="30541" customFormat="1" customHeight="1" ht="11.25">
      <c r="A102" s="1450"/>
      <c r="B102" s="1450"/>
      <c r="C102" s="1450"/>
      <c r="D102" s="1444"/>
      <c r="E102" s="1454"/>
      <c r="F102" s="2113"/>
      <c r="G102" s="2114"/>
      <c r="H102" s="2799"/>
      <c r="I102" s="2800"/>
      <c r="J102" s="2769"/>
      <c r="K102" s="2801"/>
      <c r="L102" s="2391"/>
      <c r="M102" s="2392"/>
      <c r="N102" s="2792"/>
      <c r="O102" s="2793">
        <v>1</v>
      </c>
      <c r="P102" s="2794" t="s">
        <v>19</v>
      </c>
      <c r="Q102" s="2797" t="s">
        <v>28</v>
      </c>
      <c r="R102" s="2797" t="s">
        <v>28</v>
      </c>
      <c r="S102" s="2797" t="s">
        <v>28</v>
      </c>
      <c r="T102" s="2797" t="s">
        <v>28</v>
      </c>
      <c r="U102" s="2797" t="s">
        <v>28</v>
      </c>
      <c r="V102" s="2797" t="s">
        <v>28</v>
      </c>
      <c r="W102" s="2797" t="s">
        <v>28</v>
      </c>
      <c r="X102" s="2797" t="s">
        <v>28</v>
      </c>
      <c r="Y102" s="2797"/>
      <c r="Z102" s="1459"/>
      <c r="AA102" s="1460"/>
      <c r="AB102" s="1460"/>
      <c r="AC102" s="1464"/>
      <c r="AD102" s="1464"/>
      <c r="AE102" s="1465"/>
      <c r="AF102" s="2790"/>
      <c r="AG102" s="2791"/>
      <c r="AH102" s="2791"/>
      <c r="AI102" s="2790"/>
      <c r="AJ102" s="2791"/>
      <c r="AK102" s="2791"/>
      <c r="AL102" s="2272"/>
      <c r="AM102" s="2107"/>
      <c r="AN102" s="2107"/>
      <c r="AO102" s="2107"/>
      <c r="AP102" s="2107"/>
      <c r="AQ102" s="2107"/>
      <c r="AR102" s="2107"/>
      <c r="AS102" s="2107"/>
      <c r="AT102" s="2107"/>
      <c r="AU102" s="2107"/>
      <c r="AV102" s="2107"/>
      <c r="AW102" s="2107"/>
      <c r="AX102" s="2107"/>
      <c r="AY102" s="2107"/>
      <c r="AZ102" s="2107"/>
      <c r="BA102" s="2107"/>
      <c r="BB102" s="2107"/>
      <c r="BC102" s="2107"/>
      <c r="BD102" s="2107"/>
      <c r="BE102" s="2107"/>
      <c r="BF102" s="2107"/>
    </row>
    <row s="30541" customFormat="1" customHeight="1" ht="11.25">
      <c r="A103" s="1450"/>
      <c r="B103" s="1450"/>
      <c r="C103" s="1450"/>
      <c r="D103" s="1444"/>
      <c r="E103" s="1454"/>
      <c r="F103" s="2113"/>
      <c r="G103" s="2114"/>
      <c r="H103" s="2799"/>
      <c r="I103" s="2800"/>
      <c r="J103" s="2769"/>
      <c r="K103" s="2801"/>
      <c r="L103" s="2391"/>
      <c r="M103" s="2392"/>
      <c r="N103" s="2792"/>
      <c r="O103" s="2793"/>
      <c r="P103" s="2795"/>
      <c r="Q103" s="2797"/>
      <c r="R103" s="2797"/>
      <c r="S103" s="2798"/>
      <c r="T103" s="2797"/>
      <c r="U103" s="2797"/>
      <c r="V103" s="2797"/>
      <c r="W103" s="2797"/>
      <c r="X103" s="2797"/>
      <c r="Y103" s="2797"/>
      <c r="Z103" s="2112"/>
      <c r="AA103" s="2078">
        <v>1</v>
      </c>
      <c r="AB103" s="1463"/>
      <c r="AC103" s="1453"/>
      <c r="AD103" s="1463">
        <f>AB103</f>
        <v>0</v>
      </c>
      <c r="AE103" s="1453"/>
      <c r="AF103" s="2790"/>
      <c r="AG103" s="2791"/>
      <c r="AH103" s="2791"/>
      <c r="AI103" s="2790"/>
      <c r="AJ103" s="2791"/>
      <c r="AK103" s="2791"/>
      <c r="AL103" s="2272"/>
      <c r="AM103" s="2107"/>
      <c r="AN103" s="2107"/>
      <c r="AO103" s="2107"/>
      <c r="AP103" s="2107"/>
      <c r="AQ103" s="2107"/>
      <c r="AR103" s="2107"/>
      <c r="AS103" s="2107"/>
      <c r="AT103" s="2107"/>
      <c r="AU103" s="2107"/>
      <c r="AV103" s="2107"/>
      <c r="AW103" s="2107"/>
      <c r="AX103" s="2107"/>
      <c r="AY103" s="2107"/>
      <c r="AZ103" s="2107"/>
      <c r="BA103" s="2107"/>
      <c r="BB103" s="2107"/>
      <c r="BC103" s="2107"/>
      <c r="BD103" s="2107"/>
      <c r="BE103" s="2107"/>
      <c r="BF103" s="2107"/>
    </row>
    <row s="30541" customFormat="1" customHeight="1" ht="11.25">
      <c r="A104" s="1450"/>
      <c r="B104" s="1450"/>
      <c r="C104" s="1450"/>
      <c r="D104" s="1444"/>
      <c r="E104" s="1454"/>
      <c r="F104" s="2113"/>
      <c r="G104" s="2114"/>
      <c r="H104" s="2799"/>
      <c r="I104" s="2800"/>
      <c r="J104" s="2769"/>
      <c r="K104" s="2801"/>
      <c r="L104" s="2391"/>
      <c r="M104" s="2392"/>
      <c r="N104" s="2792"/>
      <c r="O104" s="2793"/>
      <c r="P104" s="2796"/>
      <c r="Q104" s="2797"/>
      <c r="R104" s="2797"/>
      <c r="S104" s="2798"/>
      <c r="T104" s="2797"/>
      <c r="U104" s="2797"/>
      <c r="V104" s="2797"/>
      <c r="W104" s="2797"/>
      <c r="X104" s="2797"/>
      <c r="Y104" s="2797"/>
      <c r="Z104" s="1459"/>
      <c r="AA104" s="1460"/>
      <c r="AB104" s="1525" t="s">
        <v>2007</v>
      </c>
      <c r="AC104" s="1464"/>
      <c r="AD104" s="1464"/>
      <c r="AE104" s="1466"/>
      <c r="AF104" s="2790"/>
      <c r="AG104" s="2791"/>
      <c r="AH104" s="2791"/>
      <c r="AI104" s="2790"/>
      <c r="AJ104" s="2791"/>
      <c r="AK104" s="2791"/>
      <c r="AL104" s="2272"/>
      <c r="AM104" s="2107"/>
      <c r="AN104" s="2107"/>
      <c r="AO104" s="2107"/>
      <c r="AP104" s="2107"/>
      <c r="AQ104" s="2107"/>
      <c r="AR104" s="2107"/>
      <c r="AS104" s="2107"/>
      <c r="AT104" s="2107"/>
      <c r="AU104" s="2107"/>
      <c r="AV104" s="2107"/>
      <c r="AW104" s="2107"/>
      <c r="AX104" s="2107"/>
      <c r="AY104" s="2107"/>
      <c r="AZ104" s="2107"/>
      <c r="BA104" s="2107"/>
      <c r="BB104" s="2107"/>
      <c r="BC104" s="2107"/>
      <c r="BD104" s="2107"/>
      <c r="BE104" s="2107"/>
      <c r="BF104" s="2107"/>
    </row>
    <row s="30541" customFormat="1" customHeight="1" ht="11.25">
      <c r="A105" s="1450"/>
      <c r="B105" s="1450"/>
      <c r="C105" s="1450"/>
      <c r="D105" s="1444"/>
      <c r="E105" s="1454"/>
      <c r="F105" s="2113"/>
      <c r="G105" s="2114"/>
      <c r="H105" s="2799"/>
      <c r="I105" s="2800"/>
      <c r="J105" s="2769"/>
      <c r="K105" s="2801"/>
      <c r="L105" s="2391"/>
      <c r="M105" s="2392"/>
      <c r="N105" s="1459"/>
      <c r="O105" s="1460"/>
      <c r="P105" s="1452" t="s">
        <v>2010</v>
      </c>
      <c r="Q105" s="1460"/>
      <c r="R105" s="1460"/>
      <c r="S105" s="1460"/>
      <c r="T105" s="1460"/>
      <c r="U105" s="1460"/>
      <c r="V105" s="1460"/>
      <c r="W105" s="1460"/>
      <c r="X105" s="1460"/>
      <c r="Y105" s="1460"/>
      <c r="Z105" s="1460"/>
      <c r="AA105" s="1460"/>
      <c r="AB105" s="1460"/>
      <c r="AC105" s="1460"/>
      <c r="AD105" s="1460"/>
      <c r="AE105" s="1467"/>
      <c r="AF105" s="2790"/>
      <c r="AG105" s="2791"/>
      <c r="AH105" s="2791"/>
      <c r="AI105" s="2790"/>
      <c r="AJ105" s="2791"/>
      <c r="AK105" s="2791"/>
      <c r="AL105" s="2272"/>
      <c r="AM105" s="2107"/>
      <c r="AN105" s="2107"/>
      <c r="AO105" s="2107"/>
      <c r="AP105" s="2107"/>
      <c r="AQ105" s="2107"/>
      <c r="AR105" s="2107"/>
      <c r="AS105" s="2107"/>
      <c r="AT105" s="2107"/>
      <c r="AU105" s="2107"/>
      <c r="AV105" s="2107"/>
      <c r="AW105" s="2107"/>
      <c r="AX105" s="2107"/>
      <c r="AY105" s="2107"/>
      <c r="AZ105" s="2107"/>
      <c r="BA105" s="2107"/>
      <c r="BB105" s="2107"/>
      <c r="BC105" s="2107"/>
      <c r="BD105" s="2107"/>
      <c r="BE105" s="2107"/>
      <c r="BF105" s="2107"/>
    </row>
    <row r="107" s="38442" customFormat="1" customHeight="1" ht="11.25">
      <c r="A107" s="2099" t="s">
        <v>2011</v>
      </c>
    </row>
    <row customHeight="1" ht="17.25"/>
    <row s="37894" customFormat="1" customHeight="1" ht="21">
      <c r="A109" s="1451"/>
      <c r="B109" s="1224"/>
      <c r="D109" s="1208"/>
      <c r="E109" s="1223" t="s">
        <v>28</v>
      </c>
      <c r="F109" s="1405">
        <f>INDEX(IP_MAIN_LIST_NAME_IP,MATCH(A109,IP_MAIN_LIST_IP_ID,0))&amp;" ("&amp;INDEX(IP_MAIN_START_DATE,MATCH(A109,IP_MAIN_LIST_IP_ID,0))&amp;"-"&amp;INDEX(IP_MAIN_END_DATE,MATCH(A109,IP_MAIN_LIST_IP_ID,0))&amp;")"</f>
      </c>
      <c r="G109" s="1487"/>
      <c r="H109" s="1488"/>
      <c r="I109" s="1488"/>
      <c r="J109" s="1488"/>
      <c r="K109" s="1488"/>
      <c r="L109" s="1488"/>
      <c r="M109" s="1488"/>
      <c r="N109" s="1488"/>
      <c r="O109" s="1487"/>
      <c r="P109" s="1487"/>
      <c r="Q109" s="1487"/>
      <c r="R109" s="1487"/>
      <c r="S109" s="1487"/>
      <c r="T109" s="1487"/>
      <c r="U109" s="1489"/>
      <c r="V109" s="1489"/>
      <c r="W109" s="1489"/>
      <c r="X109" s="1489"/>
      <c r="Y109" s="1489"/>
      <c r="Z109" s="1489"/>
      <c r="AA109" s="1489"/>
      <c r="AB109" s="1487"/>
      <c r="AC109" s="1488"/>
      <c r="AD109" s="1488"/>
      <c r="AE109" s="1488"/>
      <c r="AF109" s="1488"/>
      <c r="AG109" s="1488"/>
      <c r="AH109" s="1488"/>
      <c r="AI109" s="1488"/>
      <c r="AJ109" s="1488"/>
      <c r="AK109" s="1488"/>
      <c r="AL109" s="1488"/>
      <c r="AM109" s="1488"/>
      <c r="AN109" s="1488"/>
      <c r="AO109" s="1488"/>
      <c r="AP109" s="1488"/>
      <c r="AQ109" s="1488"/>
      <c r="AR109" s="1488"/>
      <c r="AS109" s="1488"/>
      <c r="AT109" s="1488"/>
      <c r="AU109" s="1488"/>
      <c r="AV109" s="1488"/>
      <c r="AW109" s="1488"/>
      <c r="AX109" s="1488"/>
      <c r="AY109" s="1488"/>
      <c r="AZ109" s="1488"/>
      <c r="BA109" s="1488"/>
      <c r="BB109" s="1488"/>
      <c r="BC109" s="1488"/>
      <c r="BD109" s="1488"/>
      <c r="BE109" s="1488"/>
      <c r="BF109" s="1488"/>
      <c r="BG109" s="1488"/>
      <c r="BH109" s="1488"/>
      <c r="BI109" s="1488"/>
      <c r="BJ109" s="1488"/>
      <c r="BK109" s="1488"/>
      <c r="BL109" s="1488"/>
      <c r="BM109" s="1488"/>
      <c r="BN109" s="1488"/>
      <c r="BO109" s="1488"/>
      <c r="BP109" s="1488"/>
      <c r="BQ109" s="1488"/>
      <c r="BR109" s="1488"/>
      <c r="BS109" s="1488"/>
      <c r="BT109" s="1488"/>
      <c r="BU109" s="1488"/>
      <c r="BV109" s="1488"/>
      <c r="BW109" s="1488"/>
      <c r="BX109" s="1488"/>
      <c r="BY109" s="1488"/>
      <c r="BZ109" s="1488"/>
      <c r="CA109" s="1488"/>
      <c r="CB109" s="1488"/>
      <c r="CC109" s="1488"/>
      <c r="CD109" s="1488"/>
      <c r="CE109" s="1488"/>
      <c r="CF109" s="1488"/>
      <c r="CG109" s="1488"/>
      <c r="CH109" s="1488"/>
      <c r="CI109" s="1488"/>
      <c r="CJ109" s="1488"/>
      <c r="CK109" s="1488"/>
      <c r="CL109" s="1490"/>
      <c r="CM109" s="1490"/>
      <c r="CN109" s="1490"/>
      <c r="CO109" s="1490"/>
      <c r="CP109" s="1490"/>
      <c r="CQ109" s="1490"/>
      <c r="CR109" s="1490"/>
      <c r="CS109" s="1490"/>
      <c r="CT109" s="1490"/>
      <c r="CU109" s="1490"/>
      <c r="CV109" s="1490"/>
      <c r="CW109" s="1490"/>
      <c r="CX109" s="1490"/>
      <c r="CY109" s="1490"/>
      <c r="CZ109" s="1490"/>
      <c r="DA109" s="1490"/>
      <c r="DB109" s="1490"/>
      <c r="DC109" s="1490"/>
      <c r="DD109" s="1490"/>
      <c r="DE109" s="1490"/>
      <c r="DF109" s="1490"/>
      <c r="DG109" s="1490"/>
      <c r="DH109" s="1490"/>
      <c r="DI109" s="1490"/>
      <c r="DJ109" s="1490"/>
      <c r="DK109" s="1490"/>
      <c r="DL109" s="1490"/>
      <c r="DM109" s="1490"/>
      <c r="DN109" s="1490"/>
      <c r="DO109" s="1490"/>
      <c r="DP109" s="1490"/>
      <c r="DQ109" s="1490"/>
      <c r="DR109" s="1490"/>
      <c r="DS109" s="1490"/>
      <c r="DT109" s="1490"/>
      <c r="DU109" s="1490"/>
      <c r="DV109" s="1490"/>
      <c r="DW109" s="1490"/>
      <c r="DX109" s="1490"/>
      <c r="DY109" s="1490"/>
      <c r="DZ109" s="1490"/>
      <c r="EA109" s="1490"/>
      <c r="EB109" s="1490"/>
      <c r="EC109" s="1490"/>
      <c r="ED109" s="1490"/>
      <c r="EE109" s="1490"/>
      <c r="EF109" s="1490"/>
      <c r="EG109" s="1490"/>
      <c r="EH109" s="1490"/>
      <c r="EI109" s="1490"/>
      <c r="EJ109" s="1490"/>
      <c r="EK109" s="1490"/>
      <c r="EL109" s="1490"/>
      <c r="EM109" s="1490"/>
      <c r="EN109" s="1490"/>
      <c r="EO109" s="1490"/>
      <c r="EP109" s="1490"/>
      <c r="EQ109" s="1490"/>
      <c r="ER109" s="1490"/>
      <c r="ES109" s="1490"/>
      <c r="ET109" s="1490"/>
      <c r="EU109" s="1490"/>
      <c r="EV109" s="1490"/>
      <c r="EW109" s="1490"/>
      <c r="EX109" s="1490"/>
      <c r="EY109" s="1490"/>
      <c r="EZ109" s="1490"/>
      <c r="FA109" s="1490"/>
      <c r="FB109" s="1490"/>
      <c r="FC109" s="1490"/>
      <c r="FD109" s="1490"/>
      <c r="FE109" s="1490"/>
      <c r="FF109" s="1490"/>
      <c r="FG109" s="1490"/>
      <c r="FH109" s="1490"/>
      <c r="FI109" s="1490"/>
      <c r="FJ109" s="1490"/>
      <c r="FK109" s="1490"/>
      <c r="FL109" s="1490"/>
      <c r="FM109" s="1490"/>
      <c r="FN109" s="1490"/>
      <c r="FO109" s="1490"/>
      <c r="FP109" s="1490"/>
      <c r="FQ109" s="1490"/>
      <c r="FR109" s="1490"/>
      <c r="FS109" s="1490"/>
      <c r="FT109" s="1490"/>
      <c r="FU109" s="1490"/>
      <c r="FV109" s="1491"/>
      <c r="FW109" s="1485"/>
      <c r="FX109" s="1486"/>
    </row>
    <row s="37894" customFormat="1" customHeight="1" ht="24.75">
      <c r="B110" s="1207"/>
      <c r="C110" s="1208"/>
      <c r="D110" s="1208"/>
      <c r="E110" s="2119"/>
      <c r="F110" s="1492">
        <v>1</v>
      </c>
      <c r="G110" s="1493"/>
      <c r="H110" s="1494"/>
      <c r="I110" s="2266"/>
      <c r="J110" s="1495"/>
      <c r="K110" s="1495"/>
      <c r="L110" s="1495"/>
      <c r="M110" s="1495"/>
      <c r="N110" s="1495"/>
      <c r="O110" s="1496"/>
      <c r="P110" s="1496"/>
      <c r="Q110" s="1496"/>
      <c r="R110" s="1496"/>
      <c r="S110" s="1496"/>
      <c r="T110" s="1496"/>
      <c r="U110" s="1496"/>
      <c r="V110" s="1496"/>
      <c r="W110" s="1496"/>
      <c r="X110" s="1496"/>
      <c r="Y110" s="1496"/>
      <c r="Z110" s="1496"/>
      <c r="AA110" s="1496"/>
      <c r="AB110" s="1496"/>
      <c r="AC110" s="1495"/>
      <c r="AD110" s="1495"/>
      <c r="AE110" s="1495"/>
      <c r="AF110" s="1495"/>
      <c r="AG110" s="1495"/>
      <c r="AH110" s="1495"/>
      <c r="AI110" s="1495"/>
      <c r="AJ110" s="1495"/>
      <c r="AK110" s="1495"/>
      <c r="AL110" s="1495"/>
      <c r="AM110" s="1495"/>
      <c r="AN110" s="1495"/>
      <c r="AO110" s="1495"/>
      <c r="AP110" s="1495"/>
      <c r="AQ110" s="1495"/>
      <c r="AR110" s="1495"/>
      <c r="AS110" s="1495"/>
      <c r="AT110" s="1495"/>
      <c r="AU110" s="1495"/>
      <c r="AV110" s="1495"/>
      <c r="AW110" s="1495"/>
      <c r="AX110" s="1495"/>
      <c r="AY110" s="1495"/>
      <c r="AZ110" s="1495"/>
      <c r="BA110" s="1495"/>
      <c r="BB110" s="1495"/>
      <c r="BC110" s="1495"/>
      <c r="BD110" s="1495"/>
      <c r="BE110" s="1495"/>
      <c r="BF110" s="1495"/>
      <c r="BG110" s="1495"/>
      <c r="BH110" s="1495"/>
      <c r="BI110" s="1495"/>
      <c r="BJ110" s="1495"/>
      <c r="BK110" s="1495"/>
      <c r="BL110" s="1495"/>
      <c r="BM110" s="1495"/>
      <c r="BN110" s="1495"/>
      <c r="BO110" s="1495"/>
      <c r="BP110" s="1495"/>
      <c r="BQ110" s="1495"/>
      <c r="BR110" s="1495"/>
      <c r="BS110" s="1495"/>
      <c r="BT110" s="1496"/>
      <c r="BU110" s="1496"/>
      <c r="BV110" s="1496"/>
      <c r="BW110" s="1496"/>
      <c r="BX110" s="1496"/>
      <c r="BY110" s="1496"/>
      <c r="BZ110" s="1496"/>
      <c r="CA110" s="1496"/>
      <c r="CB110" s="1496"/>
      <c r="CC110" s="1496"/>
      <c r="CD110" s="1496"/>
      <c r="CE110" s="1496"/>
      <c r="CF110" s="1496"/>
      <c r="CG110" s="1496"/>
      <c r="CH110" s="1496"/>
      <c r="CI110" s="1496"/>
      <c r="CJ110" s="1496"/>
      <c r="CK110" s="1496"/>
      <c r="CL110" s="1495"/>
      <c r="CM110" s="1495"/>
      <c r="CN110" s="1495"/>
      <c r="CO110" s="1495"/>
      <c r="CP110" s="1495"/>
      <c r="CQ110" s="1495"/>
      <c r="CR110" s="1495"/>
      <c r="CS110" s="1495"/>
      <c r="CT110" s="1495"/>
      <c r="CU110" s="1495"/>
      <c r="CV110" s="1495"/>
      <c r="CW110" s="1495"/>
      <c r="CX110" s="1495"/>
      <c r="CY110" s="1496"/>
      <c r="CZ110" s="1496"/>
      <c r="DA110" s="1496"/>
      <c r="DB110" s="1496"/>
      <c r="DC110" s="1496"/>
      <c r="DD110" s="1496"/>
      <c r="DE110" s="1496"/>
      <c r="DF110" s="1496"/>
      <c r="DG110" s="1496"/>
      <c r="DH110" s="1496"/>
      <c r="DI110" s="1496"/>
      <c r="DJ110" s="1496"/>
      <c r="DK110" s="1495"/>
      <c r="DL110" s="1495"/>
      <c r="DM110" s="1495"/>
      <c r="DN110" s="1495"/>
      <c r="DO110" s="1495"/>
      <c r="DP110" s="1495"/>
      <c r="DQ110" s="1495"/>
      <c r="DR110" s="1495"/>
      <c r="DS110" s="1495"/>
      <c r="DT110" s="1495"/>
      <c r="DU110" s="1495"/>
      <c r="DV110" s="1495"/>
      <c r="DW110" s="1495"/>
      <c r="DX110" s="1495"/>
      <c r="DY110" s="1495"/>
      <c r="DZ110" s="1495"/>
      <c r="EA110" s="1495"/>
      <c r="EB110" s="1495"/>
      <c r="EC110" s="1495"/>
      <c r="ED110" s="1495"/>
      <c r="EE110" s="1495"/>
      <c r="EF110" s="1495"/>
      <c r="EG110" s="1495"/>
      <c r="EH110" s="1495"/>
      <c r="EI110" s="1495"/>
      <c r="EJ110" s="1495"/>
      <c r="EK110" s="1495"/>
      <c r="EL110" s="1495"/>
      <c r="EM110" s="1495"/>
      <c r="EN110" s="1495"/>
      <c r="EO110" s="1495"/>
      <c r="EP110" s="1495"/>
      <c r="EQ110" s="1495"/>
      <c r="ER110" s="1495"/>
      <c r="ES110" s="1495"/>
      <c r="ET110" s="1495"/>
      <c r="EU110" s="1495"/>
      <c r="EV110" s="1495"/>
      <c r="EW110" s="1495"/>
      <c r="EX110" s="1495"/>
      <c r="EY110" s="1495"/>
      <c r="EZ110" s="1495"/>
      <c r="FA110" s="1495"/>
      <c r="FB110" s="1495"/>
      <c r="FC110" s="1495"/>
      <c r="FD110" s="1495"/>
      <c r="FE110" s="1495"/>
      <c r="FF110" s="1495"/>
      <c r="FG110" s="1495"/>
      <c r="FH110" s="1495"/>
      <c r="FI110" s="1495"/>
      <c r="FJ110" s="1495"/>
      <c r="FK110" s="1495"/>
      <c r="FL110" s="1495"/>
      <c r="FM110" s="1495"/>
      <c r="FN110" s="1495"/>
      <c r="FO110" s="1495"/>
      <c r="FP110" s="1495"/>
      <c r="FQ110" s="1495"/>
      <c r="FR110" s="1495"/>
      <c r="FS110" s="1495"/>
      <c r="FT110" s="1495"/>
      <c r="FU110" s="1495"/>
      <c r="FV110" s="1495"/>
      <c r="FW110" s="1495"/>
      <c r="FX110" s="1486"/>
    </row>
    <row s="37894" customFormat="1" customHeight="1" ht="12">
      <c r="A111" s="1208"/>
      <c r="B111" s="1207"/>
      <c r="C111" s="1208"/>
      <c r="D111" s="1208"/>
      <c r="E111" s="1208"/>
      <c r="F111" s="1497"/>
      <c r="G111" s="2084" t="s">
        <v>2012</v>
      </c>
      <c r="H111" s="1498"/>
      <c r="I111" s="1498"/>
      <c r="J111" s="1498"/>
      <c r="K111" s="1498"/>
      <c r="L111" s="1498"/>
      <c r="M111" s="1498"/>
      <c r="N111" s="1498"/>
      <c r="O111" s="1498"/>
      <c r="P111" s="1498"/>
      <c r="Q111" s="1498"/>
      <c r="R111" s="1498"/>
      <c r="S111" s="1498"/>
      <c r="T111" s="1498"/>
      <c r="U111" s="1498"/>
      <c r="V111" s="1498"/>
      <c r="W111" s="1498"/>
      <c r="X111" s="1498"/>
      <c r="Y111" s="1498"/>
      <c r="Z111" s="1498"/>
      <c r="AA111" s="1498"/>
      <c r="AB111" s="1498"/>
      <c r="AC111" s="1498"/>
      <c r="AD111" s="1498"/>
      <c r="AE111" s="1498"/>
      <c r="AF111" s="1498"/>
      <c r="AG111" s="1498"/>
      <c r="AH111" s="1498"/>
      <c r="AI111" s="1498"/>
      <c r="AJ111" s="1498"/>
      <c r="AK111" s="1498"/>
      <c r="AL111" s="1498"/>
      <c r="AM111" s="1498"/>
      <c r="AN111" s="1498"/>
      <c r="AO111" s="1498"/>
      <c r="AP111" s="1498"/>
      <c r="AQ111" s="1498"/>
      <c r="AR111" s="1498"/>
      <c r="AS111" s="1498"/>
      <c r="AT111" s="1498"/>
      <c r="AU111" s="1498"/>
      <c r="AV111" s="1498"/>
      <c r="AW111" s="1498"/>
      <c r="AX111" s="1498"/>
      <c r="AY111" s="1498"/>
      <c r="AZ111" s="1498"/>
      <c r="BA111" s="1498"/>
      <c r="BB111" s="1498"/>
      <c r="BC111" s="1498"/>
      <c r="BD111" s="1498"/>
      <c r="BE111" s="1498"/>
      <c r="BF111" s="1498"/>
      <c r="BG111" s="1498"/>
      <c r="BH111" s="1498"/>
      <c r="BI111" s="1498"/>
      <c r="BJ111" s="1498"/>
      <c r="BK111" s="1498"/>
      <c r="BL111" s="1498"/>
      <c r="BM111" s="1498"/>
      <c r="BN111" s="1498"/>
      <c r="BO111" s="1498"/>
      <c r="BP111" s="1498"/>
      <c r="BQ111" s="1498"/>
      <c r="BR111" s="1498"/>
      <c r="BS111" s="1498"/>
      <c r="BT111" s="1498"/>
      <c r="BU111" s="1498"/>
      <c r="BV111" s="1498"/>
      <c r="BW111" s="1498"/>
      <c r="BX111" s="1498"/>
      <c r="BY111" s="1498"/>
      <c r="BZ111" s="1498"/>
      <c r="CA111" s="1498"/>
      <c r="CB111" s="1498"/>
      <c r="CC111" s="1498"/>
      <c r="CD111" s="1498"/>
      <c r="CE111" s="1498"/>
      <c r="CF111" s="1498"/>
      <c r="CG111" s="1498"/>
      <c r="CH111" s="1498"/>
      <c r="CI111" s="1498"/>
      <c r="CJ111" s="1498"/>
      <c r="CK111" s="1498"/>
      <c r="CL111" s="1498"/>
      <c r="CM111" s="1498"/>
      <c r="CN111" s="1498"/>
      <c r="CO111" s="1498"/>
      <c r="CP111" s="1498"/>
      <c r="CQ111" s="1498"/>
      <c r="CR111" s="1498"/>
      <c r="CS111" s="1498"/>
      <c r="CT111" s="1498"/>
      <c r="CU111" s="1498"/>
      <c r="CV111" s="1498"/>
      <c r="CW111" s="1498"/>
      <c r="CX111" s="1498"/>
      <c r="CY111" s="1498"/>
      <c r="CZ111" s="1498"/>
      <c r="DA111" s="1498"/>
      <c r="DB111" s="1498"/>
      <c r="DC111" s="1498"/>
      <c r="DD111" s="1498"/>
      <c r="DE111" s="1498"/>
      <c r="DF111" s="1498"/>
      <c r="DG111" s="1498"/>
      <c r="DH111" s="1498"/>
      <c r="DI111" s="1498"/>
      <c r="DJ111" s="1498"/>
      <c r="DK111" s="1498"/>
      <c r="DL111" s="1498"/>
      <c r="DM111" s="1498"/>
      <c r="DN111" s="1498"/>
      <c r="DO111" s="1498"/>
      <c r="DP111" s="1498"/>
      <c r="DQ111" s="1498"/>
      <c r="DR111" s="1498"/>
      <c r="DS111" s="1498"/>
      <c r="DT111" s="1498"/>
      <c r="DU111" s="1498"/>
      <c r="DV111" s="1498"/>
      <c r="DW111" s="1498"/>
      <c r="DX111" s="1498"/>
      <c r="DY111" s="1498"/>
      <c r="DZ111" s="1498"/>
      <c r="EA111" s="1498"/>
      <c r="EB111" s="1498"/>
      <c r="EC111" s="1498"/>
      <c r="ED111" s="1498"/>
      <c r="EE111" s="1498"/>
      <c r="EF111" s="1498"/>
      <c r="EG111" s="1498"/>
      <c r="EH111" s="1498"/>
      <c r="EI111" s="1498"/>
      <c r="EJ111" s="1498"/>
      <c r="EK111" s="1498"/>
      <c r="EL111" s="1498"/>
      <c r="EM111" s="1498"/>
      <c r="EN111" s="1498"/>
      <c r="EO111" s="1498"/>
      <c r="EP111" s="1498"/>
      <c r="EQ111" s="1498"/>
      <c r="ER111" s="1498"/>
      <c r="ES111" s="1498"/>
      <c r="ET111" s="1498"/>
      <c r="EU111" s="1498"/>
      <c r="EV111" s="1498"/>
      <c r="EW111" s="1498"/>
      <c r="EX111" s="1498"/>
      <c r="EY111" s="1498"/>
      <c r="EZ111" s="1498"/>
      <c r="FA111" s="1498"/>
      <c r="FB111" s="1498"/>
      <c r="FC111" s="1498"/>
      <c r="FD111" s="1498"/>
      <c r="FE111" s="1498"/>
      <c r="FF111" s="1498"/>
      <c r="FG111" s="1498"/>
      <c r="FH111" s="1498"/>
      <c r="FI111" s="1498"/>
      <c r="FJ111" s="1498"/>
      <c r="FK111" s="1498"/>
      <c r="FL111" s="1498"/>
      <c r="FM111" s="1498"/>
      <c r="FN111" s="1498"/>
      <c r="FO111" s="1498"/>
      <c r="FP111" s="1498"/>
      <c r="FQ111" s="1498"/>
      <c r="FR111" s="1498"/>
      <c r="FS111" s="1498"/>
      <c r="FT111" s="1498"/>
      <c r="FU111" s="1498"/>
      <c r="FV111" s="1498"/>
      <c r="FW111" s="1499"/>
      <c r="FX111" s="1500"/>
      <c r="FY111" s="1225"/>
      <c r="FZ111" s="1225"/>
      <c r="GA111" s="1225"/>
      <c r="GB111" s="1225"/>
    </row>
    <row r="113" s="38442" customFormat="1" customHeight="1" ht="11.25">
      <c r="A113" s="2099" t="s">
        <v>2013</v>
      </c>
    </row>
    <row r="115" s="30681" customFormat="1" customHeight="1" ht="15">
      <c r="A115" s="907"/>
      <c r="B115" s="908"/>
      <c r="C115" s="908"/>
      <c r="D115" s="2862" t="s">
        <v>141</v>
      </c>
      <c r="E115" s="2661" t="s">
        <v>137</v>
      </c>
      <c r="F115" s="2662"/>
      <c r="G115" s="2663"/>
      <c r="H115" s="2667" t="str">
        <f>IF(A115="","",INDEX(DIFFERENTIATION_UNMERGE_VD,MATCH(A115,DIFFERENTIATION_ID_DIFF,0)))</f>
        <v/>
      </c>
      <c r="I115" s="2667"/>
      <c r="J115" s="2667"/>
      <c r="K115" s="2667"/>
      <c r="L115" s="2667"/>
      <c r="M115" s="2667"/>
      <c r="N115" s="2667"/>
      <c r="O115" s="2667"/>
      <c r="P115" s="2667"/>
      <c r="Q115" s="2667"/>
      <c r="R115" s="2667"/>
      <c r="S115" s="1003"/>
      <c r="T115" s="1000"/>
      <c r="U115" s="909"/>
      <c r="V115" s="909"/>
      <c r="W115" s="910"/>
      <c r="X115" s="910"/>
      <c r="Y115" s="910"/>
      <c r="Z115" s="910"/>
      <c r="AA115" s="911"/>
      <c r="AB115" s="912"/>
      <c r="AC115" s="2659"/>
      <c r="AD115" s="913"/>
      <c r="AE115" s="914" t="s">
        <v>28</v>
      </c>
      <c r="AF115" s="914"/>
      <c r="AG115" s="915" t="s">
        <v>681</v>
      </c>
      <c r="AH115" s="916">
        <v>3</v>
      </c>
      <c r="AI115" s="909"/>
      <c r="AJ115" s="909"/>
      <c r="AK115" s="909"/>
      <c r="AL115" s="909"/>
      <c r="AM115" s="909"/>
      <c r="AN115" s="909"/>
      <c r="AO115" s="909"/>
      <c r="AP115" s="909"/>
      <c r="AQ115" s="909"/>
      <c r="AR115" s="909"/>
      <c r="AS115" s="909"/>
      <c r="AT115" s="909"/>
      <c r="AU115" s="909"/>
      <c r="AV115" s="909"/>
      <c r="AW115" s="909"/>
      <c r="AX115" s="909"/>
      <c r="AY115" s="909"/>
      <c r="AZ115" s="909"/>
      <c r="BA115" s="909"/>
      <c r="BB115" s="909"/>
      <c r="BC115" s="909"/>
      <c r="BD115" s="909"/>
      <c r="BE115" s="909"/>
      <c r="BF115" s="909"/>
      <c r="BG115" s="909"/>
      <c r="BH115" s="909"/>
      <c r="BI115" s="909"/>
      <c r="BJ115" s="909"/>
      <c r="BK115" s="909"/>
      <c r="BL115" s="909"/>
      <c r="BM115" s="909"/>
      <c r="BN115" s="909"/>
      <c r="BO115" s="909"/>
      <c r="BP115" s="909"/>
      <c r="BQ115" s="909"/>
      <c r="BR115" s="909"/>
      <c r="BS115" s="909"/>
      <c r="BT115" s="909"/>
      <c r="BU115" s="909"/>
      <c r="BV115" s="910"/>
      <c r="BW115" s="910"/>
      <c r="BX115" s="910"/>
      <c r="BY115" s="910"/>
      <c r="BZ115" s="910"/>
      <c r="CA115" s="910"/>
      <c r="CB115" s="910"/>
      <c r="CC115" s="910"/>
      <c r="CD115" s="910"/>
      <c r="CE115" s="910"/>
    </row>
    <row s="30681" customFormat="1" customHeight="1" ht="15">
      <c r="A116" s="907"/>
      <c r="B116" s="908"/>
      <c r="C116" s="908"/>
      <c r="D116" s="2863"/>
      <c r="E116" s="2661" t="s">
        <v>636</v>
      </c>
      <c r="F116" s="2662"/>
      <c r="G116" s="2663"/>
      <c r="H116" s="2667" t="str">
        <f>IF(A115="","",INDEX(DIFFERENTIATION_UNMERGE_AREA,MATCH(A115,DIFFERENTIATION_ID_DIFF,0)))</f>
        <v/>
      </c>
      <c r="I116" s="2667"/>
      <c r="J116" s="2667"/>
      <c r="K116" s="2667"/>
      <c r="L116" s="2667"/>
      <c r="M116" s="2667"/>
      <c r="N116" s="2667"/>
      <c r="O116" s="2667"/>
      <c r="P116" s="2667"/>
      <c r="Q116" s="2667"/>
      <c r="R116" s="2667"/>
      <c r="S116" s="1003"/>
      <c r="T116" s="1000"/>
      <c r="U116" s="909"/>
      <c r="V116" s="909"/>
      <c r="W116" s="910"/>
      <c r="X116" s="910"/>
      <c r="Y116" s="910"/>
      <c r="Z116" s="910"/>
      <c r="AA116" s="911"/>
      <c r="AB116" s="912"/>
      <c r="AC116" s="2659"/>
      <c r="AD116" s="913"/>
      <c r="AE116" s="914"/>
      <c r="AF116" s="914"/>
      <c r="AG116" s="915"/>
      <c r="AH116" s="916"/>
      <c r="AI116" s="909"/>
      <c r="AJ116" s="909"/>
      <c r="AK116" s="909"/>
      <c r="AL116" s="909"/>
      <c r="AM116" s="909"/>
      <c r="AN116" s="909"/>
      <c r="AO116" s="909"/>
      <c r="AP116" s="909"/>
      <c r="AQ116" s="909"/>
      <c r="AR116" s="909"/>
      <c r="AS116" s="909"/>
      <c r="AT116" s="909"/>
      <c r="AU116" s="909"/>
      <c r="AV116" s="909"/>
      <c r="AW116" s="909"/>
      <c r="AX116" s="909"/>
      <c r="AY116" s="909"/>
      <c r="AZ116" s="909"/>
      <c r="BA116" s="909"/>
      <c r="BB116" s="909"/>
      <c r="BC116" s="909"/>
      <c r="BD116" s="909"/>
      <c r="BE116" s="909"/>
      <c r="BF116" s="909"/>
      <c r="BG116" s="909"/>
      <c r="BH116" s="909"/>
      <c r="BI116" s="909"/>
      <c r="BJ116" s="909"/>
      <c r="BK116" s="909"/>
      <c r="BL116" s="909"/>
      <c r="BM116" s="909"/>
      <c r="BN116" s="909"/>
      <c r="BO116" s="909"/>
      <c r="BP116" s="909"/>
      <c r="BQ116" s="909"/>
      <c r="BR116" s="909"/>
      <c r="BS116" s="909"/>
      <c r="BT116" s="909"/>
      <c r="BU116" s="909"/>
      <c r="BV116" s="910"/>
      <c r="BW116" s="910"/>
      <c r="BX116" s="910"/>
      <c r="BY116" s="910"/>
      <c r="BZ116" s="910"/>
      <c r="CA116" s="910"/>
      <c r="CB116" s="910"/>
      <c r="CC116" s="910"/>
      <c r="CD116" s="910"/>
      <c r="CE116" s="910"/>
    </row>
    <row s="30681" customFormat="1" customHeight="1" ht="15">
      <c r="A117" s="907"/>
      <c r="B117" s="908"/>
      <c r="C117" s="908"/>
      <c r="D117" s="2863"/>
      <c r="E117" s="2661" t="s">
        <v>637</v>
      </c>
      <c r="F117" s="2662"/>
      <c r="G117" s="2663"/>
      <c r="H117" s="2667" t="str">
        <f>IF(A115="","",INDEX(DIFFERENTIATION_UNMERGE_SYSTEM,MATCH(A115,DIFFERENTIATION_ID_DIFF,0)))</f>
        <v/>
      </c>
      <c r="I117" s="2667"/>
      <c r="J117" s="2667"/>
      <c r="K117" s="2667"/>
      <c r="L117" s="2667"/>
      <c r="M117" s="2667"/>
      <c r="N117" s="2667"/>
      <c r="O117" s="2667"/>
      <c r="P117" s="2667"/>
      <c r="Q117" s="2667"/>
      <c r="R117" s="2667"/>
      <c r="S117" s="1003"/>
      <c r="T117" s="1000"/>
      <c r="U117" s="909"/>
      <c r="V117" s="909"/>
      <c r="W117" s="910"/>
      <c r="X117" s="910"/>
      <c r="Y117" s="910"/>
      <c r="Z117" s="910"/>
      <c r="AA117" s="911"/>
      <c r="AB117" s="912"/>
      <c r="AC117" s="2659"/>
      <c r="AD117" s="913"/>
      <c r="AE117" s="914"/>
      <c r="AF117" s="914"/>
      <c r="AG117" s="915"/>
      <c r="AH117" s="916"/>
      <c r="AI117" s="909"/>
      <c r="AJ117" s="909"/>
      <c r="AK117" s="909"/>
      <c r="AL117" s="909"/>
      <c r="AM117" s="909"/>
      <c r="AN117" s="909"/>
      <c r="AO117" s="909"/>
      <c r="AP117" s="909"/>
      <c r="AQ117" s="909"/>
      <c r="AR117" s="909"/>
      <c r="AS117" s="909"/>
      <c r="AT117" s="909"/>
      <c r="AU117" s="909"/>
      <c r="AV117" s="909"/>
      <c r="AW117" s="909"/>
      <c r="AX117" s="909"/>
      <c r="AY117" s="909"/>
      <c r="AZ117" s="909"/>
      <c r="BA117" s="909"/>
      <c r="BB117" s="909"/>
      <c r="BC117" s="909"/>
      <c r="BD117" s="909"/>
      <c r="BE117" s="909"/>
      <c r="BF117" s="909"/>
      <c r="BG117" s="909"/>
      <c r="BH117" s="909"/>
      <c r="BI117" s="909"/>
      <c r="BJ117" s="909"/>
      <c r="BK117" s="909"/>
      <c r="BL117" s="909"/>
      <c r="BM117" s="909"/>
      <c r="BN117" s="909"/>
      <c r="BO117" s="909"/>
      <c r="BP117" s="909"/>
      <c r="BQ117" s="909"/>
      <c r="BR117" s="909"/>
      <c r="BS117" s="909"/>
      <c r="BT117" s="909"/>
      <c r="BU117" s="909"/>
      <c r="BV117" s="910"/>
      <c r="BW117" s="910"/>
      <c r="BX117" s="910"/>
      <c r="BY117" s="910"/>
      <c r="BZ117" s="910"/>
      <c r="CA117" s="910"/>
      <c r="CB117" s="910"/>
      <c r="CC117" s="910"/>
      <c r="CD117" s="910"/>
      <c r="CE117" s="910"/>
    </row>
    <row s="30681" customFormat="1" customHeight="1" ht="24.75">
      <c r="A118" s="2090"/>
      <c r="B118" s="1444"/>
      <c r="C118" s="696"/>
      <c r="D118" s="2863"/>
      <c r="E118" s="2660" t="s">
        <v>682</v>
      </c>
      <c r="F118" s="2660"/>
      <c r="G118" s="2660"/>
      <c r="H118" s="2660"/>
      <c r="I118" s="2660"/>
      <c r="J118" s="2660"/>
      <c r="K118" s="2660"/>
      <c r="L118" s="2660"/>
      <c r="M118" s="2660"/>
      <c r="N118" s="2660"/>
      <c r="O118" s="2660"/>
      <c r="P118" s="2660"/>
      <c r="Q118" s="842">
        <f>SUMIF(T119:T120,"i",Q119:Q120)</f>
        <v>0</v>
      </c>
      <c r="R118" s="1301"/>
      <c r="S118" s="2082" t="s">
        <v>683</v>
      </c>
      <c r="T118" s="1001" t="s">
        <v>684</v>
      </c>
      <c r="U118" s="2658">
        <v>1</v>
      </c>
      <c r="V118" s="2658" t="s">
        <v>647</v>
      </c>
      <c r="W118" s="1444"/>
      <c r="X118" s="1444"/>
      <c r="Y118" s="1444"/>
      <c r="Z118" s="1444"/>
      <c r="AA118" s="1920"/>
      <c r="AB118" s="1444"/>
      <c r="AC118" s="2659"/>
      <c r="AD118" s="913"/>
      <c r="AE118" s="1444"/>
      <c r="AF118" s="1444"/>
      <c r="AG118" s="1920"/>
      <c r="AH118" s="1920"/>
      <c r="AI118" s="1920"/>
      <c r="AJ118" s="1920"/>
      <c r="AK118" s="1920"/>
      <c r="AL118" s="1920"/>
      <c r="AM118" s="1920"/>
      <c r="AN118" s="1920"/>
      <c r="AO118" s="1920"/>
      <c r="AP118" s="1920"/>
      <c r="AQ118" s="1920"/>
      <c r="AR118" s="1920"/>
      <c r="AS118" s="1920"/>
      <c r="AT118" s="1920"/>
      <c r="AU118" s="1920"/>
      <c r="AV118" s="1920"/>
      <c r="AW118" s="1920"/>
      <c r="AX118" s="1920"/>
      <c r="AY118" s="1920"/>
      <c r="AZ118" s="1920"/>
      <c r="BA118" s="1920"/>
      <c r="BB118" s="1920"/>
      <c r="BC118" s="1920"/>
      <c r="BD118" s="1920"/>
      <c r="BE118" s="1920"/>
      <c r="BF118" s="1920"/>
      <c r="BG118" s="1920"/>
      <c r="BH118" s="1920"/>
      <c r="BI118" s="1920"/>
      <c r="BJ118" s="1920"/>
      <c r="BK118" s="1920"/>
      <c r="BL118" s="1920"/>
      <c r="BM118" s="1920"/>
      <c r="BN118" s="1920"/>
      <c r="BO118" s="1920"/>
      <c r="BP118" s="1920"/>
      <c r="BQ118" s="1920"/>
      <c r="BR118" s="1920"/>
      <c r="BS118" s="1920"/>
      <c r="BT118" s="1920"/>
      <c r="BU118" s="1920"/>
      <c r="BV118" s="1444"/>
      <c r="BW118" s="1444"/>
      <c r="BX118" s="1444"/>
      <c r="BY118" s="1444"/>
      <c r="BZ118" s="1444"/>
      <c r="CA118" s="1444"/>
      <c r="CB118" s="1444"/>
      <c r="CC118" s="1444"/>
      <c r="CD118" s="1444"/>
      <c r="CE118" s="1444"/>
    </row>
    <row s="30681" customFormat="1" customHeight="1" ht="11.25" hidden="1">
      <c r="A119" s="2077"/>
      <c r="B119" s="1920"/>
      <c r="C119" s="1920"/>
      <c r="D119" s="2863"/>
      <c r="E119" s="919"/>
      <c r="F119" s="919">
        <v>0</v>
      </c>
      <c r="G119" s="919"/>
      <c r="H119" s="919"/>
      <c r="I119" s="919"/>
      <c r="J119" s="919"/>
      <c r="K119" s="919"/>
      <c r="L119" s="919"/>
      <c r="M119" s="919"/>
      <c r="N119" s="919"/>
      <c r="O119" s="919"/>
      <c r="P119" s="919"/>
      <c r="Q119" s="919"/>
      <c r="R119" s="919"/>
      <c r="S119" s="920"/>
      <c r="T119" s="1002"/>
      <c r="U119" s="2658"/>
      <c r="V119" s="2658"/>
      <c r="W119" s="1920"/>
      <c r="X119" s="1920"/>
      <c r="Y119" s="1920"/>
      <c r="Z119" s="1920"/>
      <c r="AA119" s="1920"/>
      <c r="AB119" s="1444"/>
      <c r="AC119" s="2659"/>
      <c r="AD119" s="913"/>
      <c r="AE119" s="1444"/>
      <c r="AF119" s="1444"/>
      <c r="AG119" s="1920"/>
      <c r="AH119" s="1920"/>
      <c r="AI119" s="1920"/>
      <c r="AJ119" s="1920"/>
      <c r="AK119" s="1920"/>
      <c r="AL119" s="1920"/>
      <c r="AM119" s="1920"/>
      <c r="AN119" s="1920"/>
      <c r="AO119" s="1920"/>
      <c r="AP119" s="1920"/>
      <c r="AQ119" s="1920"/>
      <c r="AR119" s="1920"/>
      <c r="AS119" s="1920"/>
      <c r="AT119" s="1920"/>
      <c r="AU119" s="1920"/>
      <c r="AV119" s="1920"/>
      <c r="AW119" s="1920"/>
      <c r="AX119" s="1920"/>
      <c r="AY119" s="1920"/>
      <c r="AZ119" s="1920"/>
      <c r="BA119" s="1920"/>
      <c r="BB119" s="1920"/>
      <c r="BC119" s="1920"/>
      <c r="BD119" s="1920"/>
      <c r="BE119" s="1920"/>
      <c r="BF119" s="1920"/>
      <c r="BG119" s="1920"/>
      <c r="BH119" s="1920"/>
      <c r="BI119" s="1920"/>
      <c r="BJ119" s="1920"/>
      <c r="BK119" s="1920"/>
      <c r="BL119" s="1920"/>
      <c r="BM119" s="1920"/>
      <c r="BN119" s="1920"/>
      <c r="BO119" s="1920"/>
      <c r="BP119" s="1920"/>
      <c r="BQ119" s="1920"/>
      <c r="BR119" s="1920"/>
      <c r="BS119" s="1920"/>
      <c r="BT119" s="1920"/>
      <c r="BU119" s="1920"/>
      <c r="BV119" s="1920"/>
      <c r="BW119" s="1920"/>
      <c r="BX119" s="1920"/>
      <c r="BY119" s="1920"/>
      <c r="BZ119" s="1920"/>
      <c r="CA119" s="1920"/>
      <c r="CB119" s="1920"/>
      <c r="CC119" s="1920"/>
      <c r="CD119" s="1920"/>
      <c r="CE119" s="1920"/>
    </row>
    <row s="30681" customFormat="1" customHeight="1" ht="11.25">
      <c r="A120" s="2090"/>
      <c r="B120" s="1444"/>
      <c r="C120" s="696"/>
      <c r="D120" s="2863"/>
      <c r="E120" s="933" t="s">
        <v>28</v>
      </c>
      <c r="F120" s="1452" t="s">
        <v>28</v>
      </c>
      <c r="G120" s="1452" t="s">
        <v>2014</v>
      </c>
      <c r="H120" s="935" t="s">
        <v>28</v>
      </c>
      <c r="I120" s="935"/>
      <c r="J120" s="935"/>
      <c r="K120" s="935"/>
      <c r="L120" s="935"/>
      <c r="M120" s="935"/>
      <c r="N120" s="935"/>
      <c r="O120" s="935"/>
      <c r="P120" s="935"/>
      <c r="Q120" s="935"/>
      <c r="R120" s="936"/>
      <c r="S120" s="937"/>
      <c r="T120" s="1002"/>
      <c r="U120" s="2658"/>
      <c r="V120" s="2658"/>
      <c r="W120" s="1444"/>
      <c r="X120" s="1444"/>
      <c r="Y120" s="1444"/>
      <c r="Z120" s="1444"/>
      <c r="AA120" s="1920"/>
      <c r="AB120" s="1444"/>
      <c r="AC120" s="2659"/>
      <c r="AD120" s="913"/>
      <c r="AE120" s="1444"/>
      <c r="AF120" s="1444"/>
      <c r="AG120" s="1920"/>
      <c r="AH120" s="1920"/>
      <c r="AI120" s="1920"/>
      <c r="AJ120" s="1920"/>
      <c r="AK120" s="1920"/>
      <c r="AL120" s="1920"/>
      <c r="AM120" s="1920"/>
      <c r="AN120" s="1920"/>
      <c r="AO120" s="1920"/>
      <c r="AP120" s="1920"/>
      <c r="AQ120" s="1920"/>
      <c r="AR120" s="1920"/>
      <c r="AS120" s="1920"/>
      <c r="AT120" s="1920"/>
      <c r="AU120" s="1920"/>
      <c r="AV120" s="1920"/>
      <c r="AW120" s="1920"/>
      <c r="AX120" s="1920"/>
      <c r="AY120" s="1920"/>
      <c r="AZ120" s="1920"/>
      <c r="BA120" s="1920"/>
      <c r="BB120" s="1920"/>
      <c r="BC120" s="1920"/>
      <c r="BD120" s="1920"/>
      <c r="BE120" s="1920"/>
      <c r="BF120" s="1920"/>
      <c r="BG120" s="1920"/>
      <c r="BH120" s="1920"/>
      <c r="BI120" s="1920"/>
      <c r="BJ120" s="1920"/>
      <c r="BK120" s="1920"/>
      <c r="BL120" s="1920"/>
      <c r="BM120" s="1920"/>
      <c r="BN120" s="1920"/>
      <c r="BO120" s="1920"/>
      <c r="BP120" s="1920"/>
      <c r="BQ120" s="1920"/>
      <c r="BR120" s="1920"/>
      <c r="BS120" s="1920"/>
      <c r="BT120" s="1920"/>
      <c r="BU120" s="1920"/>
      <c r="BV120" s="1444"/>
      <c r="BW120" s="1444"/>
      <c r="BX120" s="1444"/>
      <c r="BY120" s="1444"/>
      <c r="BZ120" s="1444"/>
      <c r="CA120" s="1444"/>
      <c r="CB120" s="1444"/>
      <c r="CC120" s="1444"/>
      <c r="CD120" s="1444"/>
      <c r="CE120" s="1444"/>
    </row>
    <row s="30681" customFormat="1" customHeight="1" ht="24.75">
      <c r="A121" s="2090"/>
      <c r="B121" s="1444"/>
      <c r="C121" s="696"/>
      <c r="D121" s="2863"/>
      <c r="E121" s="2660" t="s">
        <v>685</v>
      </c>
      <c r="F121" s="2660"/>
      <c r="G121" s="2660"/>
      <c r="H121" s="2660"/>
      <c r="I121" s="2660"/>
      <c r="J121" s="2660"/>
      <c r="K121" s="2660"/>
      <c r="L121" s="2660"/>
      <c r="M121" s="2660"/>
      <c r="N121" s="2660"/>
      <c r="O121" s="2660"/>
      <c r="P121" s="2660"/>
      <c r="Q121" s="842">
        <f>SUMIF(T122:T123,"i",Q122:Q123)</f>
        <v>0</v>
      </c>
      <c r="R121" s="1301"/>
      <c r="S121" s="2082" t="s">
        <v>686</v>
      </c>
      <c r="T121" s="1001" t="s">
        <v>684</v>
      </c>
      <c r="U121" s="2658">
        <v>1</v>
      </c>
      <c r="V121" s="2658" t="s">
        <v>647</v>
      </c>
      <c r="W121" s="1444"/>
      <c r="X121" s="1444"/>
      <c r="Y121" s="1444"/>
      <c r="Z121" s="1444"/>
      <c r="AA121" s="1920"/>
      <c r="AB121" s="1444"/>
      <c r="AC121" s="2080"/>
      <c r="AD121" s="913"/>
      <c r="AE121" s="1444"/>
      <c r="AF121" s="1444"/>
      <c r="AG121" s="1920"/>
      <c r="AH121" s="1920"/>
      <c r="AI121" s="1920"/>
      <c r="AJ121" s="1920"/>
      <c r="AK121" s="1920"/>
      <c r="AL121" s="1920"/>
      <c r="AM121" s="1920"/>
      <c r="AN121" s="1920"/>
      <c r="AO121" s="1920"/>
      <c r="AP121" s="1920"/>
      <c r="AQ121" s="1920"/>
      <c r="AR121" s="1920"/>
      <c r="AS121" s="1920"/>
      <c r="AT121" s="1920"/>
      <c r="AU121" s="1920"/>
      <c r="AV121" s="1920"/>
      <c r="AW121" s="1920"/>
      <c r="AX121" s="1920"/>
      <c r="AY121" s="1920"/>
      <c r="AZ121" s="1920"/>
      <c r="BA121" s="1920"/>
      <c r="BB121" s="1920"/>
      <c r="BC121" s="1920"/>
      <c r="BD121" s="1920"/>
      <c r="BE121" s="1920"/>
      <c r="BF121" s="1920"/>
      <c r="BG121" s="1920"/>
      <c r="BH121" s="1920"/>
      <c r="BI121" s="1920"/>
      <c r="BJ121" s="1920"/>
      <c r="BK121" s="1920"/>
      <c r="BL121" s="1920"/>
      <c r="BM121" s="1920"/>
      <c r="BN121" s="1920"/>
      <c r="BO121" s="1920"/>
      <c r="BP121" s="1920"/>
      <c r="BQ121" s="1920"/>
      <c r="BR121" s="1920"/>
      <c r="BS121" s="1920"/>
      <c r="BT121" s="1920"/>
      <c r="BU121" s="1920"/>
      <c r="BV121" s="1444"/>
      <c r="BW121" s="1444"/>
      <c r="BX121" s="1444"/>
      <c r="BY121" s="1444"/>
      <c r="BZ121" s="1444"/>
      <c r="CA121" s="1444"/>
      <c r="CB121" s="1444"/>
      <c r="CC121" s="1444"/>
      <c r="CD121" s="1444"/>
      <c r="CE121" s="1444"/>
    </row>
    <row s="30681" customFormat="1" customHeight="1" ht="11.25" hidden="1">
      <c r="A122" s="2077"/>
      <c r="B122" s="1920"/>
      <c r="C122" s="1920"/>
      <c r="D122" s="2863"/>
      <c r="E122" s="919"/>
      <c r="F122" s="919">
        <v>0</v>
      </c>
      <c r="G122" s="919"/>
      <c r="H122" s="919"/>
      <c r="I122" s="919"/>
      <c r="J122" s="919"/>
      <c r="K122" s="919"/>
      <c r="L122" s="919"/>
      <c r="M122" s="919"/>
      <c r="N122" s="919"/>
      <c r="O122" s="919"/>
      <c r="P122" s="919"/>
      <c r="Q122" s="919"/>
      <c r="R122" s="919"/>
      <c r="S122" s="920"/>
      <c r="T122" s="1002"/>
      <c r="U122" s="2658"/>
      <c r="V122" s="2658"/>
      <c r="W122" s="1920"/>
      <c r="X122" s="1920"/>
      <c r="Y122" s="1920"/>
      <c r="Z122" s="1920"/>
      <c r="AA122" s="1920"/>
      <c r="AB122" s="1444"/>
      <c r="AC122" s="2080"/>
      <c r="AD122" s="913"/>
      <c r="AE122" s="1444"/>
      <c r="AF122" s="1444"/>
      <c r="AG122" s="1920"/>
      <c r="AH122" s="1920"/>
      <c r="AI122" s="1920"/>
      <c r="AJ122" s="1920"/>
      <c r="AK122" s="1920"/>
      <c r="AL122" s="1920"/>
      <c r="AM122" s="1920"/>
      <c r="AN122" s="1920"/>
      <c r="AO122" s="1920"/>
      <c r="AP122" s="1920"/>
      <c r="AQ122" s="1920"/>
      <c r="AR122" s="1920"/>
      <c r="AS122" s="1920"/>
      <c r="AT122" s="1920"/>
      <c r="AU122" s="1920"/>
      <c r="AV122" s="1920"/>
      <c r="AW122" s="1920"/>
      <c r="AX122" s="1920"/>
      <c r="AY122" s="1920"/>
      <c r="AZ122" s="1920"/>
      <c r="BA122" s="1920"/>
      <c r="BB122" s="1920"/>
      <c r="BC122" s="1920"/>
      <c r="BD122" s="1920"/>
      <c r="BE122" s="1920"/>
      <c r="BF122" s="1920"/>
      <c r="BG122" s="1920"/>
      <c r="BH122" s="1920"/>
      <c r="BI122" s="1920"/>
      <c r="BJ122" s="1920"/>
      <c r="BK122" s="1920"/>
      <c r="BL122" s="1920"/>
      <c r="BM122" s="1920"/>
      <c r="BN122" s="1920"/>
      <c r="BO122" s="1920"/>
      <c r="BP122" s="1920"/>
      <c r="BQ122" s="1920"/>
      <c r="BR122" s="1920"/>
      <c r="BS122" s="1920"/>
      <c r="BT122" s="1920"/>
      <c r="BU122" s="1920"/>
      <c r="BV122" s="1920"/>
      <c r="BW122" s="1920"/>
      <c r="BX122" s="1920"/>
      <c r="BY122" s="1920"/>
      <c r="BZ122" s="1920"/>
      <c r="CA122" s="1920"/>
      <c r="CB122" s="1920"/>
      <c r="CC122" s="1920"/>
      <c r="CD122" s="1920"/>
      <c r="CE122" s="1920"/>
    </row>
    <row s="30681" customFormat="1" customHeight="1" ht="11.25">
      <c r="A123" s="2090"/>
      <c r="B123" s="1444"/>
      <c r="C123" s="696"/>
      <c r="D123" s="2864"/>
      <c r="E123" s="933" t="s">
        <v>28</v>
      </c>
      <c r="F123" s="1452" t="s">
        <v>28</v>
      </c>
      <c r="G123" s="1452" t="s">
        <v>2014</v>
      </c>
      <c r="H123" s="935" t="s">
        <v>28</v>
      </c>
      <c r="I123" s="935"/>
      <c r="J123" s="935"/>
      <c r="K123" s="935"/>
      <c r="L123" s="935"/>
      <c r="M123" s="935"/>
      <c r="N123" s="935"/>
      <c r="O123" s="935"/>
      <c r="P123" s="935"/>
      <c r="Q123" s="935"/>
      <c r="R123" s="936"/>
      <c r="S123" s="937"/>
      <c r="T123" s="1002"/>
      <c r="U123" s="2658"/>
      <c r="V123" s="2658"/>
      <c r="W123" s="1444"/>
      <c r="X123" s="1444"/>
      <c r="Y123" s="1444"/>
      <c r="Z123" s="1444"/>
      <c r="AA123" s="1920"/>
      <c r="AB123" s="1444"/>
      <c r="AC123" s="2080"/>
      <c r="AD123" s="913"/>
      <c r="AE123" s="1444"/>
      <c r="AF123" s="1444"/>
      <c r="AG123" s="1920"/>
      <c r="AH123" s="1920"/>
      <c r="AI123" s="1920"/>
      <c r="AJ123" s="1920"/>
      <c r="AK123" s="1920"/>
      <c r="AL123" s="1920"/>
      <c r="AM123" s="1920"/>
      <c r="AN123" s="1920"/>
      <c r="AO123" s="1920"/>
      <c r="AP123" s="1920"/>
      <c r="AQ123" s="1920"/>
      <c r="AR123" s="1920"/>
      <c r="AS123" s="1920"/>
      <c r="AT123" s="1920"/>
      <c r="AU123" s="1920"/>
      <c r="AV123" s="1920"/>
      <c r="AW123" s="1920"/>
      <c r="AX123" s="1920"/>
      <c r="AY123" s="1920"/>
      <c r="AZ123" s="1920"/>
      <c r="BA123" s="1920"/>
      <c r="BB123" s="1920"/>
      <c r="BC123" s="1920"/>
      <c r="BD123" s="1920"/>
      <c r="BE123" s="1920"/>
      <c r="BF123" s="1920"/>
      <c r="BG123" s="1920"/>
      <c r="BH123" s="1920"/>
      <c r="BI123" s="1920"/>
      <c r="BJ123" s="1920"/>
      <c r="BK123" s="1920"/>
      <c r="BL123" s="1920"/>
      <c r="BM123" s="1920"/>
      <c r="BN123" s="1920"/>
      <c r="BO123" s="1920"/>
      <c r="BP123" s="1920"/>
      <c r="BQ123" s="1920"/>
      <c r="BR123" s="1920"/>
      <c r="BS123" s="1920"/>
      <c r="BT123" s="1920"/>
      <c r="BU123" s="1920"/>
      <c r="BV123" s="1444"/>
      <c r="BW123" s="1444"/>
      <c r="BX123" s="1444"/>
      <c r="BY123" s="1444"/>
      <c r="BZ123" s="1444"/>
      <c r="CA123" s="1444"/>
      <c r="CB123" s="1444"/>
      <c r="CC123" s="1444"/>
      <c r="CD123" s="1444"/>
      <c r="CE123" s="1444"/>
    </row>
    <row r="125" s="38442" customFormat="1" customHeight="1" ht="11.25">
      <c r="A125" s="2099" t="s">
        <v>2015</v>
      </c>
    </row>
    <row r="127" s="30681" customFormat="1" customHeight="1" ht="15">
      <c r="A127" s="907"/>
      <c r="B127" s="908"/>
      <c r="C127" s="908"/>
      <c r="D127" s="2862" t="s">
        <v>141</v>
      </c>
      <c r="E127" s="2661" t="s">
        <v>137</v>
      </c>
      <c r="F127" s="2662"/>
      <c r="G127" s="2663"/>
      <c r="H127" s="2667" t="str">
        <f>IF(A127="","",INDEX(DIFFERENTIATION_UNMERGE_VD,MATCH(A127,DIFFERENTIATION_ID_DIFF,0)))</f>
        <v/>
      </c>
      <c r="I127" s="2667"/>
      <c r="J127" s="2667"/>
      <c r="K127" s="2667"/>
      <c r="L127" s="2667"/>
      <c r="M127" s="2667"/>
      <c r="N127" s="2667"/>
      <c r="O127" s="2667"/>
      <c r="P127" s="2667"/>
      <c r="Q127" s="2667"/>
      <c r="R127" s="2667"/>
      <c r="S127" s="1003"/>
      <c r="T127" s="1000"/>
      <c r="U127" s="909"/>
      <c r="V127" s="909"/>
      <c r="W127" s="910"/>
      <c r="X127" s="910"/>
      <c r="Y127" s="910"/>
      <c r="Z127" s="910"/>
      <c r="AA127" s="911"/>
      <c r="AB127" s="912"/>
      <c r="AC127" s="2659"/>
      <c r="AD127" s="913"/>
      <c r="AE127" s="914" t="s">
        <v>28</v>
      </c>
      <c r="AF127" s="914"/>
      <c r="AG127" s="915" t="s">
        <v>681</v>
      </c>
      <c r="AH127" s="916">
        <v>3</v>
      </c>
      <c r="AI127" s="909"/>
      <c r="AJ127" s="909"/>
      <c r="AK127" s="909"/>
      <c r="AL127" s="909"/>
      <c r="AM127" s="909"/>
      <c r="AN127" s="909"/>
      <c r="AO127" s="909"/>
      <c r="AP127" s="909"/>
      <c r="AQ127" s="909"/>
      <c r="AR127" s="909"/>
      <c r="AS127" s="909"/>
      <c r="AT127" s="909"/>
      <c r="AU127" s="909"/>
      <c r="AV127" s="909"/>
      <c r="AW127" s="909"/>
      <c r="AX127" s="909"/>
      <c r="AY127" s="909"/>
      <c r="AZ127" s="909"/>
      <c r="BA127" s="909"/>
      <c r="BB127" s="909"/>
      <c r="BC127" s="909"/>
      <c r="BD127" s="909"/>
      <c r="BE127" s="909"/>
      <c r="BF127" s="909"/>
      <c r="BG127" s="909"/>
      <c r="BH127" s="909"/>
      <c r="BI127" s="909"/>
      <c r="BJ127" s="909"/>
      <c r="BK127" s="909"/>
      <c r="BL127" s="909"/>
      <c r="BM127" s="909"/>
      <c r="BN127" s="909"/>
      <c r="BO127" s="909"/>
      <c r="BP127" s="909"/>
      <c r="BQ127" s="909"/>
      <c r="BR127" s="909"/>
      <c r="BS127" s="909"/>
      <c r="BT127" s="909"/>
      <c r="BU127" s="909"/>
      <c r="BV127" s="910"/>
      <c r="BW127" s="910"/>
      <c r="BX127" s="910"/>
      <c r="BY127" s="910"/>
      <c r="BZ127" s="910"/>
      <c r="CA127" s="910"/>
      <c r="CB127" s="910"/>
      <c r="CC127" s="910"/>
      <c r="CD127" s="910"/>
      <c r="CE127" s="910"/>
    </row>
    <row s="30681" customFormat="1" customHeight="1" ht="15">
      <c r="A128" s="907"/>
      <c r="B128" s="908"/>
      <c r="C128" s="908"/>
      <c r="D128" s="2863"/>
      <c r="E128" s="2661" t="s">
        <v>636</v>
      </c>
      <c r="F128" s="2662"/>
      <c r="G128" s="2663"/>
      <c r="H128" s="2667" t="str">
        <f>IF(A127="","",INDEX(DIFFERENTIATION_UNMERGE_AREA,MATCH(A127,DIFFERENTIATION_ID_DIFF,0)))</f>
        <v/>
      </c>
      <c r="I128" s="2667"/>
      <c r="J128" s="2667"/>
      <c r="K128" s="2667"/>
      <c r="L128" s="2667"/>
      <c r="M128" s="2667"/>
      <c r="N128" s="2667"/>
      <c r="O128" s="2667"/>
      <c r="P128" s="2667"/>
      <c r="Q128" s="2667"/>
      <c r="R128" s="2667"/>
      <c r="S128" s="1003"/>
      <c r="T128" s="1000"/>
      <c r="U128" s="909"/>
      <c r="V128" s="909"/>
      <c r="W128" s="910"/>
      <c r="X128" s="910"/>
      <c r="Y128" s="910"/>
      <c r="Z128" s="910"/>
      <c r="AA128" s="911"/>
      <c r="AB128" s="912"/>
      <c r="AC128" s="2659"/>
      <c r="AD128" s="913"/>
      <c r="AE128" s="914"/>
      <c r="AF128" s="914"/>
      <c r="AG128" s="915"/>
      <c r="AH128" s="916"/>
      <c r="AI128" s="909"/>
      <c r="AJ128" s="909"/>
      <c r="AK128" s="909"/>
      <c r="AL128" s="909"/>
      <c r="AM128" s="909"/>
      <c r="AN128" s="909"/>
      <c r="AO128" s="909"/>
      <c r="AP128" s="909"/>
      <c r="AQ128" s="909"/>
      <c r="AR128" s="909"/>
      <c r="AS128" s="909"/>
      <c r="AT128" s="909"/>
      <c r="AU128" s="909"/>
      <c r="AV128" s="909"/>
      <c r="AW128" s="909"/>
      <c r="AX128" s="909"/>
      <c r="AY128" s="909"/>
      <c r="AZ128" s="909"/>
      <c r="BA128" s="909"/>
      <c r="BB128" s="909"/>
      <c r="BC128" s="909"/>
      <c r="BD128" s="909"/>
      <c r="BE128" s="909"/>
      <c r="BF128" s="909"/>
      <c r="BG128" s="909"/>
      <c r="BH128" s="909"/>
      <c r="BI128" s="909"/>
      <c r="BJ128" s="909"/>
      <c r="BK128" s="909"/>
      <c r="BL128" s="909"/>
      <c r="BM128" s="909"/>
      <c r="BN128" s="909"/>
      <c r="BO128" s="909"/>
      <c r="BP128" s="909"/>
      <c r="BQ128" s="909"/>
      <c r="BR128" s="909"/>
      <c r="BS128" s="909"/>
      <c r="BT128" s="909"/>
      <c r="BU128" s="909"/>
      <c r="BV128" s="910"/>
      <c r="BW128" s="910"/>
      <c r="BX128" s="910"/>
      <c r="BY128" s="910"/>
      <c r="BZ128" s="910"/>
      <c r="CA128" s="910"/>
      <c r="CB128" s="910"/>
      <c r="CC128" s="910"/>
      <c r="CD128" s="910"/>
      <c r="CE128" s="910"/>
    </row>
    <row s="30681" customFormat="1" customHeight="1" ht="15">
      <c r="A129" s="907"/>
      <c r="B129" s="908"/>
      <c r="C129" s="908"/>
      <c r="D129" s="2863"/>
      <c r="E129" s="2661" t="s">
        <v>637</v>
      </c>
      <c r="F129" s="2662"/>
      <c r="G129" s="2663"/>
      <c r="H129" s="2667" t="str">
        <f>IF(A127="","",INDEX(DIFFERENTIATION_UNMERGE_SYSTEM,MATCH(A127,DIFFERENTIATION_ID_DIFF,0)))</f>
        <v/>
      </c>
      <c r="I129" s="2667"/>
      <c r="J129" s="2667"/>
      <c r="K129" s="2667"/>
      <c r="L129" s="2667"/>
      <c r="M129" s="2667"/>
      <c r="N129" s="2667"/>
      <c r="O129" s="2667"/>
      <c r="P129" s="2667"/>
      <c r="Q129" s="2667"/>
      <c r="R129" s="2667"/>
      <c r="S129" s="1003"/>
      <c r="T129" s="1000"/>
      <c r="U129" s="909"/>
      <c r="V129" s="909"/>
      <c r="W129" s="910"/>
      <c r="X129" s="910"/>
      <c r="Y129" s="910"/>
      <c r="Z129" s="910"/>
      <c r="AA129" s="911"/>
      <c r="AB129" s="912"/>
      <c r="AC129" s="2659"/>
      <c r="AD129" s="913"/>
      <c r="AE129" s="914"/>
      <c r="AF129" s="914"/>
      <c r="AG129" s="915"/>
      <c r="AH129" s="916"/>
      <c r="AI129" s="909"/>
      <c r="AJ129" s="909"/>
      <c r="AK129" s="909"/>
      <c r="AL129" s="909"/>
      <c r="AM129" s="909"/>
      <c r="AN129" s="909"/>
      <c r="AO129" s="909"/>
      <c r="AP129" s="909"/>
      <c r="AQ129" s="909"/>
      <c r="AR129" s="909"/>
      <c r="AS129" s="909"/>
      <c r="AT129" s="909"/>
      <c r="AU129" s="909"/>
      <c r="AV129" s="909"/>
      <c r="AW129" s="909"/>
      <c r="AX129" s="909"/>
      <c r="AY129" s="909"/>
      <c r="AZ129" s="909"/>
      <c r="BA129" s="909"/>
      <c r="BB129" s="909"/>
      <c r="BC129" s="909"/>
      <c r="BD129" s="909"/>
      <c r="BE129" s="909"/>
      <c r="BF129" s="909"/>
      <c r="BG129" s="909"/>
      <c r="BH129" s="909"/>
      <c r="BI129" s="909"/>
      <c r="BJ129" s="909"/>
      <c r="BK129" s="909"/>
      <c r="BL129" s="909"/>
      <c r="BM129" s="909"/>
      <c r="BN129" s="909"/>
      <c r="BO129" s="909"/>
      <c r="BP129" s="909"/>
      <c r="BQ129" s="909"/>
      <c r="BR129" s="909"/>
      <c r="BS129" s="909"/>
      <c r="BT129" s="909"/>
      <c r="BU129" s="909"/>
      <c r="BV129" s="910"/>
      <c r="BW129" s="910"/>
      <c r="BX129" s="910"/>
      <c r="BY129" s="910"/>
      <c r="BZ129" s="910"/>
      <c r="CA129" s="910"/>
      <c r="CB129" s="910"/>
      <c r="CC129" s="910"/>
      <c r="CD129" s="910"/>
      <c r="CE129" s="910"/>
    </row>
    <row s="30681" customFormat="1" customHeight="1" ht="24.75">
      <c r="A130" s="2090"/>
      <c r="B130" s="1444"/>
      <c r="C130" s="696"/>
      <c r="D130" s="2863"/>
      <c r="E130" s="2660" t="s">
        <v>682</v>
      </c>
      <c r="F130" s="2660"/>
      <c r="G130" s="2660"/>
      <c r="H130" s="2660"/>
      <c r="I130" s="2660"/>
      <c r="J130" s="2660"/>
      <c r="K130" s="2660"/>
      <c r="L130" s="2660"/>
      <c r="M130" s="2660"/>
      <c r="N130" s="2660"/>
      <c r="O130" s="2660"/>
      <c r="P130" s="2660"/>
      <c r="Q130" s="842">
        <f>SUMIF(T131:T132,"i",Q131:Q132)</f>
        <v>0</v>
      </c>
      <c r="R130" s="1301"/>
      <c r="S130" s="2082" t="s">
        <v>683</v>
      </c>
      <c r="T130" s="1001" t="s">
        <v>684</v>
      </c>
      <c r="U130" s="2658">
        <v>1</v>
      </c>
      <c r="V130" s="2658" t="s">
        <v>647</v>
      </c>
      <c r="W130" s="1444"/>
      <c r="X130" s="1444"/>
      <c r="Y130" s="1444"/>
      <c r="Z130" s="1444"/>
      <c r="AA130" s="1920"/>
      <c r="AB130" s="1444"/>
      <c r="AC130" s="2659"/>
      <c r="AD130" s="913"/>
      <c r="AE130" s="1444"/>
      <c r="AF130" s="1444"/>
      <c r="AG130" s="1920"/>
      <c r="AH130" s="1920"/>
      <c r="AI130" s="1920"/>
      <c r="AJ130" s="1920"/>
      <c r="AK130" s="1920"/>
      <c r="AL130" s="1920"/>
      <c r="AM130" s="1920"/>
      <c r="AN130" s="1920"/>
      <c r="AO130" s="1920"/>
      <c r="AP130" s="1920"/>
      <c r="AQ130" s="1920"/>
      <c r="AR130" s="1920"/>
      <c r="AS130" s="1920"/>
      <c r="AT130" s="1920"/>
      <c r="AU130" s="1920"/>
      <c r="AV130" s="1920"/>
      <c r="AW130" s="1920"/>
      <c r="AX130" s="1920"/>
      <c r="AY130" s="1920"/>
      <c r="AZ130" s="1920"/>
      <c r="BA130" s="1920"/>
      <c r="BB130" s="1920"/>
      <c r="BC130" s="1920"/>
      <c r="BD130" s="1920"/>
      <c r="BE130" s="1920"/>
      <c r="BF130" s="1920"/>
      <c r="BG130" s="1920"/>
      <c r="BH130" s="1920"/>
      <c r="BI130" s="1920"/>
      <c r="BJ130" s="1920"/>
      <c r="BK130" s="1920"/>
      <c r="BL130" s="1920"/>
      <c r="BM130" s="1920"/>
      <c r="BN130" s="1920"/>
      <c r="BO130" s="1920"/>
      <c r="BP130" s="1920"/>
      <c r="BQ130" s="1920"/>
      <c r="BR130" s="1920"/>
      <c r="BS130" s="1920"/>
      <c r="BT130" s="1920"/>
      <c r="BU130" s="1920"/>
      <c r="BV130" s="1444"/>
      <c r="BW130" s="1444"/>
      <c r="BX130" s="1444"/>
      <c r="BY130" s="1444"/>
      <c r="BZ130" s="1444"/>
      <c r="CA130" s="1444"/>
      <c r="CB130" s="1444"/>
      <c r="CC130" s="1444"/>
      <c r="CD130" s="1444"/>
      <c r="CE130" s="1444"/>
    </row>
    <row s="30681" customFormat="1" customHeight="1" ht="11.25" hidden="1">
      <c r="A131" s="2077"/>
      <c r="B131" s="1920"/>
      <c r="C131" s="1920"/>
      <c r="D131" s="2863"/>
      <c r="E131" s="919"/>
      <c r="F131" s="919">
        <v>0</v>
      </c>
      <c r="G131" s="919"/>
      <c r="H131" s="919"/>
      <c r="I131" s="919"/>
      <c r="J131" s="919"/>
      <c r="K131" s="919"/>
      <c r="L131" s="919"/>
      <c r="M131" s="919"/>
      <c r="N131" s="919"/>
      <c r="O131" s="919"/>
      <c r="P131" s="919"/>
      <c r="Q131" s="919"/>
      <c r="R131" s="919"/>
      <c r="S131" s="920"/>
      <c r="T131" s="1002"/>
      <c r="U131" s="2658"/>
      <c r="V131" s="2658"/>
      <c r="W131" s="1920"/>
      <c r="X131" s="1920"/>
      <c r="Y131" s="1920"/>
      <c r="Z131" s="1920"/>
      <c r="AA131" s="1920"/>
      <c r="AB131" s="1444"/>
      <c r="AC131" s="2659"/>
      <c r="AD131" s="913"/>
      <c r="AE131" s="1444"/>
      <c r="AF131" s="1444"/>
      <c r="AG131" s="1920"/>
      <c r="AH131" s="1920"/>
      <c r="AI131" s="1920"/>
      <c r="AJ131" s="1920"/>
      <c r="AK131" s="1920"/>
      <c r="AL131" s="1920"/>
      <c r="AM131" s="1920"/>
      <c r="AN131" s="1920"/>
      <c r="AO131" s="1920"/>
      <c r="AP131" s="1920"/>
      <c r="AQ131" s="1920"/>
      <c r="AR131" s="1920"/>
      <c r="AS131" s="1920"/>
      <c r="AT131" s="1920"/>
      <c r="AU131" s="1920"/>
      <c r="AV131" s="1920"/>
      <c r="AW131" s="1920"/>
      <c r="AX131" s="1920"/>
      <c r="AY131" s="1920"/>
      <c r="AZ131" s="1920"/>
      <c r="BA131" s="1920"/>
      <c r="BB131" s="1920"/>
      <c r="BC131" s="1920"/>
      <c r="BD131" s="1920"/>
      <c r="BE131" s="1920"/>
      <c r="BF131" s="1920"/>
      <c r="BG131" s="1920"/>
      <c r="BH131" s="1920"/>
      <c r="BI131" s="1920"/>
      <c r="BJ131" s="1920"/>
      <c r="BK131" s="1920"/>
      <c r="BL131" s="1920"/>
      <c r="BM131" s="1920"/>
      <c r="BN131" s="1920"/>
      <c r="BO131" s="1920"/>
      <c r="BP131" s="1920"/>
      <c r="BQ131" s="1920"/>
      <c r="BR131" s="1920"/>
      <c r="BS131" s="1920"/>
      <c r="BT131" s="1920"/>
      <c r="BU131" s="1920"/>
      <c r="BV131" s="1920"/>
      <c r="BW131" s="1920"/>
      <c r="BX131" s="1920"/>
      <c r="BY131" s="1920"/>
      <c r="BZ131" s="1920"/>
      <c r="CA131" s="1920"/>
      <c r="CB131" s="1920"/>
      <c r="CC131" s="1920"/>
      <c r="CD131" s="1920"/>
      <c r="CE131" s="1920"/>
    </row>
    <row s="30681" customFormat="1" customHeight="1" ht="11.25">
      <c r="A132" s="2090"/>
      <c r="B132" s="1444"/>
      <c r="C132" s="696"/>
      <c r="D132" s="2863"/>
      <c r="E132" s="933" t="s">
        <v>28</v>
      </c>
      <c r="F132" s="1452" t="s">
        <v>28</v>
      </c>
      <c r="G132" s="1452" t="s">
        <v>2014</v>
      </c>
      <c r="H132" s="935" t="s">
        <v>28</v>
      </c>
      <c r="I132" s="935"/>
      <c r="J132" s="935"/>
      <c r="K132" s="935"/>
      <c r="L132" s="935"/>
      <c r="M132" s="935"/>
      <c r="N132" s="935"/>
      <c r="O132" s="935"/>
      <c r="P132" s="935"/>
      <c r="Q132" s="935"/>
      <c r="R132" s="936"/>
      <c r="S132" s="937"/>
      <c r="T132" s="1002"/>
      <c r="U132" s="2658"/>
      <c r="V132" s="2658"/>
      <c r="W132" s="1444"/>
      <c r="X132" s="1444"/>
      <c r="Y132" s="1444"/>
      <c r="Z132" s="1444"/>
      <c r="AA132" s="1920"/>
      <c r="AB132" s="1444"/>
      <c r="AC132" s="2659"/>
      <c r="AD132" s="913"/>
      <c r="AE132" s="1444"/>
      <c r="AF132" s="1444"/>
      <c r="AG132" s="1920"/>
      <c r="AH132" s="1920"/>
      <c r="AI132" s="1920"/>
      <c r="AJ132" s="1920"/>
      <c r="AK132" s="1920"/>
      <c r="AL132" s="1920"/>
      <c r="AM132" s="1920"/>
      <c r="AN132" s="1920"/>
      <c r="AO132" s="1920"/>
      <c r="AP132" s="1920"/>
      <c r="AQ132" s="1920"/>
      <c r="AR132" s="1920"/>
      <c r="AS132" s="1920"/>
      <c r="AT132" s="1920"/>
      <c r="AU132" s="1920"/>
      <c r="AV132" s="1920"/>
      <c r="AW132" s="1920"/>
      <c r="AX132" s="1920"/>
      <c r="AY132" s="1920"/>
      <c r="AZ132" s="1920"/>
      <c r="BA132" s="1920"/>
      <c r="BB132" s="1920"/>
      <c r="BC132" s="1920"/>
      <c r="BD132" s="1920"/>
      <c r="BE132" s="1920"/>
      <c r="BF132" s="1920"/>
      <c r="BG132" s="1920"/>
      <c r="BH132" s="1920"/>
      <c r="BI132" s="1920"/>
      <c r="BJ132" s="1920"/>
      <c r="BK132" s="1920"/>
      <c r="BL132" s="1920"/>
      <c r="BM132" s="1920"/>
      <c r="BN132" s="1920"/>
      <c r="BO132" s="1920"/>
      <c r="BP132" s="1920"/>
      <c r="BQ132" s="1920"/>
      <c r="BR132" s="1920"/>
      <c r="BS132" s="1920"/>
      <c r="BT132" s="1920"/>
      <c r="BU132" s="1920"/>
      <c r="BV132" s="1444"/>
      <c r="BW132" s="1444"/>
      <c r="BX132" s="1444"/>
      <c r="BY132" s="1444"/>
      <c r="BZ132" s="1444"/>
      <c r="CA132" s="1444"/>
      <c r="CB132" s="1444"/>
      <c r="CC132" s="1444"/>
      <c r="CD132" s="1444"/>
      <c r="CE132" s="1444"/>
    </row>
    <row s="31054" customFormat="1" customHeight="1" ht="5.25" hidden="1">
      <c r="A133" s="2077"/>
      <c r="B133" s="1920"/>
      <c r="C133" s="1920"/>
      <c r="D133" s="2863"/>
      <c r="E133" s="1323"/>
      <c r="F133" s="1323"/>
      <c r="G133" s="1323"/>
      <c r="H133" s="1323"/>
      <c r="I133" s="1323"/>
      <c r="J133" s="1323"/>
      <c r="K133" s="1323"/>
      <c r="L133" s="1323"/>
      <c r="M133" s="1323"/>
      <c r="N133" s="1323"/>
      <c r="O133" s="1323"/>
      <c r="P133" s="1323"/>
      <c r="Q133" s="1324"/>
      <c r="R133" s="1325"/>
      <c r="S133" s="1326"/>
      <c r="T133" s="1001" t="s">
        <v>684</v>
      </c>
      <c r="U133" s="2658">
        <v>1</v>
      </c>
      <c r="V133" s="2658" t="s">
        <v>647</v>
      </c>
      <c r="W133" s="1920"/>
      <c r="X133" s="1920"/>
      <c r="Y133" s="1920"/>
      <c r="Z133" s="1920"/>
      <c r="AA133" s="1920"/>
      <c r="AB133" s="1920"/>
      <c r="AC133" s="1321"/>
      <c r="AD133" s="1322"/>
      <c r="AE133" s="1920"/>
      <c r="AF133" s="1920"/>
      <c r="AG133" s="1920"/>
      <c r="AH133" s="1920"/>
      <c r="AI133" s="1920"/>
      <c r="AJ133" s="1920"/>
      <c r="AK133" s="1920"/>
      <c r="AL133" s="1920"/>
      <c r="AM133" s="1920"/>
      <c r="AN133" s="1920"/>
      <c r="AO133" s="1920"/>
      <c r="AP133" s="1920"/>
      <c r="AQ133" s="1920"/>
      <c r="AR133" s="1920"/>
      <c r="AS133" s="1920"/>
      <c r="AT133" s="1920"/>
      <c r="AU133" s="1920"/>
      <c r="AV133" s="1920"/>
      <c r="AW133" s="1920"/>
      <c r="AX133" s="1920"/>
      <c r="AY133" s="1920"/>
      <c r="AZ133" s="1920"/>
      <c r="BA133" s="1920"/>
      <c r="BB133" s="1920"/>
      <c r="BC133" s="1920"/>
      <c r="BD133" s="1920"/>
      <c r="BE133" s="1920"/>
      <c r="BF133" s="1920"/>
      <c r="BG133" s="1920"/>
      <c r="BH133" s="1920"/>
      <c r="BI133" s="1920"/>
      <c r="BJ133" s="1920"/>
      <c r="BK133" s="1920"/>
      <c r="BL133" s="1920"/>
      <c r="BM133" s="1920"/>
      <c r="BN133" s="1920"/>
      <c r="BO133" s="1920"/>
      <c r="BP133" s="1920"/>
      <c r="BQ133" s="1920"/>
      <c r="BR133" s="1920"/>
      <c r="BS133" s="1920"/>
      <c r="BT133" s="1920"/>
      <c r="BU133" s="1920"/>
      <c r="BV133" s="1920"/>
      <c r="BW133" s="1920"/>
      <c r="BX133" s="1920"/>
      <c r="BY133" s="1920"/>
      <c r="BZ133" s="1920"/>
      <c r="CA133" s="1920"/>
      <c r="CB133" s="1920"/>
      <c r="CC133" s="1920"/>
      <c r="CD133" s="1920"/>
      <c r="CE133" s="1920"/>
    </row>
    <row s="31054" customFormat="1" customHeight="1" ht="5.25" hidden="1">
      <c r="A134" s="2077"/>
      <c r="B134" s="1920"/>
      <c r="C134" s="1920"/>
      <c r="D134" s="2863"/>
      <c r="E134" s="919"/>
      <c r="F134" s="919"/>
      <c r="G134" s="919"/>
      <c r="H134" s="919"/>
      <c r="I134" s="919"/>
      <c r="J134" s="919"/>
      <c r="K134" s="919"/>
      <c r="L134" s="919"/>
      <c r="M134" s="919"/>
      <c r="N134" s="919"/>
      <c r="O134" s="919"/>
      <c r="P134" s="919"/>
      <c r="Q134" s="919"/>
      <c r="R134" s="919"/>
      <c r="S134" s="920"/>
      <c r="T134" s="1002"/>
      <c r="U134" s="2658"/>
      <c r="V134" s="2658"/>
      <c r="W134" s="1920"/>
      <c r="X134" s="1920"/>
      <c r="Y134" s="1920"/>
      <c r="Z134" s="1920"/>
      <c r="AA134" s="1920"/>
      <c r="AB134" s="1920"/>
      <c r="AC134" s="1321"/>
      <c r="AD134" s="1322"/>
      <c r="AE134" s="1920"/>
      <c r="AF134" s="1920"/>
      <c r="AG134" s="1920"/>
      <c r="AH134" s="1920"/>
      <c r="AI134" s="1920"/>
      <c r="AJ134" s="1920"/>
      <c r="AK134" s="1920"/>
      <c r="AL134" s="1920"/>
      <c r="AM134" s="1920"/>
      <c r="AN134" s="1920"/>
      <c r="AO134" s="1920"/>
      <c r="AP134" s="1920"/>
      <c r="AQ134" s="1920"/>
      <c r="AR134" s="1920"/>
      <c r="AS134" s="1920"/>
      <c r="AT134" s="1920"/>
      <c r="AU134" s="1920"/>
      <c r="AV134" s="1920"/>
      <c r="AW134" s="1920"/>
      <c r="AX134" s="1920"/>
      <c r="AY134" s="1920"/>
      <c r="AZ134" s="1920"/>
      <c r="BA134" s="1920"/>
      <c r="BB134" s="1920"/>
      <c r="BC134" s="1920"/>
      <c r="BD134" s="1920"/>
      <c r="BE134" s="1920"/>
      <c r="BF134" s="1920"/>
      <c r="BG134" s="1920"/>
      <c r="BH134" s="1920"/>
      <c r="BI134" s="1920"/>
      <c r="BJ134" s="1920"/>
      <c r="BK134" s="1920"/>
      <c r="BL134" s="1920"/>
      <c r="BM134" s="1920"/>
      <c r="BN134" s="1920"/>
      <c r="BO134" s="1920"/>
      <c r="BP134" s="1920"/>
      <c r="BQ134" s="1920"/>
      <c r="BR134" s="1920"/>
      <c r="BS134" s="1920"/>
      <c r="BT134" s="1920"/>
      <c r="BU134" s="1920"/>
      <c r="BV134" s="1920"/>
      <c r="BW134" s="1920"/>
      <c r="BX134" s="1920"/>
      <c r="BY134" s="1920"/>
      <c r="BZ134" s="1920"/>
      <c r="CA134" s="1920"/>
      <c r="CB134" s="1920"/>
      <c r="CC134" s="1920"/>
      <c r="CD134" s="1920"/>
      <c r="CE134" s="1920"/>
    </row>
    <row s="31054" customFormat="1" customHeight="1" ht="5.25" hidden="1">
      <c r="A135" s="2077"/>
      <c r="B135" s="1920"/>
      <c r="C135" s="1920"/>
      <c r="D135" s="2864"/>
      <c r="E135" s="1327"/>
      <c r="F135" s="1328"/>
      <c r="G135" s="1328"/>
      <c r="H135" s="1329"/>
      <c r="I135" s="1329"/>
      <c r="J135" s="1329"/>
      <c r="K135" s="1329"/>
      <c r="L135" s="1329"/>
      <c r="M135" s="1329"/>
      <c r="N135" s="1329"/>
      <c r="O135" s="1329"/>
      <c r="P135" s="1329"/>
      <c r="Q135" s="1329"/>
      <c r="R135" s="1230"/>
      <c r="S135" s="1330"/>
      <c r="T135" s="1002"/>
      <c r="U135" s="2658"/>
      <c r="V135" s="2658"/>
      <c r="W135" s="1920"/>
      <c r="X135" s="1920"/>
      <c r="Y135" s="1920"/>
      <c r="Z135" s="1920"/>
      <c r="AA135" s="1920"/>
      <c r="AB135" s="1920"/>
      <c r="AC135" s="1321"/>
      <c r="AD135" s="1322"/>
      <c r="AE135" s="1920"/>
      <c r="AF135" s="1920"/>
      <c r="AG135" s="1920"/>
      <c r="AH135" s="1920"/>
      <c r="AI135" s="1920"/>
      <c r="AJ135" s="1920"/>
      <c r="AK135" s="1920"/>
      <c r="AL135" s="1920"/>
      <c r="AM135" s="1920"/>
      <c r="AN135" s="1920"/>
      <c r="AO135" s="1920"/>
      <c r="AP135" s="1920"/>
      <c r="AQ135" s="1920"/>
      <c r="AR135" s="1920"/>
      <c r="AS135" s="1920"/>
      <c r="AT135" s="1920"/>
      <c r="AU135" s="1920"/>
      <c r="AV135" s="1920"/>
      <c r="AW135" s="1920"/>
      <c r="AX135" s="1920"/>
      <c r="AY135" s="1920"/>
      <c r="AZ135" s="1920"/>
      <c r="BA135" s="1920"/>
      <c r="BB135" s="1920"/>
      <c r="BC135" s="1920"/>
      <c r="BD135" s="1920"/>
      <c r="BE135" s="1920"/>
      <c r="BF135" s="1920"/>
      <c r="BG135" s="1920"/>
      <c r="BH135" s="1920"/>
      <c r="BI135" s="1920"/>
      <c r="BJ135" s="1920"/>
      <c r="BK135" s="1920"/>
      <c r="BL135" s="1920"/>
      <c r="BM135" s="1920"/>
      <c r="BN135" s="1920"/>
      <c r="BO135" s="1920"/>
      <c r="BP135" s="1920"/>
      <c r="BQ135" s="1920"/>
      <c r="BR135" s="1920"/>
      <c r="BS135" s="1920"/>
      <c r="BT135" s="1920"/>
      <c r="BU135" s="1920"/>
      <c r="BV135" s="1920"/>
      <c r="BW135" s="1920"/>
      <c r="BX135" s="1920"/>
      <c r="BY135" s="1920"/>
      <c r="BZ135" s="1920"/>
      <c r="CA135" s="1920"/>
      <c r="CB135" s="1920"/>
      <c r="CC135" s="1920"/>
      <c r="CD135" s="1920"/>
      <c r="CE135" s="1920"/>
    </row>
    <row customHeight="1" ht="17.25">
      <c r="D136" s="2120"/>
    </row>
    <row s="38442" customFormat="1" customHeight="1" ht="11.25">
      <c r="A137" s="2099" t="s">
        <v>2016</v>
      </c>
    </row>
    <row r="139" s="30681" customFormat="1" customHeight="1" ht="45">
      <c r="A139" s="2090"/>
      <c r="B139" s="1444"/>
      <c r="C139" s="696"/>
      <c r="D139" s="373"/>
      <c r="E139" s="2856"/>
      <c r="F139" s="2392" t="s">
        <v>141</v>
      </c>
      <c r="G139" s="2859" t="s">
        <v>28</v>
      </c>
      <c r="H139" s="573"/>
      <c r="I139" s="921" t="s">
        <v>141</v>
      </c>
      <c r="J139" s="2091" t="s">
        <v>2017</v>
      </c>
      <c r="K139" s="922" t="s">
        <v>618</v>
      </c>
      <c r="L139" s="2508" t="s">
        <v>618</v>
      </c>
      <c r="M139" s="2861"/>
      <c r="N139" s="922" t="s">
        <v>618</v>
      </c>
      <c r="O139" s="922" t="s">
        <v>618</v>
      </c>
      <c r="P139" s="922" t="s">
        <v>618</v>
      </c>
      <c r="Q139" s="923">
        <f>SUM(Q140:Q142)</f>
        <v>0</v>
      </c>
      <c r="R139" s="923">
        <f>IF(R136=0,0,(Q136/R136)*100)</f>
        <v>0</v>
      </c>
      <c r="S139" s="2463"/>
      <c r="T139" s="1001" t="s">
        <v>684</v>
      </c>
      <c r="U139" s="373"/>
      <c r="V139" s="373"/>
      <c r="AC139" s="373"/>
    </row>
    <row s="30681" customFormat="1" customHeight="1" ht="11.25">
      <c r="A140" s="2090"/>
      <c r="B140" s="1444"/>
      <c r="C140" s="696"/>
      <c r="D140" s="373"/>
      <c r="E140" s="2857"/>
      <c r="F140" s="2392"/>
      <c r="G140" s="2859"/>
      <c r="H140" s="2411"/>
      <c r="I140" s="2799" t="s">
        <v>1093</v>
      </c>
      <c r="J140" s="2853"/>
      <c r="K140" s="2854"/>
      <c r="L140" s="924"/>
      <c r="M140" s="925" t="s">
        <v>141</v>
      </c>
      <c r="N140" s="2079"/>
      <c r="O140" s="926"/>
      <c r="P140" s="927"/>
      <c r="Q140" s="926"/>
      <c r="R140" s="928">
        <v>0</v>
      </c>
      <c r="S140" s="2463"/>
      <c r="T140" s="1001"/>
      <c r="U140" s="373"/>
      <c r="V140" s="373"/>
      <c r="AC140" s="373"/>
    </row>
    <row s="30681" customFormat="1" customHeight="1" ht="11.25">
      <c r="A141" s="2090"/>
      <c r="B141" s="1444"/>
      <c r="C141" s="696"/>
      <c r="D141" s="373"/>
      <c r="E141" s="2857"/>
      <c r="F141" s="2392"/>
      <c r="G141" s="2859"/>
      <c r="H141" s="2411"/>
      <c r="I141" s="2799"/>
      <c r="J141" s="2853"/>
      <c r="K141" s="2855"/>
      <c r="L141" s="929"/>
      <c r="M141" s="930"/>
      <c r="N141" s="931" t="s">
        <v>2018</v>
      </c>
      <c r="O141" s="931"/>
      <c r="P141" s="931"/>
      <c r="Q141" s="931"/>
      <c r="R141" s="932"/>
      <c r="S141" s="2463"/>
      <c r="T141" s="1001"/>
      <c r="U141" s="373"/>
      <c r="V141" s="373"/>
      <c r="AC141" s="373"/>
    </row>
    <row s="30681" customFormat="1" customHeight="1" ht="11.25">
      <c r="A142" s="2090"/>
      <c r="B142" s="1444"/>
      <c r="C142" s="696"/>
      <c r="D142" s="373"/>
      <c r="E142" s="2858"/>
      <c r="F142" s="2392"/>
      <c r="G142" s="2860"/>
      <c r="H142" s="929" t="s">
        <v>28</v>
      </c>
      <c r="I142" s="930"/>
      <c r="J142" s="931" t="s">
        <v>2019</v>
      </c>
      <c r="K142" s="931"/>
      <c r="L142" s="931"/>
      <c r="M142" s="931"/>
      <c r="N142" s="931"/>
      <c r="O142" s="931"/>
      <c r="P142" s="931"/>
      <c r="Q142" s="931"/>
      <c r="R142" s="932"/>
      <c r="S142" s="2463"/>
      <c r="T142" s="1001"/>
      <c r="U142" s="373"/>
      <c r="V142" s="373"/>
      <c r="AC142" s="373"/>
    </row>
    <row r="147" s="30681" customFormat="1" customHeight="1" ht="11.25">
      <c r="A147" s="2090"/>
      <c r="B147" s="1444"/>
      <c r="C147" s="696"/>
      <c r="D147" s="373"/>
      <c r="E147" s="2114"/>
      <c r="F147" s="2114"/>
      <c r="G147" s="2114"/>
      <c r="H147" s="2411"/>
      <c r="I147" s="2799" t="s">
        <v>1093</v>
      </c>
      <c r="J147" s="2853"/>
      <c r="K147" s="2854"/>
      <c r="L147" s="924"/>
      <c r="M147" s="925" t="s">
        <v>141</v>
      </c>
      <c r="N147" s="2079"/>
      <c r="O147" s="926"/>
      <c r="P147" s="927"/>
      <c r="Q147" s="926"/>
      <c r="R147" s="928">
        <v>0</v>
      </c>
      <c r="S147" s="373"/>
      <c r="T147" s="1001"/>
      <c r="U147" s="373"/>
      <c r="V147" s="373"/>
      <c r="AC147" s="373"/>
    </row>
    <row s="30681" customFormat="1" customHeight="1" ht="11.25">
      <c r="A148" s="2090"/>
      <c r="B148" s="1444"/>
      <c r="C148" s="696"/>
      <c r="D148" s="373"/>
      <c r="E148" s="2114"/>
      <c r="F148" s="2114"/>
      <c r="G148" s="2114"/>
      <c r="H148" s="2411"/>
      <c r="I148" s="2799"/>
      <c r="J148" s="2853"/>
      <c r="K148" s="2855"/>
      <c r="L148" s="929"/>
      <c r="M148" s="930"/>
      <c r="N148" s="931" t="s">
        <v>2018</v>
      </c>
      <c r="O148" s="931"/>
      <c r="P148" s="931"/>
      <c r="Q148" s="931"/>
      <c r="R148" s="932"/>
      <c r="S148" s="373"/>
      <c r="T148" s="1001"/>
      <c r="U148" s="373"/>
      <c r="V148" s="373"/>
      <c r="AC148" s="373"/>
    </row>
    <row r="150" s="30681" customFormat="1" customHeight="1" ht="11.25">
      <c r="A150" s="2090"/>
      <c r="B150" s="1444"/>
      <c r="C150" s="696"/>
      <c r="D150" s="373"/>
      <c r="E150" s="2121"/>
      <c r="F150" s="2119"/>
      <c r="G150" s="2119"/>
      <c r="H150" s="2122"/>
      <c r="I150" s="2114"/>
      <c r="J150" s="2115"/>
      <c r="K150" s="2115"/>
      <c r="L150" s="924"/>
      <c r="M150" s="925" t="s">
        <v>141</v>
      </c>
      <c r="N150" s="2079"/>
      <c r="O150" s="926"/>
      <c r="P150" s="927"/>
      <c r="Q150" s="926"/>
      <c r="R150" s="928">
        <v>0</v>
      </c>
      <c r="S150" s="373"/>
      <c r="T150" s="1001"/>
      <c r="U150" s="373"/>
      <c r="V150" s="373"/>
      <c r="AC150" s="373"/>
    </row>
    <row r="152" s="38442" customFormat="1" customHeight="1" ht="17.25">
      <c r="A152" s="2099" t="s">
        <v>2020</v>
      </c>
    </row>
    <row customHeight="1" ht="17.25">
      <c r="G153" s="2123"/>
      <c r="H153" s="2123"/>
      <c r="I153" s="2123"/>
      <c r="M153" s="2119"/>
    </row>
    <row s="30764" customFormat="1" customHeight="1" ht="17.25">
      <c r="A154" s="2124"/>
      <c r="C154" s="2126"/>
      <c r="D154" s="2813"/>
      <c r="E154" s="2427"/>
      <c r="F154" s="2429"/>
      <c r="G154" s="2815"/>
      <c r="H154" s="2813"/>
      <c r="I154" s="2813">
        <v>1</v>
      </c>
      <c r="J154" s="2785"/>
      <c r="K154" s="2469" t="s">
        <v>64</v>
      </c>
      <c r="L154" s="2392"/>
      <c r="M154" s="2392" t="s">
        <v>141</v>
      </c>
      <c r="N154" s="2788" t="str">
        <f>IF(Z154="","",INDEX(TERRITORY_MR_LIST,MATCH(Z154,TERRITORY_LIST_ID,0)))</f>
        <v/>
      </c>
      <c r="O154" s="2469" t="s">
        <v>64</v>
      </c>
      <c r="P154" s="2392"/>
      <c r="Q154" s="2392" t="s">
        <v>141</v>
      </c>
      <c r="R154" s="2786" t="s">
        <v>28</v>
      </c>
      <c r="S154" s="2391" t="s">
        <v>64</v>
      </c>
      <c r="T154" s="2095"/>
      <c r="U154" s="2095" t="s">
        <v>141</v>
      </c>
      <c r="V154" s="2127" t="s">
        <v>28</v>
      </c>
      <c r="W154" s="2085"/>
      <c r="Y154" s="1551"/>
      <c r="Z154" s="1551"/>
      <c r="AA154" s="1551"/>
      <c r="AB154" s="1551"/>
      <c r="AC154" s="1551"/>
      <c r="AD154" s="1551"/>
      <c r="AE154" s="1551"/>
      <c r="AF154" s="1551"/>
      <c r="AG154" s="1551"/>
      <c r="AH154" s="1551"/>
      <c r="AI154" s="1551"/>
      <c r="AJ154" s="1551"/>
      <c r="AK154" s="1551"/>
      <c r="AL154" s="2128"/>
      <c r="AM154" s="2128"/>
      <c r="AN154" s="1551"/>
      <c r="AO154" s="1551"/>
      <c r="AP154" s="1551"/>
      <c r="AQ154" s="1551"/>
    </row>
    <row s="30764" customFormat="1" customHeight="1" ht="17.25">
      <c r="A155" s="2124"/>
      <c r="C155" s="2129"/>
      <c r="D155" s="2813"/>
      <c r="E155" s="2427"/>
      <c r="F155" s="2430"/>
      <c r="G155" s="2815"/>
      <c r="H155" s="2813"/>
      <c r="I155" s="2813"/>
      <c r="J155" s="2785"/>
      <c r="K155" s="2470"/>
      <c r="L155" s="2392"/>
      <c r="M155" s="2392"/>
      <c r="N155" s="2788"/>
      <c r="O155" s="2470"/>
      <c r="P155" s="2392"/>
      <c r="Q155" s="2392"/>
      <c r="R155" s="2786"/>
      <c r="S155" s="2391"/>
      <c r="T155" s="601"/>
      <c r="U155" s="602"/>
      <c r="V155" s="602" t="s">
        <v>213</v>
      </c>
      <c r="W155" s="603"/>
      <c r="Y155" s="1543"/>
      <c r="Z155" s="1543"/>
      <c r="AA155" s="1543"/>
      <c r="AB155" s="1543"/>
      <c r="AC155" s="1543"/>
      <c r="AD155" s="1543"/>
      <c r="AE155" s="1543"/>
      <c r="AF155" s="1543"/>
      <c r="AG155" s="1543"/>
      <c r="AH155" s="1543"/>
      <c r="AI155" s="1543"/>
      <c r="AJ155" s="1543"/>
      <c r="AK155" s="1543"/>
    </row>
    <row s="30764" customFormat="1" customHeight="1" ht="17.25">
      <c r="A156" s="2124"/>
      <c r="C156" s="2129"/>
      <c r="D156" s="2787"/>
      <c r="E156" s="2814"/>
      <c r="F156" s="2430"/>
      <c r="G156" s="2816"/>
      <c r="H156" s="2787"/>
      <c r="I156" s="2787"/>
      <c r="J156" s="2817"/>
      <c r="K156" s="2470"/>
      <c r="L156" s="2787"/>
      <c r="M156" s="2787"/>
      <c r="N156" s="2789"/>
      <c r="O156" s="2396"/>
      <c r="P156" s="601"/>
      <c r="Q156" s="602"/>
      <c r="R156" s="602" t="s">
        <v>214</v>
      </c>
      <c r="S156" s="2130"/>
      <c r="T156" s="2130"/>
      <c r="U156" s="2130"/>
      <c r="V156" s="2130"/>
      <c r="W156" s="603"/>
      <c r="Y156" s="1543"/>
      <c r="Z156" s="1543"/>
      <c r="AA156" s="1543"/>
      <c r="AB156" s="1543"/>
      <c r="AC156" s="1543"/>
      <c r="AD156" s="1543"/>
      <c r="AE156" s="1543"/>
      <c r="AF156" s="1543"/>
      <c r="AG156" s="1543"/>
      <c r="AH156" s="1543"/>
      <c r="AI156" s="1543"/>
      <c r="AJ156" s="1543"/>
      <c r="AK156" s="1543"/>
    </row>
    <row s="30764" customFormat="1" customHeight="1" ht="17.25">
      <c r="A157" s="2124"/>
      <c r="C157" s="2129"/>
      <c r="D157" s="2787"/>
      <c r="E157" s="2814"/>
      <c r="F157" s="2430"/>
      <c r="G157" s="2816"/>
      <c r="H157" s="2787"/>
      <c r="I157" s="2787"/>
      <c r="J157" s="2817"/>
      <c r="K157" s="2396"/>
      <c r="L157" s="601"/>
      <c r="M157" s="602"/>
      <c r="N157" s="602" t="s">
        <v>230</v>
      </c>
      <c r="O157" s="602"/>
      <c r="P157" s="602"/>
      <c r="Q157" s="602"/>
      <c r="R157" s="602"/>
      <c r="S157" s="2130"/>
      <c r="T157" s="2130"/>
      <c r="U157" s="2130"/>
      <c r="V157" s="2130"/>
      <c r="W157" s="603"/>
      <c r="Y157" s="1543"/>
      <c r="Z157" s="1543"/>
      <c r="AA157" s="1543"/>
      <c r="AB157" s="1543"/>
      <c r="AC157" s="1543"/>
      <c r="AD157" s="1543"/>
      <c r="AE157" s="1543"/>
      <c r="AF157" s="1543"/>
      <c r="AG157" s="1543"/>
      <c r="AH157" s="1543"/>
      <c r="AI157" s="1543"/>
      <c r="AJ157" s="1543"/>
      <c r="AK157" s="1543"/>
    </row>
    <row s="30764" customFormat="1" customHeight="1" ht="17.25">
      <c r="A158" s="2124"/>
      <c r="C158" s="2129"/>
      <c r="D158" s="2787"/>
      <c r="E158" s="2814"/>
      <c r="F158" s="2431"/>
      <c r="G158" s="2816"/>
      <c r="H158" s="601"/>
      <c r="I158" s="602"/>
      <c r="J158" s="602" t="s">
        <v>239</v>
      </c>
      <c r="K158" s="602"/>
      <c r="L158" s="602"/>
      <c r="M158" s="602"/>
      <c r="N158" s="602"/>
      <c r="O158" s="602"/>
      <c r="P158" s="602"/>
      <c r="Q158" s="602"/>
      <c r="R158" s="602"/>
      <c r="S158" s="2130"/>
      <c r="T158" s="2130"/>
      <c r="U158" s="2130"/>
      <c r="V158" s="2130"/>
      <c r="W158" s="603"/>
      <c r="Y158" s="1543"/>
      <c r="Z158" s="1543"/>
      <c r="AA158" s="1543"/>
      <c r="AB158" s="1543"/>
      <c r="AC158" s="1543"/>
      <c r="AD158" s="1543"/>
      <c r="AE158" s="1543"/>
      <c r="AF158" s="1543"/>
      <c r="AG158" s="1543"/>
      <c r="AH158" s="1543"/>
      <c r="AI158" s="1543"/>
      <c r="AJ158" s="1543"/>
      <c r="AK158" s="1543"/>
    </row>
    <row customHeight="1" ht="17.25">
      <c r="G159" s="2123"/>
      <c r="H159" s="2123"/>
      <c r="I159" s="2123"/>
      <c r="M159" s="2119"/>
    </row>
    <row s="30764" customFormat="1" customHeight="1" ht="17.25">
      <c r="A160" s="2124"/>
      <c r="C160" s="2126"/>
      <c r="D160" s="2114"/>
      <c r="E160" s="2131"/>
      <c r="F160" s="2068"/>
      <c r="G160" s="2132"/>
      <c r="H160" s="2813"/>
      <c r="I160" s="2813">
        <v>1</v>
      </c>
      <c r="J160" s="2785"/>
      <c r="K160" s="2469" t="s">
        <v>64</v>
      </c>
      <c r="L160" s="2392"/>
      <c r="M160" s="2392" t="s">
        <v>141</v>
      </c>
      <c r="N160" s="2788" t="str">
        <f>IF(Z160="","",INDEX(TERRITORY_MR_LIST,MATCH(Z160,TERRITORY_LIST_ID,0)))</f>
        <v/>
      </c>
      <c r="O160" s="2469" t="s">
        <v>64</v>
      </c>
      <c r="P160" s="2392"/>
      <c r="Q160" s="2392" t="s">
        <v>141</v>
      </c>
      <c r="R160" s="2786" t="s">
        <v>28</v>
      </c>
      <c r="S160" s="2391" t="s">
        <v>64</v>
      </c>
      <c r="T160" s="2095"/>
      <c r="U160" s="2095" t="s">
        <v>141</v>
      </c>
      <c r="V160" s="2127" t="s">
        <v>28</v>
      </c>
      <c r="W160" s="2085"/>
      <c r="Y160" s="1551"/>
      <c r="Z160" s="1551"/>
      <c r="AA160" s="1551"/>
      <c r="AB160" s="1551"/>
      <c r="AC160" s="1551"/>
      <c r="AD160" s="1551"/>
      <c r="AE160" s="1551"/>
      <c r="AF160" s="1551"/>
      <c r="AG160" s="1551"/>
      <c r="AH160" s="1551"/>
      <c r="AI160" s="1551"/>
      <c r="AJ160" s="1551"/>
      <c r="AK160" s="1551"/>
      <c r="AL160" s="2128"/>
      <c r="AM160" s="2128"/>
      <c r="AN160" s="1551"/>
      <c r="AO160" s="1551"/>
      <c r="AP160" s="1551"/>
      <c r="AQ160" s="1551"/>
    </row>
    <row s="30764" customFormat="1" customHeight="1" ht="17.25">
      <c r="A161" s="2124"/>
      <c r="C161" s="2129"/>
      <c r="D161" s="2114"/>
      <c r="E161" s="2131"/>
      <c r="F161" s="2068"/>
      <c r="G161" s="2132"/>
      <c r="H161" s="2813"/>
      <c r="I161" s="2813"/>
      <c r="J161" s="2785"/>
      <c r="K161" s="2470"/>
      <c r="L161" s="2392"/>
      <c r="M161" s="2392"/>
      <c r="N161" s="2788"/>
      <c r="O161" s="2470"/>
      <c r="P161" s="2392"/>
      <c r="Q161" s="2392"/>
      <c r="R161" s="2786"/>
      <c r="S161" s="2391"/>
      <c r="T161" s="601"/>
      <c r="U161" s="602"/>
      <c r="V161" s="602" t="s">
        <v>213</v>
      </c>
      <c r="W161" s="603"/>
      <c r="Y161" s="1543"/>
      <c r="Z161" s="1543"/>
      <c r="AA161" s="1543"/>
      <c r="AB161" s="1543"/>
      <c r="AC161" s="1543"/>
      <c r="AD161" s="1543"/>
      <c r="AE161" s="1543"/>
      <c r="AF161" s="1543"/>
      <c r="AG161" s="1543"/>
      <c r="AH161" s="1543"/>
      <c r="AI161" s="1543"/>
      <c r="AJ161" s="1543"/>
      <c r="AK161" s="1543"/>
    </row>
    <row s="30764" customFormat="1" customHeight="1" ht="17.25">
      <c r="A162" s="2124"/>
      <c r="C162" s="2129"/>
      <c r="D162" s="2114"/>
      <c r="E162" s="2131"/>
      <c r="F162" s="2068"/>
      <c r="G162" s="2132"/>
      <c r="H162" s="2787"/>
      <c r="I162" s="2787"/>
      <c r="J162" s="2817"/>
      <c r="K162" s="2470"/>
      <c r="L162" s="2787"/>
      <c r="M162" s="2787"/>
      <c r="N162" s="2789"/>
      <c r="O162" s="2396"/>
      <c r="P162" s="601"/>
      <c r="Q162" s="602"/>
      <c r="R162" s="602" t="s">
        <v>214</v>
      </c>
      <c r="S162" s="2130"/>
      <c r="T162" s="2130"/>
      <c r="U162" s="2130"/>
      <c r="V162" s="2130"/>
      <c r="W162" s="603"/>
      <c r="Y162" s="1543"/>
      <c r="Z162" s="1543"/>
      <c r="AA162" s="1543"/>
      <c r="AB162" s="1543"/>
      <c r="AC162" s="1543"/>
      <c r="AD162" s="1543"/>
      <c r="AE162" s="1543"/>
      <c r="AF162" s="1543"/>
      <c r="AG162" s="1543"/>
      <c r="AH162" s="1543"/>
      <c r="AI162" s="1543"/>
      <c r="AJ162" s="1543"/>
      <c r="AK162" s="1543"/>
    </row>
    <row s="30764" customFormat="1" customHeight="1" ht="17.25">
      <c r="A163" s="2124"/>
      <c r="C163" s="2129"/>
      <c r="D163" s="2114"/>
      <c r="E163" s="2131"/>
      <c r="F163" s="2068"/>
      <c r="G163" s="2132"/>
      <c r="H163" s="2787"/>
      <c r="I163" s="2787"/>
      <c r="J163" s="2817"/>
      <c r="K163" s="2396"/>
      <c r="L163" s="601"/>
      <c r="M163" s="602"/>
      <c r="N163" s="602" t="s">
        <v>230</v>
      </c>
      <c r="O163" s="602"/>
      <c r="P163" s="602"/>
      <c r="Q163" s="602"/>
      <c r="R163" s="602"/>
      <c r="S163" s="2130"/>
      <c r="T163" s="2130"/>
      <c r="U163" s="2130"/>
      <c r="V163" s="2130"/>
      <c r="W163" s="603"/>
      <c r="Y163" s="1543"/>
      <c r="Z163" s="1543"/>
      <c r="AA163" s="1543"/>
      <c r="AB163" s="1543"/>
      <c r="AC163" s="1543"/>
      <c r="AD163" s="1543"/>
      <c r="AE163" s="1543"/>
      <c r="AF163" s="1543"/>
      <c r="AG163" s="1543"/>
      <c r="AH163" s="1543"/>
      <c r="AI163" s="1543"/>
      <c r="AJ163" s="1543"/>
      <c r="AK163" s="1543"/>
    </row>
    <row customHeight="1" ht="17.25">
      <c r="G164" s="2123"/>
      <c r="H164" s="2123"/>
      <c r="I164" s="2123"/>
      <c r="M164" s="2119"/>
    </row>
    <row s="30764" customFormat="1" customHeight="1" ht="17.25">
      <c r="A165" s="2124"/>
      <c r="C165" s="2126"/>
      <c r="D165" s="2114"/>
      <c r="E165" s="2131"/>
      <c r="F165" s="2068"/>
      <c r="G165" s="2132"/>
      <c r="H165" s="2114"/>
      <c r="I165" s="2114"/>
      <c r="J165" s="2133"/>
      <c r="K165" s="2044"/>
      <c r="L165" s="2392"/>
      <c r="M165" s="2392" t="s">
        <v>141</v>
      </c>
      <c r="N165" s="2788" t="str">
        <f>IF(Z165="","",INDEX(TERRITORY_MR_LIST,MATCH(Z165,TERRITORY_LIST_ID,0)))</f>
        <v/>
      </c>
      <c r="O165" s="2469" t="s">
        <v>64</v>
      </c>
      <c r="P165" s="2392"/>
      <c r="Q165" s="2392" t="s">
        <v>141</v>
      </c>
      <c r="R165" s="2786" t="s">
        <v>28</v>
      </c>
      <c r="S165" s="2391" t="s">
        <v>64</v>
      </c>
      <c r="T165" s="2095"/>
      <c r="U165" s="2095" t="s">
        <v>141</v>
      </c>
      <c r="V165" s="2127" t="s">
        <v>28</v>
      </c>
      <c r="W165" s="2085"/>
      <c r="Y165" s="1551"/>
      <c r="Z165" s="1551"/>
      <c r="AA165" s="1551"/>
      <c r="AB165" s="1551"/>
      <c r="AC165" s="1551"/>
      <c r="AD165" s="1551"/>
      <c r="AE165" s="1551"/>
      <c r="AF165" s="1551"/>
      <c r="AG165" s="1551"/>
      <c r="AH165" s="1551"/>
      <c r="AI165" s="1551"/>
      <c r="AJ165" s="1551"/>
      <c r="AK165" s="1551"/>
      <c r="AL165" s="2128"/>
      <c r="AM165" s="2128"/>
      <c r="AN165" s="1551"/>
      <c r="AO165" s="1551"/>
      <c r="AP165" s="1551"/>
      <c r="AQ165" s="1551"/>
    </row>
    <row s="30764" customFormat="1" customHeight="1" ht="17.25">
      <c r="A166" s="2124"/>
      <c r="C166" s="2129"/>
      <c r="D166" s="2114"/>
      <c r="E166" s="2131"/>
      <c r="F166" s="2068"/>
      <c r="G166" s="2132"/>
      <c r="H166" s="2114"/>
      <c r="I166" s="2114"/>
      <c r="J166" s="2133"/>
      <c r="K166" s="2044"/>
      <c r="L166" s="2392"/>
      <c r="M166" s="2392"/>
      <c r="N166" s="2788"/>
      <c r="O166" s="2470"/>
      <c r="P166" s="2392"/>
      <c r="Q166" s="2392"/>
      <c r="R166" s="2786"/>
      <c r="S166" s="2391"/>
      <c r="T166" s="601"/>
      <c r="U166" s="602"/>
      <c r="V166" s="602" t="s">
        <v>213</v>
      </c>
      <c r="W166" s="603"/>
      <c r="Y166" s="1543"/>
      <c r="Z166" s="1543"/>
      <c r="AA166" s="1543"/>
      <c r="AB166" s="1543"/>
      <c r="AC166" s="1543"/>
      <c r="AD166" s="1543"/>
      <c r="AE166" s="1543"/>
      <c r="AF166" s="1543"/>
      <c r="AG166" s="1543"/>
      <c r="AH166" s="1543"/>
      <c r="AI166" s="1543"/>
      <c r="AJ166" s="1543"/>
      <c r="AK166" s="1543"/>
    </row>
    <row s="30764" customFormat="1" customHeight="1" ht="17.25">
      <c r="A167" s="2124"/>
      <c r="C167" s="2129"/>
      <c r="D167" s="2114"/>
      <c r="E167" s="2131"/>
      <c r="F167" s="2068"/>
      <c r="G167" s="2132"/>
      <c r="H167" s="2114"/>
      <c r="I167" s="2114"/>
      <c r="J167" s="2133"/>
      <c r="K167" s="2044"/>
      <c r="L167" s="2787"/>
      <c r="M167" s="2787"/>
      <c r="N167" s="2789"/>
      <c r="O167" s="2396"/>
      <c r="P167" s="601"/>
      <c r="Q167" s="602"/>
      <c r="R167" s="602" t="s">
        <v>214</v>
      </c>
      <c r="S167" s="2130"/>
      <c r="T167" s="2130"/>
      <c r="U167" s="2130"/>
      <c r="V167" s="2130"/>
      <c r="W167" s="603"/>
      <c r="Y167" s="1543"/>
      <c r="Z167" s="1543"/>
      <c r="AA167" s="1543"/>
      <c r="AB167" s="1543"/>
      <c r="AC167" s="1543"/>
      <c r="AD167" s="1543"/>
      <c r="AE167" s="1543"/>
      <c r="AF167" s="1543"/>
      <c r="AG167" s="1543"/>
      <c r="AH167" s="1543"/>
      <c r="AI167" s="1543"/>
      <c r="AJ167" s="1543"/>
      <c r="AK167" s="1543"/>
    </row>
    <row customHeight="1" ht="17.25">
      <c r="G168" s="2123"/>
      <c r="H168" s="2123"/>
      <c r="I168" s="2123"/>
      <c r="M168" s="2119"/>
    </row>
    <row s="30764" customFormat="1" customHeight="1" ht="17.25">
      <c r="A169" s="2124"/>
      <c r="C169" s="2126"/>
      <c r="D169" s="2114"/>
      <c r="E169" s="2131"/>
      <c r="F169" s="2068"/>
      <c r="G169" s="2132"/>
      <c r="H169" s="2114"/>
      <c r="I169" s="2114"/>
      <c r="J169" s="2133"/>
      <c r="K169" s="2044"/>
      <c r="L169" s="2040"/>
      <c r="M169" s="2040"/>
      <c r="N169" s="2332"/>
      <c r="O169" s="2071"/>
      <c r="P169" s="2392"/>
      <c r="Q169" s="2392" t="s">
        <v>141</v>
      </c>
      <c r="R169" s="2786" t="s">
        <v>28</v>
      </c>
      <c r="S169" s="2391" t="s">
        <v>64</v>
      </c>
      <c r="T169" s="2095"/>
      <c r="U169" s="2095" t="s">
        <v>141</v>
      </c>
      <c r="V169" s="2127" t="s">
        <v>28</v>
      </c>
      <c r="W169" s="2085"/>
      <c r="Y169" s="1551"/>
      <c r="Z169" s="1551"/>
      <c r="AA169" s="1551"/>
      <c r="AB169" s="1551"/>
      <c r="AC169" s="1551"/>
      <c r="AD169" s="1551"/>
      <c r="AE169" s="1551"/>
      <c r="AF169" s="1551"/>
      <c r="AG169" s="1551"/>
      <c r="AH169" s="1551"/>
      <c r="AI169" s="1551"/>
      <c r="AJ169" s="1551"/>
      <c r="AK169" s="1551"/>
      <c r="AL169" s="2128"/>
      <c r="AM169" s="2128"/>
      <c r="AN169" s="1551"/>
      <c r="AO169" s="1551"/>
      <c r="AP169" s="1551"/>
      <c r="AQ169" s="1551"/>
    </row>
    <row s="30764" customFormat="1" customHeight="1" ht="17.25">
      <c r="A170" s="2124"/>
      <c r="C170" s="2129"/>
      <c r="D170" s="2114"/>
      <c r="E170" s="2131"/>
      <c r="F170" s="2068"/>
      <c r="G170" s="2132"/>
      <c r="H170" s="2114"/>
      <c r="I170" s="2114"/>
      <c r="J170" s="2133"/>
      <c r="K170" s="2044"/>
      <c r="L170" s="2040"/>
      <c r="M170" s="2040"/>
      <c r="N170" s="2332"/>
      <c r="O170" s="2071"/>
      <c r="P170" s="2392"/>
      <c r="Q170" s="2392"/>
      <c r="R170" s="2786"/>
      <c r="S170" s="2391"/>
      <c r="T170" s="601"/>
      <c r="U170" s="602"/>
      <c r="V170" s="602" t="s">
        <v>213</v>
      </c>
      <c r="W170" s="603"/>
      <c r="Y170" s="1543"/>
      <c r="Z170" s="1543"/>
      <c r="AA170" s="1543"/>
      <c r="AB170" s="1543"/>
      <c r="AC170" s="1543"/>
      <c r="AD170" s="1543"/>
      <c r="AE170" s="1543"/>
      <c r="AF170" s="1543"/>
      <c r="AG170" s="1543"/>
      <c r="AH170" s="1543"/>
      <c r="AI170" s="1543"/>
      <c r="AJ170" s="1543"/>
      <c r="AK170" s="1543"/>
    </row>
    <row customHeight="1" ht="17.25">
      <c r="G171" s="2123"/>
      <c r="H171" s="2123"/>
      <c r="I171" s="2123"/>
      <c r="M171" s="2119"/>
    </row>
    <row s="30764" customFormat="1" customHeight="1" ht="17.25">
      <c r="A172" s="2124"/>
      <c r="C172" s="2126"/>
      <c r="D172" s="2114"/>
      <c r="E172" s="2131"/>
      <c r="F172" s="2068"/>
      <c r="G172" s="2132"/>
      <c r="H172" s="2040"/>
      <c r="I172" s="2040"/>
      <c r="J172" s="2041"/>
      <c r="K172" s="2132"/>
      <c r="L172" s="2040"/>
      <c r="M172" s="2040"/>
      <c r="N172" s="2132"/>
      <c r="O172" s="2132"/>
      <c r="P172" s="2040"/>
      <c r="Q172" s="2040"/>
      <c r="R172" s="2042"/>
      <c r="S172" s="2132"/>
      <c r="T172" s="2095"/>
      <c r="U172" s="2095" t="s">
        <v>141</v>
      </c>
      <c r="V172" s="2127" t="s">
        <v>28</v>
      </c>
      <c r="W172" s="2085"/>
      <c r="Y172" s="1551"/>
      <c r="Z172" s="1551"/>
      <c r="AA172" s="1551"/>
      <c r="AB172" s="1551"/>
      <c r="AC172" s="1551"/>
      <c r="AD172" s="1551"/>
      <c r="AE172" s="1551"/>
      <c r="AF172" s="1551"/>
      <c r="AG172" s="1551"/>
      <c r="AH172" s="1551"/>
      <c r="AI172" s="1551"/>
      <c r="AJ172" s="1551"/>
      <c r="AK172" s="1551"/>
      <c r="AL172" s="2128"/>
      <c r="AM172" s="2128"/>
      <c r="AN172" s="1551"/>
      <c r="AO172" s="1551"/>
      <c r="AP172" s="1551"/>
      <c r="AQ172" s="1551"/>
    </row>
    <row r="174" s="38442" customFormat="1" customHeight="1" ht="17.25">
      <c r="A174" s="2099" t="s">
        <v>2021</v>
      </c>
    </row>
    <row customHeight="1" ht="17.25">
      <c r="G175" s="2123"/>
      <c r="H175" s="2123"/>
      <c r="I175" s="2123"/>
      <c r="M175" s="2119"/>
    </row>
    <row s="30764" customFormat="1" customHeight="1" ht="17.25">
      <c r="A176" s="2124"/>
      <c r="C176" s="2126"/>
      <c r="D176" s="2813"/>
      <c r="E176" s="2427"/>
      <c r="F176" s="2429"/>
      <c r="G176" s="2815"/>
      <c r="H176" s="2813"/>
      <c r="I176" s="2813">
        <v>1</v>
      </c>
      <c r="J176" s="2785"/>
      <c r="K176" s="2469" t="s">
        <v>64</v>
      </c>
      <c r="L176" s="2392"/>
      <c r="M176" s="2392" t="s">
        <v>141</v>
      </c>
      <c r="N176" s="2788" t="str">
        <f>IF(Z176="","",INDEX(TERRITORY_MR_LIST,MATCH(Z176,TERRITORY_LIST_ID,0)))</f>
        <v/>
      </c>
      <c r="O176" s="2469" t="s">
        <v>64</v>
      </c>
      <c r="P176" s="2392"/>
      <c r="Q176" s="2392" t="s">
        <v>141</v>
      </c>
      <c r="R176" s="2786" t="s">
        <v>28</v>
      </c>
      <c r="S176" s="2690" t="s">
        <v>19</v>
      </c>
      <c r="T176" s="2086"/>
      <c r="U176" s="2086" t="s">
        <v>141</v>
      </c>
      <c r="V176" s="1718"/>
      <c r="W176" s="2785"/>
      <c r="Y176" s="1551"/>
      <c r="Z176" s="1551"/>
      <c r="AA176" s="1551"/>
      <c r="AB176" s="1551"/>
      <c r="AC176" s="1551"/>
      <c r="AD176" s="1551"/>
      <c r="AE176" s="1551"/>
      <c r="AF176" s="1551"/>
      <c r="AG176" s="1551"/>
      <c r="AH176" s="1551"/>
      <c r="AI176" s="1551"/>
      <c r="AJ176" s="1551"/>
      <c r="AK176" s="1551"/>
      <c r="AL176" s="2128"/>
      <c r="AM176" s="2128"/>
      <c r="AN176" s="1551"/>
      <c r="AO176" s="1551"/>
      <c r="AP176" s="1551"/>
      <c r="AQ176" s="1551"/>
    </row>
    <row s="30764" customFormat="1" customHeight="1" ht="17.25">
      <c r="A177" s="2124"/>
      <c r="C177" s="2129"/>
      <c r="D177" s="2813"/>
      <c r="E177" s="2427"/>
      <c r="F177" s="2430"/>
      <c r="G177" s="2815"/>
      <c r="H177" s="2813"/>
      <c r="I177" s="2813"/>
      <c r="J177" s="2785"/>
      <c r="K177" s="2470"/>
      <c r="L177" s="2392"/>
      <c r="M177" s="2392"/>
      <c r="N177" s="2788"/>
      <c r="O177" s="2470"/>
      <c r="P177" s="2392"/>
      <c r="Q177" s="2392"/>
      <c r="R177" s="2786"/>
      <c r="S177" s="2690"/>
      <c r="T177" s="1719"/>
      <c r="U177" s="1720"/>
      <c r="V177" s="1720"/>
      <c r="W177" s="2785"/>
      <c r="Y177" s="1543"/>
      <c r="Z177" s="1543"/>
      <c r="AA177" s="1543"/>
      <c r="AB177" s="1543"/>
      <c r="AC177" s="1543"/>
      <c r="AD177" s="1543"/>
      <c r="AE177" s="1543"/>
      <c r="AF177" s="1543"/>
      <c r="AG177" s="1543"/>
      <c r="AH177" s="1543"/>
      <c r="AI177" s="1543"/>
      <c r="AJ177" s="1543"/>
      <c r="AK177" s="1543"/>
    </row>
    <row s="30764" customFormat="1" customHeight="1" ht="17.25">
      <c r="A178" s="2124"/>
      <c r="C178" s="2129"/>
      <c r="D178" s="2787"/>
      <c r="E178" s="2814"/>
      <c r="F178" s="2430"/>
      <c r="G178" s="2816"/>
      <c r="H178" s="2787"/>
      <c r="I178" s="2787"/>
      <c r="J178" s="2817"/>
      <c r="K178" s="2470"/>
      <c r="L178" s="2787"/>
      <c r="M178" s="2787"/>
      <c r="N178" s="2789"/>
      <c r="O178" s="2396"/>
      <c r="P178" s="601"/>
      <c r="Q178" s="602"/>
      <c r="R178" s="602" t="s">
        <v>214</v>
      </c>
      <c r="S178" s="2130"/>
      <c r="T178" s="2130"/>
      <c r="U178" s="2130"/>
      <c r="V178" s="2130"/>
      <c r="W178" s="1717"/>
      <c r="Y178" s="1543"/>
      <c r="Z178" s="1543"/>
      <c r="AA178" s="1543"/>
      <c r="AB178" s="1543"/>
      <c r="AC178" s="1543"/>
      <c r="AD178" s="1543"/>
      <c r="AE178" s="1543"/>
      <c r="AF178" s="1543"/>
      <c r="AG178" s="1543"/>
      <c r="AH178" s="1543"/>
      <c r="AI178" s="1543"/>
      <c r="AJ178" s="1543"/>
      <c r="AK178" s="1543"/>
    </row>
    <row s="30764" customFormat="1" customHeight="1" ht="17.25">
      <c r="A179" s="2124"/>
      <c r="C179" s="2129"/>
      <c r="D179" s="2787"/>
      <c r="E179" s="2814"/>
      <c r="F179" s="2430"/>
      <c r="G179" s="2816"/>
      <c r="H179" s="2787"/>
      <c r="I179" s="2787"/>
      <c r="J179" s="2817"/>
      <c r="K179" s="2396"/>
      <c r="L179" s="601"/>
      <c r="M179" s="602"/>
      <c r="N179" s="602" t="s">
        <v>230</v>
      </c>
      <c r="O179" s="602"/>
      <c r="P179" s="602"/>
      <c r="Q179" s="602"/>
      <c r="R179" s="602"/>
      <c r="S179" s="2130"/>
      <c r="T179" s="2130"/>
      <c r="U179" s="2130"/>
      <c r="V179" s="2130"/>
      <c r="W179" s="603"/>
      <c r="Y179" s="1543"/>
      <c r="Z179" s="1543"/>
      <c r="AA179" s="1543"/>
      <c r="AB179" s="1543"/>
      <c r="AC179" s="1543"/>
      <c r="AD179" s="1543"/>
      <c r="AE179" s="1543"/>
      <c r="AF179" s="1543"/>
      <c r="AG179" s="1543"/>
      <c r="AH179" s="1543"/>
      <c r="AI179" s="1543"/>
      <c r="AJ179" s="1543"/>
      <c r="AK179" s="1543"/>
    </row>
    <row s="30764" customFormat="1" customHeight="1" ht="17.25">
      <c r="A180" s="2124"/>
      <c r="C180" s="2129"/>
      <c r="D180" s="2787"/>
      <c r="E180" s="2814"/>
      <c r="F180" s="2431"/>
      <c r="G180" s="2816"/>
      <c r="H180" s="601"/>
      <c r="I180" s="602"/>
      <c r="J180" s="602" t="s">
        <v>239</v>
      </c>
      <c r="K180" s="602"/>
      <c r="L180" s="602"/>
      <c r="M180" s="602"/>
      <c r="N180" s="602"/>
      <c r="O180" s="602"/>
      <c r="P180" s="602"/>
      <c r="Q180" s="602"/>
      <c r="R180" s="602"/>
      <c r="S180" s="2130"/>
      <c r="T180" s="2130"/>
      <c r="U180" s="2130"/>
      <c r="V180" s="2130"/>
      <c r="W180" s="603"/>
      <c r="Y180" s="1543"/>
      <c r="Z180" s="1543"/>
      <c r="AA180" s="1543"/>
      <c r="AB180" s="1543"/>
      <c r="AC180" s="1543"/>
      <c r="AD180" s="1543"/>
      <c r="AE180" s="1543"/>
      <c r="AF180" s="1543"/>
      <c r="AG180" s="1543"/>
      <c r="AH180" s="1543"/>
      <c r="AI180" s="1543"/>
      <c r="AJ180" s="1543"/>
      <c r="AK180" s="1543"/>
    </row>
    <row customHeight="1" ht="17.25">
      <c r="A181" s="2134"/>
    </row>
    <row s="30764" customFormat="1" customHeight="1" ht="17.25">
      <c r="A182" s="2124"/>
      <c r="C182" s="2126"/>
      <c r="D182" s="2114"/>
      <c r="E182" s="2131"/>
      <c r="F182" s="2068"/>
      <c r="G182" s="2132"/>
      <c r="H182" s="2813"/>
      <c r="I182" s="2813">
        <v>1</v>
      </c>
      <c r="J182" s="2785"/>
      <c r="K182" s="2469" t="s">
        <v>64</v>
      </c>
      <c r="L182" s="2392"/>
      <c r="M182" s="2392" t="s">
        <v>141</v>
      </c>
      <c r="N182" s="2788" t="str">
        <f>IF(Z182="","",INDEX(TERRITORY_MR_LIST,MATCH(Z182,TERRITORY_LIST_ID,0)))</f>
        <v/>
      </c>
      <c r="O182" s="2469" t="s">
        <v>64</v>
      </c>
      <c r="P182" s="2392"/>
      <c r="Q182" s="2392" t="s">
        <v>141</v>
      </c>
      <c r="R182" s="2786" t="s">
        <v>28</v>
      </c>
      <c r="S182" s="2690" t="s">
        <v>19</v>
      </c>
      <c r="T182" s="2086"/>
      <c r="U182" s="2086" t="s">
        <v>141</v>
      </c>
      <c r="V182" s="1718"/>
      <c r="W182" s="2785"/>
      <c r="Y182" s="1551"/>
      <c r="Z182" s="1551"/>
      <c r="AA182" s="1551"/>
      <c r="AB182" s="1551"/>
      <c r="AC182" s="1551"/>
      <c r="AD182" s="1551"/>
      <c r="AE182" s="1551"/>
      <c r="AF182" s="1551"/>
      <c r="AG182" s="1551"/>
      <c r="AH182" s="1551"/>
      <c r="AI182" s="1551"/>
      <c r="AJ182" s="1551"/>
      <c r="AK182" s="1551"/>
      <c r="AL182" s="2128"/>
      <c r="AM182" s="2128"/>
      <c r="AN182" s="1551"/>
      <c r="AO182" s="1551"/>
      <c r="AP182" s="1551"/>
      <c r="AQ182" s="1551"/>
    </row>
    <row s="30764" customFormat="1" customHeight="1" ht="17.25">
      <c r="A183" s="2124"/>
      <c r="C183" s="2129"/>
      <c r="D183" s="2114"/>
      <c r="E183" s="2131"/>
      <c r="F183" s="2068"/>
      <c r="G183" s="2132"/>
      <c r="H183" s="2813"/>
      <c r="I183" s="2813"/>
      <c r="J183" s="2785"/>
      <c r="K183" s="2470"/>
      <c r="L183" s="2392"/>
      <c r="M183" s="2392"/>
      <c r="N183" s="2788"/>
      <c r="O183" s="2470"/>
      <c r="P183" s="2392"/>
      <c r="Q183" s="2392"/>
      <c r="R183" s="2786"/>
      <c r="S183" s="2690"/>
      <c r="T183" s="1719"/>
      <c r="U183" s="1720"/>
      <c r="V183" s="1720"/>
      <c r="W183" s="2785"/>
      <c r="Y183" s="1543"/>
      <c r="Z183" s="1543"/>
      <c r="AA183" s="1543"/>
      <c r="AB183" s="1543"/>
      <c r="AC183" s="1543"/>
      <c r="AD183" s="1543"/>
      <c r="AE183" s="1543"/>
      <c r="AF183" s="1543"/>
      <c r="AG183" s="1543"/>
      <c r="AH183" s="1543"/>
      <c r="AI183" s="1543"/>
      <c r="AJ183" s="1543"/>
      <c r="AK183" s="1543"/>
    </row>
    <row s="30764" customFormat="1" customHeight="1" ht="17.25">
      <c r="A184" s="2124"/>
      <c r="C184" s="2129"/>
      <c r="D184" s="2114"/>
      <c r="E184" s="2131"/>
      <c r="F184" s="2068"/>
      <c r="G184" s="2132"/>
      <c r="H184" s="2787"/>
      <c r="I184" s="2787"/>
      <c r="J184" s="2817"/>
      <c r="K184" s="2470"/>
      <c r="L184" s="2787"/>
      <c r="M184" s="2787"/>
      <c r="N184" s="2789"/>
      <c r="O184" s="2396"/>
      <c r="P184" s="601"/>
      <c r="Q184" s="602"/>
      <c r="R184" s="602" t="s">
        <v>214</v>
      </c>
      <c r="S184" s="2130"/>
      <c r="T184" s="2130"/>
      <c r="U184" s="2130"/>
      <c r="V184" s="2130"/>
      <c r="W184" s="1717"/>
      <c r="Y184" s="1543"/>
      <c r="Z184" s="1543"/>
      <c r="AA184" s="1543"/>
      <c r="AB184" s="1543"/>
      <c r="AC184" s="1543"/>
      <c r="AD184" s="1543"/>
      <c r="AE184" s="1543"/>
      <c r="AF184" s="1543"/>
      <c r="AG184" s="1543"/>
      <c r="AH184" s="1543"/>
      <c r="AI184" s="1543"/>
      <c r="AJ184" s="1543"/>
      <c r="AK184" s="1543"/>
    </row>
    <row s="30764" customFormat="1" customHeight="1" ht="17.25">
      <c r="A185" s="2124"/>
      <c r="C185" s="2129"/>
      <c r="D185" s="2114"/>
      <c r="E185" s="2131"/>
      <c r="F185" s="2068"/>
      <c r="G185" s="2132"/>
      <c r="H185" s="2787"/>
      <c r="I185" s="2787"/>
      <c r="J185" s="2817"/>
      <c r="K185" s="2396"/>
      <c r="L185" s="601"/>
      <c r="M185" s="602"/>
      <c r="N185" s="602" t="s">
        <v>230</v>
      </c>
      <c r="O185" s="602"/>
      <c r="P185" s="602"/>
      <c r="Q185" s="602"/>
      <c r="R185" s="602"/>
      <c r="S185" s="2130"/>
      <c r="T185" s="2130"/>
      <c r="U185" s="2130"/>
      <c r="V185" s="2130"/>
      <c r="W185" s="603"/>
      <c r="Y185" s="1543"/>
      <c r="Z185" s="1543"/>
      <c r="AA185" s="1543"/>
      <c r="AB185" s="1543"/>
      <c r="AC185" s="1543"/>
      <c r="AD185" s="1543"/>
      <c r="AE185" s="1543"/>
      <c r="AF185" s="1543"/>
      <c r="AG185" s="1543"/>
      <c r="AH185" s="1543"/>
      <c r="AI185" s="1543"/>
      <c r="AJ185" s="1543"/>
      <c r="AK185" s="1543"/>
    </row>
    <row customHeight="1" ht="17.25">
      <c r="A186" s="2134"/>
    </row>
    <row s="30764" customFormat="1" customHeight="1" ht="17.25">
      <c r="A187" s="2124"/>
      <c r="C187" s="2126"/>
      <c r="D187" s="2114"/>
      <c r="E187" s="2131"/>
      <c r="F187" s="2068"/>
      <c r="G187" s="2132"/>
      <c r="H187" s="2114"/>
      <c r="I187" s="2114"/>
      <c r="J187" s="2135"/>
      <c r="K187" s="2132"/>
      <c r="L187" s="2392"/>
      <c r="M187" s="2392" t="s">
        <v>141</v>
      </c>
      <c r="N187" s="2788" t="str">
        <f>IF(Z187="","",INDEX(TERRITORY_MR_LIST,MATCH(Z187,TERRITORY_LIST_ID,0)))</f>
        <v/>
      </c>
      <c r="O187" s="2469" t="s">
        <v>64</v>
      </c>
      <c r="P187" s="2392"/>
      <c r="Q187" s="2392" t="s">
        <v>141</v>
      </c>
      <c r="R187" s="2786" t="s">
        <v>28</v>
      </c>
      <c r="S187" s="2690" t="s">
        <v>19</v>
      </c>
      <c r="T187" s="2086"/>
      <c r="U187" s="2086" t="s">
        <v>141</v>
      </c>
      <c r="V187" s="1718"/>
      <c r="W187" s="2785"/>
      <c r="Y187" s="1551"/>
      <c r="Z187" s="1551"/>
      <c r="AA187" s="1551"/>
      <c r="AB187" s="1551"/>
      <c r="AC187" s="1551"/>
      <c r="AD187" s="1551"/>
      <c r="AE187" s="1551"/>
      <c r="AF187" s="1551"/>
      <c r="AG187" s="1551"/>
      <c r="AH187" s="1551"/>
      <c r="AI187" s="1551"/>
      <c r="AJ187" s="1551"/>
      <c r="AK187" s="1551"/>
      <c r="AL187" s="2128"/>
      <c r="AM187" s="2128"/>
      <c r="AN187" s="1551"/>
      <c r="AO187" s="1551"/>
      <c r="AP187" s="1551"/>
      <c r="AQ187" s="1551"/>
    </row>
    <row s="30764" customFormat="1" customHeight="1" ht="17.25">
      <c r="A188" s="2124"/>
      <c r="C188" s="2129"/>
      <c r="D188" s="2114"/>
      <c r="E188" s="2131"/>
      <c r="F188" s="2068"/>
      <c r="G188" s="2132"/>
      <c r="H188" s="2114"/>
      <c r="I188" s="2114"/>
      <c r="J188" s="2135"/>
      <c r="K188" s="2132"/>
      <c r="L188" s="2392"/>
      <c r="M188" s="2392"/>
      <c r="N188" s="2788"/>
      <c r="O188" s="2470"/>
      <c r="P188" s="2392"/>
      <c r="Q188" s="2392"/>
      <c r="R188" s="2786"/>
      <c r="S188" s="2690"/>
      <c r="T188" s="1719"/>
      <c r="U188" s="1720"/>
      <c r="V188" s="1720"/>
      <c r="W188" s="2785"/>
      <c r="Y188" s="1543"/>
      <c r="Z188" s="1543"/>
      <c r="AA188" s="1543"/>
      <c r="AB188" s="1543"/>
      <c r="AC188" s="1543"/>
      <c r="AD188" s="1543"/>
      <c r="AE188" s="1543"/>
      <c r="AF188" s="1543"/>
      <c r="AG188" s="1543"/>
      <c r="AH188" s="1543"/>
      <c r="AI188" s="1543"/>
      <c r="AJ188" s="1543"/>
      <c r="AK188" s="1543"/>
    </row>
    <row s="30764" customFormat="1" customHeight="1" ht="17.25">
      <c r="A189" s="2124"/>
      <c r="C189" s="2129"/>
      <c r="D189" s="2114"/>
      <c r="E189" s="2131"/>
      <c r="F189" s="2068"/>
      <c r="G189" s="2132"/>
      <c r="H189" s="2114"/>
      <c r="I189" s="2114"/>
      <c r="J189" s="2135"/>
      <c r="K189" s="2132"/>
      <c r="L189" s="2787"/>
      <c r="M189" s="2787"/>
      <c r="N189" s="2789"/>
      <c r="O189" s="2396"/>
      <c r="P189" s="601"/>
      <c r="Q189" s="602"/>
      <c r="R189" s="602" t="s">
        <v>214</v>
      </c>
      <c r="S189" s="2130"/>
      <c r="T189" s="2130"/>
      <c r="U189" s="2130"/>
      <c r="V189" s="2130"/>
      <c r="W189" s="1717"/>
      <c r="Y189" s="1543"/>
      <c r="Z189" s="1543"/>
      <c r="AA189" s="1543"/>
      <c r="AB189" s="1543"/>
      <c r="AC189" s="1543"/>
      <c r="AD189" s="1543"/>
      <c r="AE189" s="1543"/>
      <c r="AF189" s="1543"/>
      <c r="AG189" s="1543"/>
      <c r="AH189" s="1543"/>
      <c r="AI189" s="1543"/>
      <c r="AJ189" s="1543"/>
      <c r="AK189" s="1543"/>
    </row>
    <row customHeight="1" ht="17.25">
      <c r="A190" s="2134"/>
    </row>
    <row s="30764" customFormat="1" customHeight="1" ht="17.25">
      <c r="A191" s="2124"/>
      <c r="C191" s="2126"/>
      <c r="D191" s="2114"/>
      <c r="E191" s="2131"/>
      <c r="F191" s="2068"/>
      <c r="G191" s="2132"/>
      <c r="H191" s="2114"/>
      <c r="I191" s="2114"/>
      <c r="J191" s="2135"/>
      <c r="K191" s="2132"/>
      <c r="L191" s="2114"/>
      <c r="M191" s="2114"/>
      <c r="N191" s="2332"/>
      <c r="O191" s="2071"/>
      <c r="P191" s="2392"/>
      <c r="Q191" s="2392" t="s">
        <v>141</v>
      </c>
      <c r="R191" s="2786" t="s">
        <v>28</v>
      </c>
      <c r="S191" s="2690" t="s">
        <v>19</v>
      </c>
      <c r="T191" s="2086"/>
      <c r="U191" s="2086" t="s">
        <v>141</v>
      </c>
      <c r="V191" s="1718"/>
      <c r="W191" s="2785"/>
      <c r="Y191" s="1551"/>
      <c r="Z191" s="1551"/>
      <c r="AA191" s="1551"/>
      <c r="AB191" s="1551"/>
      <c r="AC191" s="1551"/>
      <c r="AD191" s="1551"/>
      <c r="AE191" s="1551"/>
      <c r="AF191" s="1551"/>
      <c r="AG191" s="1551"/>
      <c r="AH191" s="1551"/>
      <c r="AI191" s="1551"/>
      <c r="AJ191" s="1551"/>
      <c r="AK191" s="1551"/>
      <c r="AL191" s="2128"/>
      <c r="AM191" s="2128"/>
      <c r="AN191" s="1551"/>
      <c r="AO191" s="1551"/>
      <c r="AP191" s="1551"/>
      <c r="AQ191" s="1551"/>
    </row>
    <row s="30764" customFormat="1" customHeight="1" ht="17.25">
      <c r="A192" s="2124"/>
      <c r="C192" s="2129"/>
      <c r="D192" s="2114"/>
      <c r="E192" s="2131"/>
      <c r="F192" s="2068"/>
      <c r="G192" s="2132"/>
      <c r="H192" s="2114"/>
      <c r="I192" s="2114"/>
      <c r="J192" s="2135"/>
      <c r="K192" s="2132"/>
      <c r="L192" s="2114"/>
      <c r="M192" s="2114"/>
      <c r="N192" s="2332"/>
      <c r="O192" s="2071"/>
      <c r="P192" s="2392"/>
      <c r="Q192" s="2392"/>
      <c r="R192" s="2786"/>
      <c r="S192" s="2690"/>
      <c r="T192" s="1719"/>
      <c r="U192" s="1720"/>
      <c r="V192" s="1720"/>
      <c r="W192" s="2785"/>
      <c r="Y192" s="1543"/>
      <c r="Z192" s="1543"/>
      <c r="AA192" s="1543"/>
      <c r="AB192" s="1543"/>
      <c r="AC192" s="1543"/>
      <c r="AD192" s="1543"/>
      <c r="AE192" s="1543"/>
      <c r="AF192" s="1543"/>
      <c r="AG192" s="1543"/>
      <c r="AH192" s="1543"/>
      <c r="AI192" s="1543"/>
      <c r="AJ192" s="1543"/>
      <c r="AK192" s="1543"/>
    </row>
    <row customHeight="1" ht="17.25">
      <c r="A193" s="2134"/>
    </row>
    <row customHeight="1" ht="16.5">
      <c r="A194" s="2124"/>
      <c r="B194" s="2125"/>
      <c r="C194" s="2129"/>
      <c r="D194" s="2837"/>
      <c r="E194" s="2463"/>
      <c r="F194" s="2463"/>
      <c r="G194" s="2411"/>
      <c r="H194" s="2838"/>
      <c r="I194" s="2851"/>
      <c r="J194" s="2436"/>
      <c r="K194" s="2421"/>
      <c r="L194" s="2421"/>
      <c r="M194" s="2421"/>
      <c r="N194" s="2849"/>
      <c r="O194" s="2421"/>
      <c r="P194" s="2421"/>
      <c r="Q194" s="2421"/>
      <c r="R194" s="2847"/>
      <c r="S194" s="2421"/>
      <c r="T194" s="2067"/>
      <c r="U194" s="2067"/>
      <c r="V194" s="2136"/>
      <c r="W194" s="1580"/>
    </row>
    <row customHeight="1" ht="16.5">
      <c r="A195" s="2124"/>
      <c r="B195" s="2125"/>
      <c r="C195" s="2129"/>
      <c r="D195" s="2837"/>
      <c r="E195" s="2463"/>
      <c r="F195" s="2463"/>
      <c r="G195" s="2411"/>
      <c r="H195" s="2839"/>
      <c r="I195" s="2852"/>
      <c r="J195" s="2437"/>
      <c r="K195" s="2422"/>
      <c r="L195" s="2422"/>
      <c r="M195" s="2422"/>
      <c r="N195" s="2850"/>
      <c r="O195" s="2422"/>
      <c r="P195" s="2422"/>
      <c r="Q195" s="2422"/>
      <c r="R195" s="2848"/>
      <c r="S195" s="2422"/>
      <c r="T195" s="1581"/>
      <c r="U195" s="1581"/>
      <c r="V195" s="1581"/>
      <c r="W195" s="1582"/>
    </row>
    <row customHeight="1" ht="17.25">
      <c r="A196" s="2124"/>
      <c r="B196" s="2125"/>
      <c r="C196" s="2129"/>
      <c r="D196" s="2837"/>
      <c r="E196" s="2463"/>
      <c r="F196" s="2463"/>
      <c r="G196" s="2411"/>
      <c r="H196" s="2839"/>
      <c r="I196" s="2852"/>
      <c r="J196" s="2840"/>
      <c r="K196" s="2422"/>
      <c r="L196" s="2422"/>
      <c r="M196" s="2422"/>
      <c r="N196" s="2848"/>
      <c r="O196" s="2422"/>
      <c r="P196" s="2070"/>
      <c r="Q196" s="1581"/>
      <c r="R196" s="1581"/>
      <c r="S196" s="2137"/>
      <c r="T196" s="2137"/>
      <c r="U196" s="2137"/>
      <c r="V196" s="2137"/>
      <c r="W196" s="1582"/>
    </row>
    <row customHeight="1" ht="17.25">
      <c r="A197" s="2124"/>
      <c r="B197" s="2125"/>
      <c r="C197" s="2129"/>
      <c r="D197" s="2837"/>
      <c r="E197" s="2463"/>
      <c r="F197" s="2463"/>
      <c r="G197" s="2411"/>
      <c r="H197" s="2839"/>
      <c r="I197" s="2852"/>
      <c r="J197" s="2840"/>
      <c r="K197" s="2422"/>
      <c r="L197" s="1581"/>
      <c r="M197" s="1581"/>
      <c r="N197" s="1581"/>
      <c r="O197" s="1581"/>
      <c r="P197" s="1581"/>
      <c r="Q197" s="1581"/>
      <c r="R197" s="1581"/>
      <c r="S197" s="2137"/>
      <c r="T197" s="2137"/>
      <c r="U197" s="2137"/>
      <c r="V197" s="2137"/>
      <c r="W197" s="1582"/>
    </row>
    <row customHeight="1" ht="17.25">
      <c r="A198" s="2124"/>
      <c r="B198" s="2125"/>
      <c r="C198" s="2129"/>
      <c r="D198" s="2837"/>
      <c r="E198" s="2463"/>
      <c r="F198" s="2463"/>
      <c r="G198" s="2411"/>
      <c r="H198" s="1583"/>
      <c r="I198" s="1584"/>
      <c r="J198" s="1584"/>
      <c r="K198" s="1584"/>
      <c r="L198" s="1584"/>
      <c r="M198" s="1584"/>
      <c r="N198" s="1584"/>
      <c r="O198" s="1584"/>
      <c r="P198" s="1584"/>
      <c r="Q198" s="1584"/>
      <c r="R198" s="1584"/>
      <c r="S198" s="2138"/>
      <c r="T198" s="2138"/>
      <c r="U198" s="2138"/>
      <c r="V198" s="2138"/>
      <c r="W198" s="1586"/>
    </row>
    <row r="200" s="38442" customFormat="1" customHeight="1" ht="17.25">
      <c r="A200" s="2099" t="s">
        <v>2022</v>
      </c>
    </row>
    <row customHeight="1" ht="17.25">
      <c r="G201" s="2123"/>
      <c r="H201" s="2123"/>
      <c r="I201" s="2123"/>
      <c r="M201" s="2119"/>
    </row>
    <row s="30681" customFormat="1" customHeight="1" ht="15">
      <c r="D202" s="2807"/>
      <c r="E202" s="2483"/>
      <c r="F202" s="2483"/>
      <c r="G202" s="2469"/>
      <c r="H202" s="1848"/>
      <c r="I202" s="2811">
        <v>1</v>
      </c>
      <c r="J202" s="2785"/>
      <c r="K202" s="1863"/>
      <c r="L202" s="2469" t="s">
        <v>64</v>
      </c>
      <c r="M202" s="2469" t="s">
        <v>64</v>
      </c>
      <c r="N202" s="1848"/>
      <c r="O202" s="2392" t="s">
        <v>141</v>
      </c>
      <c r="P202" s="2801"/>
      <c r="Q202" s="1864"/>
      <c r="R202" s="2469" t="s">
        <v>64</v>
      </c>
      <c r="S202" s="2469" t="s">
        <v>64</v>
      </c>
      <c r="T202" s="2139"/>
      <c r="U202" s="2392" t="s">
        <v>141</v>
      </c>
      <c r="V202" s="2808" t="str">
        <f>IF(AK202="","",INDEX(TERRITORY_MR_LIST,MATCH(AK202,TERRITORY_LIST_ID,0)))</f>
        <v/>
      </c>
      <c r="W202" s="1865"/>
      <c r="X202" s="2469" t="s">
        <v>64</v>
      </c>
      <c r="Y202" s="2469" t="s">
        <v>19</v>
      </c>
      <c r="Z202" s="1848"/>
      <c r="AA202" s="2392" t="s">
        <v>141</v>
      </c>
      <c r="AB202" s="2810"/>
      <c r="AC202" s="1866"/>
      <c r="AD202" s="2469" t="s">
        <v>64</v>
      </c>
      <c r="AE202" s="2469" t="s">
        <v>19</v>
      </c>
      <c r="AF202" s="1846"/>
      <c r="AG202" s="2095" t="s">
        <v>141</v>
      </c>
      <c r="AH202" s="1856"/>
      <c r="AI202" s="2085"/>
    </row>
    <row s="30681" customFormat="1" customHeight="1" ht="15">
      <c r="D203" s="2807"/>
      <c r="E203" s="2483"/>
      <c r="F203" s="2483"/>
      <c r="G203" s="2470"/>
      <c r="H203" s="1848"/>
      <c r="I203" s="2811"/>
      <c r="J203" s="2785"/>
      <c r="K203" s="1847"/>
      <c r="L203" s="2470"/>
      <c r="M203" s="2470"/>
      <c r="N203" s="1848"/>
      <c r="O203" s="2392"/>
      <c r="P203" s="2801"/>
      <c r="Q203" s="1844"/>
      <c r="R203" s="2470"/>
      <c r="S203" s="2470"/>
      <c r="T203" s="2139"/>
      <c r="U203" s="2392"/>
      <c r="V203" s="2809"/>
      <c r="W203" s="1845"/>
      <c r="X203" s="2470"/>
      <c r="Y203" s="2470"/>
      <c r="Z203" s="1848"/>
      <c r="AA203" s="2392"/>
      <c r="AB203" s="2779"/>
      <c r="AC203" s="1849"/>
      <c r="AD203" s="2396"/>
      <c r="AE203" s="2396"/>
      <c r="AF203" s="1850"/>
      <c r="AG203" s="1851"/>
      <c r="AH203" s="2802" t="s">
        <v>2023</v>
      </c>
      <c r="AI203" s="2803"/>
    </row>
    <row s="30681" customFormat="1" customHeight="1" ht="15">
      <c r="D204" s="2807"/>
      <c r="E204" s="2483"/>
      <c r="F204" s="2483"/>
      <c r="G204" s="2470"/>
      <c r="H204" s="1848"/>
      <c r="I204" s="2811"/>
      <c r="J204" s="2785"/>
      <c r="K204" s="1847"/>
      <c r="L204" s="2470"/>
      <c r="M204" s="2470"/>
      <c r="N204" s="1848"/>
      <c r="O204" s="2392"/>
      <c r="P204" s="2801"/>
      <c r="Q204" s="1844"/>
      <c r="R204" s="2470"/>
      <c r="S204" s="2470"/>
      <c r="T204" s="2139"/>
      <c r="U204" s="2392"/>
      <c r="V204" s="2809"/>
      <c r="W204" s="1845"/>
      <c r="X204" s="2470"/>
      <c r="Y204" s="2470"/>
      <c r="Z204" s="1887"/>
      <c r="AA204" s="1853"/>
      <c r="AB204" s="2804" t="s">
        <v>2024</v>
      </c>
      <c r="AC204" s="2804"/>
      <c r="AD204" s="2804"/>
      <c r="AE204" s="2804"/>
      <c r="AF204" s="2804"/>
      <c r="AG204" s="2804"/>
      <c r="AH204" s="2804"/>
      <c r="AI204" s="2805"/>
    </row>
    <row s="30681" customFormat="1" customHeight="1" ht="15">
      <c r="D205" s="2807"/>
      <c r="E205" s="2483"/>
      <c r="F205" s="2483"/>
      <c r="G205" s="2470"/>
      <c r="H205" s="1848"/>
      <c r="I205" s="2811"/>
      <c r="J205" s="2785"/>
      <c r="K205" s="1847"/>
      <c r="L205" s="2470"/>
      <c r="M205" s="2470"/>
      <c r="N205" s="1848"/>
      <c r="O205" s="2392"/>
      <c r="P205" s="2806"/>
      <c r="Q205" s="1844"/>
      <c r="R205" s="2470"/>
      <c r="S205" s="2470"/>
      <c r="T205" s="2140"/>
      <c r="U205" s="1888"/>
      <c r="V205" s="2802" t="s">
        <v>135</v>
      </c>
      <c r="W205" s="2802"/>
      <c r="X205" s="2802"/>
      <c r="Y205" s="2802"/>
      <c r="Z205" s="2802"/>
      <c r="AA205" s="2802"/>
      <c r="AB205" s="2802"/>
      <c r="AC205" s="2802"/>
      <c r="AD205" s="2802"/>
      <c r="AE205" s="2802"/>
      <c r="AF205" s="2802"/>
      <c r="AG205" s="2802"/>
      <c r="AH205" s="2802"/>
      <c r="AI205" s="2803"/>
    </row>
    <row s="30681" customFormat="1" customHeight="1" ht="11.25">
      <c r="D206" s="2807"/>
      <c r="E206" s="2483"/>
      <c r="F206" s="2483"/>
      <c r="G206" s="2470"/>
      <c r="H206" s="1852"/>
      <c r="I206" s="2811"/>
      <c r="J206" s="2812"/>
      <c r="K206" s="1847"/>
      <c r="L206" s="2470"/>
      <c r="M206" s="2470"/>
      <c r="N206" s="1852"/>
      <c r="O206" s="1853"/>
      <c r="P206" s="2802" t="s">
        <v>2025</v>
      </c>
      <c r="Q206" s="2802"/>
      <c r="R206" s="2802"/>
      <c r="S206" s="2802"/>
      <c r="T206" s="2802"/>
      <c r="U206" s="2802"/>
      <c r="V206" s="2802"/>
      <c r="W206" s="2802"/>
      <c r="X206" s="2802"/>
      <c r="Y206" s="2802"/>
      <c r="Z206" s="2802"/>
      <c r="AA206" s="2802"/>
      <c r="AB206" s="2802"/>
      <c r="AC206" s="2802"/>
      <c r="AD206" s="2802"/>
      <c r="AE206" s="2802"/>
      <c r="AF206" s="2802"/>
      <c r="AG206" s="2802"/>
      <c r="AH206" s="2802"/>
      <c r="AI206" s="2803"/>
    </row>
    <row s="31058" customFormat="1" customHeight="1" ht="11.25">
      <c r="D207" s="2807"/>
      <c r="E207" s="2483"/>
      <c r="F207" s="2483"/>
      <c r="G207" s="2396"/>
      <c r="H207" s="1854"/>
      <c r="I207" s="1855"/>
      <c r="J207" s="2802" t="s">
        <v>239</v>
      </c>
      <c r="K207" s="2802"/>
      <c r="L207" s="2802"/>
      <c r="M207" s="2802"/>
      <c r="N207" s="2802"/>
      <c r="O207" s="2802"/>
      <c r="P207" s="2802"/>
      <c r="Q207" s="2802"/>
      <c r="R207" s="2802"/>
      <c r="S207" s="2802"/>
      <c r="T207" s="2802"/>
      <c r="U207" s="2802"/>
      <c r="V207" s="2802"/>
      <c r="W207" s="2802"/>
      <c r="X207" s="2802"/>
      <c r="Y207" s="2802"/>
      <c r="Z207" s="2802"/>
      <c r="AA207" s="2802"/>
      <c r="AB207" s="2802"/>
      <c r="AC207" s="2802"/>
      <c r="AD207" s="2802"/>
      <c r="AE207" s="2802"/>
      <c r="AF207" s="2802"/>
      <c r="AG207" s="2802"/>
      <c r="AH207" s="2802"/>
      <c r="AI207" s="2803"/>
      <c r="BK207" s="1858"/>
    </row>
    <row customHeight="1" ht="17.25">
      <c r="G208" s="2123"/>
      <c r="I208" s="2123"/>
      <c r="J208" s="2123"/>
      <c r="N208" s="2119"/>
    </row>
    <row s="30681" customFormat="1" customHeight="1" ht="15">
      <c r="D209" s="2807"/>
      <c r="E209" s="2483"/>
      <c r="F209" s="2483"/>
      <c r="G209" s="2463"/>
      <c r="H209" s="1883"/>
      <c r="I209" s="2465"/>
      <c r="J209" s="2436"/>
      <c r="K209" s="2069"/>
      <c r="L209" s="2421"/>
      <c r="M209" s="2421"/>
      <c r="N209" s="1868"/>
      <c r="O209" s="2421"/>
      <c r="P209" s="2436"/>
      <c r="Q209" s="2073"/>
      <c r="R209" s="2421"/>
      <c r="S209" s="2421"/>
      <c r="T209" s="2141"/>
      <c r="U209" s="2421"/>
      <c r="V209" s="2436"/>
      <c r="W209" s="1871"/>
      <c r="X209" s="2421"/>
      <c r="Y209" s="2421"/>
      <c r="Z209" s="1868"/>
      <c r="AA209" s="2421"/>
      <c r="AB209" s="2436"/>
      <c r="AC209" s="1872"/>
      <c r="AD209" s="2421"/>
      <c r="AE209" s="2421"/>
      <c r="AF209" s="2067"/>
      <c r="AG209" s="2067"/>
      <c r="AH209" s="1873"/>
      <c r="AI209" s="1580"/>
    </row>
    <row s="30681" customFormat="1" customHeight="1" ht="15">
      <c r="D210" s="2807"/>
      <c r="E210" s="2483"/>
      <c r="F210" s="2483"/>
      <c r="G210" s="2463"/>
      <c r="H210" s="1884"/>
      <c r="I210" s="2466"/>
      <c r="J210" s="2437"/>
      <c r="K210" s="1894"/>
      <c r="L210" s="2422"/>
      <c r="M210" s="2422"/>
      <c r="N210" s="1874"/>
      <c r="O210" s="2422"/>
      <c r="P210" s="2437"/>
      <c r="Q210" s="2074"/>
      <c r="R210" s="2422"/>
      <c r="S210" s="2422"/>
      <c r="T210" s="2142"/>
      <c r="U210" s="2422"/>
      <c r="V210" s="2437"/>
      <c r="W210" s="1877"/>
      <c r="X210" s="2422"/>
      <c r="Y210" s="2422"/>
      <c r="Z210" s="1874"/>
      <c r="AA210" s="2422"/>
      <c r="AB210" s="2437"/>
      <c r="AC210" s="1878"/>
      <c r="AD210" s="2422"/>
      <c r="AE210" s="2422"/>
      <c r="AF210" s="2072"/>
      <c r="AG210" s="2072"/>
      <c r="AH210" s="2461"/>
      <c r="AI210" s="2462"/>
    </row>
    <row s="30681" customFormat="1" customHeight="1" ht="15">
      <c r="D211" s="2807"/>
      <c r="E211" s="2483"/>
      <c r="F211" s="2483"/>
      <c r="G211" s="2463"/>
      <c r="H211" s="1884"/>
      <c r="I211" s="2466"/>
      <c r="J211" s="2437"/>
      <c r="K211" s="1894"/>
      <c r="L211" s="2422"/>
      <c r="M211" s="2422"/>
      <c r="N211" s="1874"/>
      <c r="O211" s="2422"/>
      <c r="P211" s="2437"/>
      <c r="Q211" s="2074"/>
      <c r="R211" s="2422"/>
      <c r="S211" s="2422"/>
      <c r="T211" s="2142"/>
      <c r="U211" s="2422"/>
      <c r="V211" s="2437"/>
      <c r="W211" s="1877"/>
      <c r="X211" s="2422"/>
      <c r="Y211" s="2422"/>
      <c r="Z211" s="2070"/>
      <c r="AA211" s="2072"/>
      <c r="AB211" s="2461"/>
      <c r="AC211" s="2461"/>
      <c r="AD211" s="2461"/>
      <c r="AE211" s="2461"/>
      <c r="AF211" s="2461"/>
      <c r="AG211" s="2461"/>
      <c r="AH211" s="2461"/>
      <c r="AI211" s="2462"/>
    </row>
    <row s="30681" customFormat="1" customHeight="1" ht="15">
      <c r="D212" s="2807"/>
      <c r="E212" s="2483"/>
      <c r="F212" s="2483"/>
      <c r="G212" s="2463"/>
      <c r="H212" s="1884"/>
      <c r="I212" s="2466"/>
      <c r="J212" s="2437"/>
      <c r="K212" s="1894"/>
      <c r="L212" s="2422"/>
      <c r="M212" s="2422"/>
      <c r="N212" s="1874"/>
      <c r="O212" s="2422"/>
      <c r="P212" s="2437"/>
      <c r="Q212" s="2074"/>
      <c r="R212" s="2422"/>
      <c r="S212" s="2422"/>
      <c r="T212" s="2143"/>
      <c r="U212" s="1881"/>
      <c r="V212" s="2461"/>
      <c r="W212" s="2461"/>
      <c r="X212" s="2461"/>
      <c r="Y212" s="2461"/>
      <c r="Z212" s="2461"/>
      <c r="AA212" s="2461"/>
      <c r="AB212" s="2461"/>
      <c r="AC212" s="2461"/>
      <c r="AD212" s="2461"/>
      <c r="AE212" s="2461"/>
      <c r="AF212" s="2461"/>
      <c r="AG212" s="2461"/>
      <c r="AH212" s="2461"/>
      <c r="AI212" s="2462"/>
    </row>
    <row s="30681" customFormat="1" customHeight="1" ht="11.25">
      <c r="D213" s="2807"/>
      <c r="E213" s="2483"/>
      <c r="F213" s="2483"/>
      <c r="G213" s="2463"/>
      <c r="H213" s="1885"/>
      <c r="I213" s="2466"/>
      <c r="J213" s="2437"/>
      <c r="K213" s="1894"/>
      <c r="L213" s="2422"/>
      <c r="M213" s="2422"/>
      <c r="N213" s="2072"/>
      <c r="O213" s="2072"/>
      <c r="P213" s="2461"/>
      <c r="Q213" s="2461"/>
      <c r="R213" s="2461"/>
      <c r="S213" s="2461"/>
      <c r="T213" s="2461"/>
      <c r="U213" s="2461"/>
      <c r="V213" s="2461"/>
      <c r="W213" s="2461"/>
      <c r="X213" s="2461"/>
      <c r="Y213" s="2461"/>
      <c r="Z213" s="2461"/>
      <c r="AA213" s="2461"/>
      <c r="AB213" s="2461"/>
      <c r="AC213" s="2461"/>
      <c r="AD213" s="2461"/>
      <c r="AE213" s="2461"/>
      <c r="AF213" s="2461"/>
      <c r="AG213" s="2461"/>
      <c r="AH213" s="2461"/>
      <c r="AI213" s="2462"/>
    </row>
    <row s="31058" customFormat="1" customHeight="1" ht="11.25">
      <c r="D214" s="2807"/>
      <c r="E214" s="2483"/>
      <c r="F214" s="2483"/>
      <c r="G214" s="2468"/>
      <c r="H214" s="1882"/>
      <c r="I214" s="1886"/>
      <c r="J214" s="2471"/>
      <c r="K214" s="2471"/>
      <c r="L214" s="2471"/>
      <c r="M214" s="2471"/>
      <c r="N214" s="2471"/>
      <c r="O214" s="2471"/>
      <c r="P214" s="2471"/>
      <c r="Q214" s="2471"/>
      <c r="R214" s="2471"/>
      <c r="S214" s="2471"/>
      <c r="T214" s="2471"/>
      <c r="U214" s="2471"/>
      <c r="V214" s="2471"/>
      <c r="W214" s="2471"/>
      <c r="X214" s="2471"/>
      <c r="Y214" s="2471"/>
      <c r="Z214" s="2471"/>
      <c r="AA214" s="2471"/>
      <c r="AB214" s="2471"/>
      <c r="AC214" s="2471"/>
      <c r="AD214" s="2471"/>
      <c r="AE214" s="2471"/>
      <c r="AF214" s="2471"/>
      <c r="AG214" s="2471"/>
      <c r="AH214" s="2471"/>
      <c r="AI214" s="2472"/>
      <c r="BK214" s="1858"/>
    </row>
    <row customHeight="1" ht="17.25">
      <c r="A215" s="2134"/>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DB89BD-DE09-1AB7-040E-7201A3DA3A97}"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38731" width="43.140625"/>
    <col min="2" max="2" style="38731" width="43.140625" hidden="1"/>
    <col min="3" max="3" style="38731" width="43.140625"/>
    <col min="4" max="5" style="38731" width="36.421875" customWidth="1"/>
    <col min="6" max="8" style="38732" width="36.421875" customWidth="1"/>
  </cols>
  <sheetData>
    <row customHeight="1" ht="9">
      <c r="A1" s="1130" t="s">
        <v>2026</v>
      </c>
      <c r="B1" s="1130"/>
      <c r="C1" s="1266" t="s">
        <v>2027</v>
      </c>
      <c r="D1" s="1264" t="s">
        <v>879</v>
      </c>
      <c r="E1" s="1264" t="s">
        <v>925</v>
      </c>
      <c r="F1" s="1264" t="s">
        <v>978</v>
      </c>
      <c r="G1" s="1264" t="s">
        <v>965</v>
      </c>
      <c r="H1" s="1264" t="s">
        <v>1700</v>
      </c>
    </row>
    <row customHeight="1" ht="9">
      <c r="A2" s="1267" t="s">
        <v>2028</v>
      </c>
      <c r="B2" s="1267"/>
      <c r="C2" s="1268" t="str">
        <f>INDEX(TEMPLATE_NUMBER_FORM_LIST,MATCH(TEMPLATE_SPHERE,TEMPLATE_SPHERE_LIST,0))</f>
        <v>16</v>
      </c>
      <c r="D2" s="1267" t="s">
        <v>1550</v>
      </c>
      <c r="E2" s="1267" t="s">
        <v>179</v>
      </c>
      <c r="F2" s="1269" t="s">
        <v>179</v>
      </c>
      <c r="G2" s="1267" t="s">
        <v>179</v>
      </c>
      <c r="H2" s="1270"/>
    </row>
    <row customHeight="1" ht="63">
      <c r="A3" s="1130"/>
      <c r="B3" s="1130" t="s">
        <v>141</v>
      </c>
      <c r="C3" s="126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268" t="s">
        <v>2029</v>
      </c>
      <c r="E3" s="126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269"/>
      <c r="G3" s="1270"/>
      <c r="H3" s="1130"/>
    </row>
    <row customHeight="1" ht="243">
      <c r="A4" s="1130" t="s">
        <v>2030</v>
      </c>
      <c r="B4" s="1130" t="s">
        <v>105</v>
      </c>
      <c r="C4" s="126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267" t="s">
        <v>2031</v>
      </c>
      <c r="E4" s="126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267"/>
      <c r="G4" s="1267"/>
      <c r="H4" s="1130" t="s">
        <v>2032</v>
      </c>
    </row>
    <row customHeight="1" ht="117">
      <c r="A5" s="1130" t="s">
        <v>2033</v>
      </c>
      <c r="B5" s="1130" t="s">
        <v>93</v>
      </c>
      <c r="C5" s="126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130" t="s">
        <v>2034</v>
      </c>
      <c r="E5" s="113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270"/>
      <c r="G5" s="1270"/>
      <c r="H5" s="1130" t="s">
        <v>2035</v>
      </c>
    </row>
    <row customHeight="1" ht="90">
      <c r="A6" s="1130" t="s">
        <v>2036</v>
      </c>
      <c r="B6" s="1130" t="s">
        <v>94</v>
      </c>
      <c r="C6" s="126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133"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113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130"/>
      <c r="G6" s="1130"/>
      <c r="H6" s="1270"/>
    </row>
    <row customHeight="1" ht="45">
      <c r="A7" s="1130" t="s">
        <v>2037</v>
      </c>
      <c r="B7" s="1130" t="s">
        <v>124</v>
      </c>
      <c r="C7" s="1268" t="str">
        <f>IF(TEMPLATE_SPHERE="HEAT",D7,E7)</f>
        <v>Форма 11. Информация о расходах на капитальный и текущий ремонт основных средств</v>
      </c>
      <c r="D7" s="1130" t="s">
        <v>2038</v>
      </c>
      <c r="E7" s="1130" t="s">
        <v>2039</v>
      </c>
      <c r="F7" s="1270"/>
      <c r="G7" s="1270"/>
      <c r="H7" s="1270"/>
    </row>
    <row customHeight="1" ht="108">
      <c r="A8" s="1130" t="s">
        <v>2040</v>
      </c>
      <c r="B8" s="1130" t="s">
        <v>95</v>
      </c>
      <c r="C8" s="126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130" t="s">
        <v>1240</v>
      </c>
      <c r="E8" s="1130" t="s">
        <v>2041</v>
      </c>
      <c r="F8" s="1270"/>
      <c r="G8" s="1270"/>
      <c r="H8" s="1270"/>
    </row>
    <row customHeight="1" ht="99">
      <c r="A9" s="1130" t="s">
        <v>2042</v>
      </c>
      <c r="B9" s="1130"/>
      <c r="C9" s="1130" t="s">
        <v>2043</v>
      </c>
      <c r="D9" s="1130"/>
      <c r="E9" s="1130"/>
      <c r="F9" s="1270"/>
      <c r="G9" s="1270"/>
      <c r="H9" s="1270"/>
    </row>
    <row customHeight="1" ht="126">
      <c r="A10" s="1130" t="s">
        <v>2044</v>
      </c>
      <c r="B10" s="1130"/>
      <c r="C10" s="1130" t="s">
        <v>2045</v>
      </c>
      <c r="D10" s="1130"/>
      <c r="E10" s="1130"/>
      <c r="F10" s="1270"/>
      <c r="G10" s="1270"/>
      <c r="H10" s="1270"/>
    </row>
    <row customHeight="1" ht="108">
      <c r="A11" s="1130" t="s">
        <v>2046</v>
      </c>
      <c r="B11" s="1130"/>
      <c r="C11" s="1130" t="s">
        <v>2047</v>
      </c>
      <c r="D11" s="1130"/>
      <c r="E11" s="1130"/>
      <c r="F11" s="1270"/>
      <c r="G11" s="1270"/>
      <c r="H11" s="1270"/>
    </row>
    <row customHeight="1" ht="54">
      <c r="A12" s="1130" t="s">
        <v>2048</v>
      </c>
      <c r="B12" s="1130"/>
      <c r="C12" s="1130" t="s">
        <v>2049</v>
      </c>
      <c r="D12" s="1130"/>
      <c r="E12" s="1130"/>
      <c r="F12" s="1270"/>
      <c r="G12" s="1270"/>
      <c r="H12" s="1270"/>
    </row>
    <row customHeight="1" ht="45">
      <c r="A13" s="1130" t="s">
        <v>2050</v>
      </c>
      <c r="B13" s="1130"/>
      <c r="C13" s="1130" t="s">
        <v>2051</v>
      </c>
      <c r="D13" s="1130"/>
      <c r="E13" s="1130"/>
      <c r="F13" s="1270"/>
      <c r="G13" s="1270"/>
      <c r="H13" s="1270"/>
    </row>
    <row customHeight="1" ht="117">
      <c r="A14" s="1130" t="s">
        <v>2052</v>
      </c>
      <c r="B14" s="1130"/>
      <c r="C14" s="1130" t="s">
        <v>2053</v>
      </c>
      <c r="D14" s="1130"/>
      <c r="E14" s="1130"/>
      <c r="F14" s="1270"/>
      <c r="G14" s="1270"/>
      <c r="H14" s="1270"/>
    </row>
    <row customHeight="1" ht="117">
      <c r="A15" s="1130" t="s">
        <v>2054</v>
      </c>
      <c r="B15" s="1130"/>
      <c r="C15" s="1130" t="s">
        <v>2055</v>
      </c>
      <c r="D15" s="1130"/>
      <c r="E15" s="1130"/>
      <c r="F15" s="1270"/>
      <c r="G15" s="1270"/>
      <c r="H15" s="1270"/>
    </row>
    <row customHeight="1" ht="63">
      <c r="A16" s="1130" t="s">
        <v>2056</v>
      </c>
      <c r="B16" s="1130"/>
      <c r="C16" s="1130" t="s">
        <v>2057</v>
      </c>
      <c r="D16" s="1130"/>
      <c r="E16" s="1130"/>
      <c r="F16" s="1270"/>
      <c r="G16" s="1270"/>
      <c r="H16" s="1270"/>
    </row>
    <row customHeight="1" ht="54">
      <c r="A17" s="1130" t="s">
        <v>2058</v>
      </c>
      <c r="B17" s="1130"/>
      <c r="C17" s="1268" t="s">
        <v>2059</v>
      </c>
      <c r="D17" s="1130"/>
      <c r="E17" s="1130"/>
      <c r="F17" s="1270"/>
      <c r="G17" s="1270"/>
      <c r="H17" s="1270"/>
    </row>
    <row customHeight="1" ht="27">
      <c r="A18" s="1130" t="s">
        <v>2060</v>
      </c>
      <c r="B18" s="1130"/>
      <c r="C18" s="1268" t="s">
        <v>2061</v>
      </c>
      <c r="D18" s="1130"/>
      <c r="E18" s="1130"/>
      <c r="F18" s="1270"/>
      <c r="G18" s="1270"/>
      <c r="H18" s="1270"/>
    </row>
    <row customHeight="1" ht="54">
      <c r="A19" s="1130" t="s">
        <v>2062</v>
      </c>
      <c r="B19" s="1130"/>
      <c r="C19" s="1268" t="s">
        <v>2063</v>
      </c>
      <c r="D19" s="1130"/>
      <c r="E19" s="1130"/>
      <c r="F19" s="1270"/>
      <c r="G19" s="1270"/>
      <c r="H19" s="1270"/>
    </row>
    <row customHeight="1" ht="36">
      <c r="A20" s="1130" t="s">
        <v>2064</v>
      </c>
      <c r="B20" s="1130"/>
      <c r="C20" s="1268" t="s">
        <v>2065</v>
      </c>
      <c r="D20" s="1130"/>
      <c r="E20" s="1130"/>
      <c r="F20" s="1270"/>
      <c r="G20" s="1270"/>
      <c r="H20" s="1270"/>
    </row>
    <row customHeight="1" ht="36">
      <c r="A21" s="1130" t="s">
        <v>2066</v>
      </c>
      <c r="B21" s="1130"/>
      <c r="C21" s="1268" t="s">
        <v>2067</v>
      </c>
      <c r="D21" s="1130"/>
      <c r="E21" s="1130"/>
      <c r="F21" s="1270"/>
      <c r="G21" s="1270"/>
      <c r="H21" s="1270"/>
    </row>
    <row customHeight="1" ht="27">
      <c r="A22" s="1130" t="s">
        <v>2068</v>
      </c>
      <c r="B22" s="1130"/>
      <c r="C22" s="1268" t="s">
        <v>2069</v>
      </c>
      <c r="D22" s="1130"/>
      <c r="E22" s="1130"/>
      <c r="F22" s="1270"/>
      <c r="G22" s="1270"/>
      <c r="H22" s="1270"/>
    </row>
    <row customHeight="1" ht="36">
      <c r="A23" s="1130" t="s">
        <v>2070</v>
      </c>
      <c r="B23" s="1130"/>
      <c r="C23" s="1268" t="s">
        <v>2071</v>
      </c>
      <c r="D23" s="1130"/>
      <c r="E23" s="1130"/>
      <c r="F23" s="1270"/>
      <c r="G23" s="1270"/>
      <c r="H23" s="1270"/>
    </row>
    <row customHeight="1" ht="28.5">
      <c r="A24" s="1130" t="s">
        <v>2072</v>
      </c>
      <c r="B24" s="1130"/>
      <c r="C24" s="1268" t="s">
        <v>2073</v>
      </c>
      <c r="D24" s="1130"/>
      <c r="E24" s="1130"/>
      <c r="F24" s="1270"/>
      <c r="G24" s="1270"/>
      <c r="H24" s="1270"/>
    </row>
    <row customHeight="1" ht="36">
      <c r="A25" s="1130" t="s">
        <v>2074</v>
      </c>
      <c r="B25" s="1130"/>
      <c r="C25" s="1268" t="s">
        <v>2075</v>
      </c>
      <c r="D25" s="1130"/>
      <c r="E25" s="1130"/>
      <c r="F25" s="1270"/>
      <c r="G25" s="1270"/>
      <c r="H25" s="1270"/>
    </row>
    <row customHeight="1" ht="27">
      <c r="A26" s="1130" t="s">
        <v>2076</v>
      </c>
      <c r="B26" s="1130"/>
      <c r="C26" s="1268" t="s">
        <v>2077</v>
      </c>
      <c r="D26" s="1130"/>
      <c r="E26" s="1130"/>
      <c r="F26" s="1270"/>
      <c r="G26" s="1270"/>
      <c r="H26" s="1270"/>
    </row>
    <row customHeight="1" ht="36">
      <c r="A27" s="1130" t="s">
        <v>2078</v>
      </c>
      <c r="B27" s="1130"/>
      <c r="C27" s="1268" t="s">
        <v>2079</v>
      </c>
      <c r="D27" s="1130"/>
      <c r="E27" s="1130"/>
      <c r="F27" s="1270"/>
      <c r="G27" s="1270"/>
      <c r="H27" s="1270"/>
    </row>
    <row customHeight="1" ht="28.5">
      <c r="A28" s="1130" t="s">
        <v>2080</v>
      </c>
      <c r="B28" s="1130"/>
      <c r="C28" s="1268" t="s">
        <v>2081</v>
      </c>
      <c r="D28" s="1130"/>
      <c r="E28" s="1130"/>
      <c r="F28" s="1270"/>
      <c r="G28" s="1270"/>
      <c r="H28" s="1270"/>
    </row>
    <row customHeight="1" ht="126">
      <c r="A29" s="1130" t="s">
        <v>2082</v>
      </c>
      <c r="B29" s="1130" t="s">
        <v>1652</v>
      </c>
      <c r="C29" s="126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130" t="s">
        <v>2083</v>
      </c>
      <c r="E29" s="113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270"/>
      <c r="G29" s="1270"/>
      <c r="H29" s="1130" t="s">
        <v>2084</v>
      </c>
    </row>
    <row customHeight="1" ht="36">
      <c r="A30" s="1130" t="s">
        <v>2085</v>
      </c>
      <c r="B30" s="1130"/>
      <c r="C30" s="126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130" t="s">
        <v>2086</v>
      </c>
      <c r="E30" s="113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270"/>
      <c r="G30" s="1270"/>
      <c r="H30" s="1270"/>
    </row>
    <row customHeight="1" ht="54">
      <c r="A31" s="1130" t="s">
        <v>2087</v>
      </c>
      <c r="B31" s="1130"/>
      <c r="C31" s="126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130" t="s">
        <v>2088</v>
      </c>
      <c r="E31" s="113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270"/>
      <c r="G31" s="1270"/>
      <c r="H31" s="1270"/>
    </row>
    <row customHeight="1" ht="198">
      <c r="A32" s="1130" t="s">
        <v>2089</v>
      </c>
      <c r="B32" s="1130"/>
      <c r="C32" s="126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130" t="s">
        <v>2090</v>
      </c>
      <c r="E32" s="113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270"/>
      <c r="G32" s="1270"/>
      <c r="H32" s="1130" t="s">
        <v>2091</v>
      </c>
    </row>
    <row customHeight="1" ht="9">
      <c r="A33" s="1130"/>
      <c r="B33" s="1130"/>
      <c r="C33" s="1268"/>
      <c r="D33" s="1130"/>
      <c r="E33" s="1130"/>
      <c r="F33" s="1270"/>
      <c r="G33" s="1270"/>
      <c r="H33" s="1270"/>
    </row>
    <row customHeight="1" ht="9">
      <c r="A34" s="1130"/>
      <c r="B34" s="1130" t="s">
        <v>1588</v>
      </c>
      <c r="C34" s="1268">
        <f>INDEX(TEMPLATE_NAME_FORM_LIST,B34,MATCH(TEMPLATE_SPHERE,TEMPLATE_SPHERE_LIST,0))</f>
        <v>0</v>
      </c>
      <c r="D34" s="1130"/>
      <c r="E34" s="1130"/>
      <c r="F34" s="1270"/>
      <c r="G34" s="1270"/>
      <c r="H34" s="1270"/>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C6F8A2B-9EE6-D50B-4A19-560E5F51849C}"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38731" width="9.140625"/>
    <col min="3" max="7" style="38775" width="8.00390625" customWidth="1"/>
    <col min="8" max="12" style="38775" width="8.57421875" customWidth="1"/>
    <col min="13" max="14" style="38775" width="27.7109375" customWidth="1"/>
    <col min="15" max="19" style="38775" width="5.140625" customWidth="1"/>
    <col min="20" max="24" style="38775" width="27.7109375" customWidth="1"/>
    <col min="25" max="25" style="38776" width="1.8515625" customWidth="1"/>
    <col min="26" max="26" style="38731" width="27.7109375" customWidth="1"/>
    <col min="27" max="27" style="38777" width="27.7109375" customWidth="1"/>
    <col min="28" max="29" style="38731" width="27.7109375" customWidth="1"/>
    <col min="30" max="30" style="38731" width="3.8515625" customWidth="1"/>
    <col min="31" max="34" style="38731" width="9.140625"/>
  </cols>
  <sheetData>
    <row s="38733" customFormat="1" customHeight="1" ht="18">
      <c r="A1" s="1182"/>
      <c r="B1" s="1182"/>
      <c r="C1" s="1182" t="s">
        <v>2092</v>
      </c>
      <c r="D1" s="1182"/>
      <c r="E1" s="1182"/>
      <c r="F1" s="1182"/>
      <c r="G1" s="1182"/>
      <c r="H1" s="1182" t="s">
        <v>2093</v>
      </c>
      <c r="I1" s="1182"/>
      <c r="J1" s="1182"/>
      <c r="K1" s="1182"/>
      <c r="L1" s="1182"/>
      <c r="M1" s="1182" t="s">
        <v>2094</v>
      </c>
      <c r="N1" s="1182" t="s">
        <v>2095</v>
      </c>
      <c r="O1" s="2876" t="s">
        <v>2096</v>
      </c>
      <c r="P1" s="2876"/>
      <c r="Q1" s="2876"/>
      <c r="R1" s="2876"/>
      <c r="S1" s="2876"/>
      <c r="T1" s="2876" t="s">
        <v>2094</v>
      </c>
      <c r="U1" s="2876"/>
      <c r="V1" s="2876"/>
      <c r="W1" s="2876"/>
      <c r="X1" s="2876"/>
      <c r="Y1" s="1283"/>
      <c r="Z1" s="2876" t="s">
        <v>2097</v>
      </c>
      <c r="AA1" s="2876"/>
      <c r="AB1" s="2876"/>
      <c r="AC1" s="2876"/>
      <c r="AD1" s="2876"/>
    </row>
    <row customHeight="1" ht="18">
      <c r="A2" s="1130"/>
      <c r="B2" s="1130"/>
      <c r="C2" s="1125" t="s">
        <v>879</v>
      </c>
      <c r="D2" s="1125" t="s">
        <v>925</v>
      </c>
      <c r="E2" s="1125" t="s">
        <v>978</v>
      </c>
      <c r="F2" s="1125" t="s">
        <v>965</v>
      </c>
      <c r="G2" s="1125" t="s">
        <v>1700</v>
      </c>
      <c r="H2" s="1127"/>
      <c r="I2" s="1127"/>
      <c r="J2" s="1127"/>
      <c r="K2" s="1127"/>
      <c r="L2" s="1127"/>
      <c r="M2" s="1127"/>
      <c r="N2" s="1127"/>
      <c r="O2" s="1125" t="s">
        <v>879</v>
      </c>
      <c r="P2" s="1125" t="s">
        <v>925</v>
      </c>
      <c r="Q2" s="1125" t="s">
        <v>965</v>
      </c>
      <c r="R2" s="1125" t="s">
        <v>978</v>
      </c>
      <c r="S2" s="1125" t="s">
        <v>1700</v>
      </c>
      <c r="T2" s="1125" t="s">
        <v>879</v>
      </c>
      <c r="U2" s="1125" t="s">
        <v>925</v>
      </c>
      <c r="V2" s="1125" t="s">
        <v>965</v>
      </c>
      <c r="W2" s="1125" t="s">
        <v>978</v>
      </c>
      <c r="X2" s="1125" t="s">
        <v>1700</v>
      </c>
      <c r="Y2" s="1125"/>
      <c r="Z2" s="1125" t="s">
        <v>879</v>
      </c>
      <c r="AA2" s="1134" t="s">
        <v>925</v>
      </c>
      <c r="AB2" s="1125" t="s">
        <v>965</v>
      </c>
      <c r="AC2" s="1125" t="s">
        <v>978</v>
      </c>
      <c r="AD2" s="1125" t="s">
        <v>1700</v>
      </c>
    </row>
    <row customHeight="1" ht="162">
      <c r="A3" s="1129" t="s">
        <v>26</v>
      </c>
      <c r="B3" s="1129"/>
      <c r="C3" s="2880" t="s">
        <v>2098</v>
      </c>
      <c r="D3" s="2881"/>
      <c r="E3" s="2881"/>
      <c r="F3" s="2882"/>
      <c r="G3" s="1127"/>
      <c r="H3" s="1127"/>
      <c r="I3" s="1127"/>
      <c r="J3" s="1127"/>
      <c r="K3" s="1127"/>
      <c r="L3" s="1127"/>
      <c r="M3" s="1127"/>
      <c r="N3" s="1128"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127"/>
      <c r="P3" s="1127"/>
      <c r="Q3" s="1127"/>
      <c r="R3" s="1127"/>
      <c r="S3" s="1127"/>
      <c r="T3" s="1127"/>
      <c r="U3" s="1127"/>
      <c r="V3" s="1127"/>
      <c r="W3" s="1127"/>
      <c r="X3" s="1127"/>
      <c r="Y3" s="1284"/>
      <c r="Z3" s="1130" t="s">
        <v>2099</v>
      </c>
      <c r="AA3" s="1127" t="s">
        <v>2100</v>
      </c>
      <c r="AB3" s="1130" t="s">
        <v>2101</v>
      </c>
      <c r="AC3" s="1130" t="s">
        <v>2102</v>
      </c>
      <c r="AD3" s="1130"/>
      <c r="AG3" s="1130"/>
      <c r="AH3" s="1130"/>
    </row>
    <row customHeight="1" ht="9">
      <c r="A4" s="1129"/>
      <c r="B4" s="1129"/>
      <c r="C4" s="1127"/>
      <c r="D4" s="1127"/>
      <c r="E4" s="1127"/>
      <c r="F4" s="1127"/>
      <c r="G4" s="1127"/>
      <c r="H4" s="1127"/>
      <c r="I4" s="1127"/>
      <c r="J4" s="1127"/>
      <c r="K4" s="1127"/>
      <c r="L4" s="1127"/>
      <c r="M4" s="1127"/>
      <c r="N4" s="1127"/>
      <c r="O4" s="1127"/>
      <c r="P4" s="1127"/>
      <c r="Q4" s="1127"/>
      <c r="R4" s="1127"/>
      <c r="S4" s="1127"/>
      <c r="T4" s="1127"/>
      <c r="U4" s="1127"/>
      <c r="V4" s="1127"/>
      <c r="W4" s="1127"/>
      <c r="X4" s="1127"/>
      <c r="Y4" s="1284"/>
      <c r="Z4" s="1130"/>
      <c r="AA4" s="1133"/>
      <c r="AB4" s="1130"/>
      <c r="AC4" s="1130"/>
      <c r="AD4" s="1130"/>
    </row>
    <row customHeight="1" ht="9">
      <c r="A5" s="1129"/>
      <c r="B5" s="1129"/>
      <c r="C5" s="1127"/>
      <c r="D5" s="1127"/>
      <c r="E5" s="1127"/>
      <c r="F5" s="1127"/>
      <c r="G5" s="1127"/>
      <c r="H5" s="1127"/>
      <c r="I5" s="1127"/>
      <c r="J5" s="1127"/>
      <c r="K5" s="1127"/>
      <c r="L5" s="1127"/>
      <c r="M5" s="1127"/>
      <c r="N5" s="1127"/>
      <c r="O5" s="1127"/>
      <c r="P5" s="1127"/>
      <c r="Q5" s="1127"/>
      <c r="R5" s="1127"/>
      <c r="S5" s="1127"/>
      <c r="T5" s="1127"/>
      <c r="U5" s="1127"/>
      <c r="V5" s="1127"/>
      <c r="W5" s="1127"/>
      <c r="X5" s="1127"/>
      <c r="Y5" s="1284"/>
      <c r="Z5" s="1130"/>
      <c r="AA5" s="1133"/>
      <c r="AB5" s="1130"/>
      <c r="AC5" s="1130"/>
      <c r="AD5" s="1130"/>
    </row>
    <row customHeight="1" ht="9">
      <c r="A6" s="1129"/>
      <c r="B6" s="1129"/>
      <c r="C6" s="1127"/>
      <c r="D6" s="1127"/>
      <c r="E6" s="1127"/>
      <c r="F6" s="1127"/>
      <c r="G6" s="1127"/>
      <c r="H6" s="1127"/>
      <c r="I6" s="1127"/>
      <c r="J6" s="1127"/>
      <c r="K6" s="1127"/>
      <c r="L6" s="1127"/>
      <c r="M6" s="1127"/>
      <c r="N6" s="1127"/>
      <c r="O6" s="1127"/>
      <c r="P6" s="1127"/>
      <c r="Q6" s="1127"/>
      <c r="R6" s="1127"/>
      <c r="S6" s="1127"/>
      <c r="T6" s="1127"/>
      <c r="U6" s="1127"/>
      <c r="V6" s="1127"/>
      <c r="W6" s="1127"/>
      <c r="X6" s="1127"/>
      <c r="Y6" s="1284"/>
      <c r="Z6" s="1130"/>
      <c r="AA6" s="1133"/>
      <c r="AB6" s="1130"/>
      <c r="AC6" s="1130"/>
      <c r="AD6" s="1130"/>
    </row>
    <row customHeight="1" ht="9">
      <c r="A7" s="1129"/>
      <c r="B7" s="1129"/>
      <c r="C7" s="1127"/>
      <c r="D7" s="1127"/>
      <c r="E7" s="1127"/>
      <c r="F7" s="1127"/>
      <c r="G7" s="1127"/>
      <c r="H7" s="1127"/>
      <c r="I7" s="1127"/>
      <c r="J7" s="1127"/>
      <c r="K7" s="1127"/>
      <c r="L7" s="1127"/>
      <c r="M7" s="1127"/>
      <c r="N7" s="1127"/>
      <c r="O7" s="1127"/>
      <c r="P7" s="1127"/>
      <c r="Q7" s="1127"/>
      <c r="R7" s="1127"/>
      <c r="S7" s="1127"/>
      <c r="T7" s="1127"/>
      <c r="U7" s="1127"/>
      <c r="V7" s="1127"/>
      <c r="W7" s="1127"/>
      <c r="X7" s="1127"/>
      <c r="Y7" s="1284"/>
      <c r="Z7" s="1130"/>
      <c r="AA7" s="1133"/>
      <c r="AB7" s="1130"/>
      <c r="AC7" s="1130"/>
      <c r="AD7" s="1130"/>
    </row>
    <row customHeight="1" ht="9">
      <c r="A8" s="1129"/>
      <c r="B8" s="1129"/>
      <c r="C8" s="1127"/>
      <c r="D8" s="1127"/>
      <c r="E8" s="1127"/>
      <c r="F8" s="1127"/>
      <c r="G8" s="1127"/>
      <c r="H8" s="1127"/>
      <c r="I8" s="1127"/>
      <c r="J8" s="1127"/>
      <c r="K8" s="1127"/>
      <c r="L8" s="1127"/>
      <c r="M8" s="1127"/>
      <c r="N8" s="1127"/>
      <c r="O8" s="1127"/>
      <c r="P8" s="1127"/>
      <c r="Q8" s="1127"/>
      <c r="R8" s="1127"/>
      <c r="S8" s="1127"/>
      <c r="T8" s="1127"/>
      <c r="U8" s="1127"/>
      <c r="V8" s="1127"/>
      <c r="W8" s="1127"/>
      <c r="X8" s="1127"/>
      <c r="Y8" s="1284"/>
      <c r="Z8" s="1130"/>
      <c r="AA8" s="1133"/>
      <c r="AB8" s="1130"/>
      <c r="AC8" s="1130"/>
      <c r="AD8" s="1130"/>
    </row>
    <row customHeight="1" ht="9">
      <c r="A9" s="1129"/>
      <c r="B9" s="1129"/>
      <c r="C9" s="1127"/>
      <c r="D9" s="1127"/>
      <c r="E9" s="1127"/>
      <c r="F9" s="1127"/>
      <c r="G9" s="1127"/>
      <c r="H9" s="1127"/>
      <c r="I9" s="1127"/>
      <c r="J9" s="1127"/>
      <c r="K9" s="1127"/>
      <c r="L9" s="1127"/>
      <c r="M9" s="1127"/>
      <c r="N9" s="1127"/>
      <c r="O9" s="1127"/>
      <c r="P9" s="1127"/>
      <c r="Q9" s="1127"/>
      <c r="R9" s="1127"/>
      <c r="S9" s="1127"/>
      <c r="T9" s="1127"/>
      <c r="U9" s="1127"/>
      <c r="V9" s="1127"/>
      <c r="W9" s="1127"/>
      <c r="X9" s="1127"/>
      <c r="Y9" s="1284"/>
      <c r="Z9" s="1130"/>
      <c r="AA9" s="1133"/>
      <c r="AB9" s="1130"/>
      <c r="AC9" s="1130"/>
      <c r="AD9" s="1130"/>
    </row>
    <row customHeight="1" ht="9">
      <c r="A10" s="1183"/>
      <c r="B10" s="1183"/>
      <c r="C10" s="1183"/>
      <c r="D10" s="1183"/>
      <c r="E10" s="1183"/>
      <c r="F10" s="1183"/>
      <c r="G10" s="1183"/>
      <c r="H10" s="1183"/>
      <c r="I10" s="1183"/>
      <c r="J10" s="1183"/>
      <c r="K10" s="1183"/>
      <c r="L10" s="1183"/>
      <c r="M10" s="1183"/>
      <c r="N10" s="1183"/>
      <c r="O10" s="1183"/>
      <c r="P10" s="1183"/>
      <c r="Q10" s="1183"/>
      <c r="R10" s="1183"/>
      <c r="S10" s="1183"/>
      <c r="T10" s="1183"/>
      <c r="U10" s="1183"/>
      <c r="V10" s="1183"/>
      <c r="W10" s="1183"/>
      <c r="X10" s="1183"/>
      <c r="Y10" s="1183"/>
      <c r="Z10" s="1183"/>
      <c r="AA10" s="1183"/>
      <c r="AB10" s="1183"/>
      <c r="AC10" s="1183"/>
      <c r="AD10" s="1183"/>
    </row>
    <row customHeight="1" ht="45">
      <c r="A11" s="2877" t="s">
        <v>33</v>
      </c>
      <c r="B11" s="1183">
        <v>1</v>
      </c>
      <c r="C11" s="2883" t="s">
        <v>1639</v>
      </c>
      <c r="D11" s="2883" t="s">
        <v>1635</v>
      </c>
      <c r="E11" s="2883" t="s">
        <v>126</v>
      </c>
      <c r="F11" s="2883" t="s">
        <v>2103</v>
      </c>
      <c r="G11" s="2883"/>
      <c r="H11" s="1182" t="s">
        <v>2104</v>
      </c>
      <c r="I11" s="1182"/>
      <c r="J11" s="1182"/>
      <c r="K11" s="1182"/>
      <c r="L11" s="1182"/>
      <c r="M11" s="1128" t="str">
        <f>IF(TEMPLATE_SPHERE="HEAT",T11,U11)</f>
        <v>Количество поданных заявок</v>
      </c>
      <c r="N11" s="1128"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127"/>
      <c r="P11" s="1127"/>
      <c r="Q11" s="1127"/>
      <c r="R11" s="1127"/>
      <c r="S11" s="1127"/>
      <c r="T11" s="1127" t="s">
        <v>2105</v>
      </c>
      <c r="U11" s="1127" t="s">
        <v>2106</v>
      </c>
      <c r="V11" s="1127"/>
      <c r="W11" s="1127"/>
      <c r="X11" s="1127"/>
      <c r="Y11" s="1284"/>
      <c r="Z11" s="1130" t="s">
        <v>2107</v>
      </c>
      <c r="AA11" s="113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130"/>
      <c r="AC11" s="1130"/>
      <c r="AD11" s="1130"/>
    </row>
    <row customHeight="1" ht="45">
      <c r="A12" s="2877"/>
      <c r="B12" s="1183">
        <v>2</v>
      </c>
      <c r="C12" s="2884"/>
      <c r="D12" s="2884"/>
      <c r="E12" s="2884"/>
      <c r="F12" s="2884"/>
      <c r="G12" s="2884"/>
      <c r="H12" s="1182" t="s">
        <v>2108</v>
      </c>
      <c r="I12" s="1182"/>
      <c r="J12" s="1182"/>
      <c r="K12" s="1182"/>
      <c r="L12" s="1182"/>
      <c r="M12" s="1128" t="str">
        <f>IF(TEMPLATE_SPHERE="HEAT",T12,U12)</f>
        <v>Количество рассмотренных заявок</v>
      </c>
      <c r="N12" s="1128"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127"/>
      <c r="P12" s="1127"/>
      <c r="Q12" s="1127"/>
      <c r="R12" s="1127"/>
      <c r="S12" s="1127"/>
      <c r="T12" s="1127" t="s">
        <v>2109</v>
      </c>
      <c r="U12" s="1127" t="s">
        <v>2110</v>
      </c>
      <c r="V12" s="1127"/>
      <c r="W12" s="1127"/>
      <c r="X12" s="1127"/>
      <c r="Y12" s="1284"/>
      <c r="Z12" s="1130" t="s">
        <v>2111</v>
      </c>
      <c r="AA12" s="113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130"/>
      <c r="AC12" s="1130"/>
      <c r="AD12" s="1130"/>
    </row>
    <row customHeight="1" ht="72">
      <c r="A13" s="2877"/>
      <c r="B13" s="1183">
        <v>3</v>
      </c>
      <c r="C13" s="2884"/>
      <c r="D13" s="2884"/>
      <c r="E13" s="2884"/>
      <c r="F13" s="2884"/>
      <c r="G13" s="2884"/>
      <c r="H13" s="2876" t="s">
        <v>2112</v>
      </c>
      <c r="I13" s="1182"/>
      <c r="J13" s="1182"/>
      <c r="K13" s="1182"/>
      <c r="L13" s="1182"/>
      <c r="M13" s="1128"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128" t="str">
        <f>IF(TEMPLATE_SPHERE="HEAT",Z13,AA13)</f>
        <v>Указывается количество заявок с решением об отказе в течение отчетного квартала.</v>
      </c>
      <c r="O13" s="1127"/>
      <c r="P13" s="1128"/>
      <c r="Q13" s="1128"/>
      <c r="R13" s="1128"/>
      <c r="S13" s="1127"/>
      <c r="T13" s="1127" t="s">
        <v>2113</v>
      </c>
      <c r="U13" s="1128" t="s">
        <v>2114</v>
      </c>
      <c r="V13" s="1128"/>
      <c r="W13" s="1128"/>
      <c r="X13" s="1127"/>
      <c r="Y13" s="1284"/>
      <c r="Z13" s="1130" t="s">
        <v>2115</v>
      </c>
      <c r="AA13" s="113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130"/>
      <c r="AC13" s="1130"/>
      <c r="AD13" s="1130"/>
    </row>
    <row customHeight="1" ht="45">
      <c r="A14" s="2877"/>
      <c r="B14" s="1183">
        <v>4</v>
      </c>
      <c r="C14" s="2884"/>
      <c r="D14" s="2884"/>
      <c r="E14" s="2884"/>
      <c r="F14" s="2884"/>
      <c r="G14" s="2884"/>
      <c r="H14" s="2876"/>
      <c r="I14" s="1185"/>
      <c r="J14" s="1185"/>
      <c r="K14" s="1185"/>
      <c r="L14" s="1185"/>
      <c r="M14" s="1131" t="str">
        <f>IF(TEMPLATE_SPHERE="HEAT",T14,U14)</f>
        <v>Причины отказа в заключении договора о подключении (технологическом присоединении) к системе теплоснабжения</v>
      </c>
      <c r="N14" s="1128"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127"/>
      <c r="P14" s="1128"/>
      <c r="Q14" s="1128"/>
      <c r="R14" s="1128"/>
      <c r="S14" s="1127"/>
      <c r="T14" s="1127" t="s">
        <v>2116</v>
      </c>
      <c r="U14" s="112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128"/>
      <c r="W14" s="1128"/>
      <c r="X14" s="1127"/>
      <c r="Y14" s="1284"/>
      <c r="Z14" s="1130" t="s">
        <v>2117</v>
      </c>
      <c r="AA14" s="1133" t="s">
        <v>2117</v>
      </c>
      <c r="AB14" s="1130"/>
      <c r="AC14" s="1130"/>
      <c r="AD14" s="1130"/>
    </row>
    <row customHeight="1" ht="108">
      <c r="A15" s="2877"/>
      <c r="B15" s="1183">
        <v>5</v>
      </c>
      <c r="C15" s="2884"/>
      <c r="D15" s="2884"/>
      <c r="E15" s="2884"/>
      <c r="F15" s="2884"/>
      <c r="G15" s="2884"/>
      <c r="H15" s="2878" t="s">
        <v>2118</v>
      </c>
      <c r="I15" s="1184"/>
      <c r="J15" s="1184"/>
      <c r="K15" s="1184"/>
      <c r="L15" s="1184"/>
      <c r="M15" s="1133" t="str">
        <f>IF(TEMPLATE_SPHERE="HEAT",T15,U15)</f>
        <v>Резерв мощности источников тепловой энергии, входящих в систему теплоснабжения, в течение одного квартала, в том числе:</v>
      </c>
      <c r="N15" s="1132"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127"/>
      <c r="P15" s="1128"/>
      <c r="Q15" s="1128"/>
      <c r="R15" s="1128"/>
      <c r="S15" s="1127"/>
      <c r="T15" s="1127" t="s">
        <v>2119</v>
      </c>
      <c r="U15" s="112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128"/>
      <c r="W15" s="1128"/>
      <c r="X15" s="1127"/>
      <c r="Y15" s="1284"/>
      <c r="Z15" s="1130" t="s">
        <v>2120</v>
      </c>
      <c r="AA15" s="113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130"/>
      <c r="AC15" s="1130"/>
      <c r="AD15" s="1130"/>
    </row>
    <row customHeight="1" ht="108">
      <c r="A16" s="1183"/>
      <c r="B16" s="1183">
        <v>6</v>
      </c>
      <c r="C16" s="2885"/>
      <c r="D16" s="2885"/>
      <c r="E16" s="2885"/>
      <c r="F16" s="2885"/>
      <c r="G16" s="2885"/>
      <c r="H16" s="2879"/>
      <c r="I16" s="1246"/>
      <c r="J16" s="1246"/>
      <c r="K16" s="1246"/>
      <c r="L16" s="1246"/>
      <c r="M16" s="1176"/>
      <c r="N16" s="1132"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127"/>
      <c r="P16" s="1128"/>
      <c r="Q16" s="1128"/>
      <c r="R16" s="1128"/>
      <c r="S16" s="1127"/>
      <c r="T16" s="1127"/>
      <c r="U16" s="1128"/>
      <c r="V16" s="1128"/>
      <c r="W16" s="1128"/>
      <c r="X16" s="1127"/>
      <c r="Y16" s="1284"/>
      <c r="Z16" s="1130" t="s">
        <v>2120</v>
      </c>
      <c r="AA16" s="113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130"/>
      <c r="AC16" s="1130"/>
      <c r="AD16" s="1130"/>
    </row>
    <row customHeight="1" ht="9">
      <c r="A17" s="1183"/>
      <c r="B17" s="1183"/>
      <c r="C17" s="1183">
        <v>22</v>
      </c>
      <c r="D17" s="1183">
        <v>21</v>
      </c>
      <c r="E17" s="1183">
        <v>42</v>
      </c>
      <c r="F17" s="1183">
        <v>63</v>
      </c>
      <c r="G17" s="1183"/>
      <c r="H17" s="1183"/>
      <c r="I17" s="1183"/>
      <c r="J17" s="1183"/>
      <c r="K17" s="1183"/>
      <c r="L17" s="1183"/>
      <c r="M17" s="1183"/>
      <c r="N17" s="1183"/>
      <c r="O17" s="1183"/>
      <c r="P17" s="1183"/>
      <c r="Q17" s="1183"/>
      <c r="R17" s="1183"/>
      <c r="S17" s="1183"/>
      <c r="T17" s="1183"/>
      <c r="U17" s="1183"/>
      <c r="V17" s="1183"/>
      <c r="W17" s="1183"/>
      <c r="X17" s="1183"/>
      <c r="Y17" s="1183"/>
      <c r="Z17" s="1183"/>
      <c r="AA17" s="1183"/>
      <c r="AB17" s="1183"/>
      <c r="AC17" s="1183"/>
      <c r="AD17" s="1183"/>
    </row>
    <row customHeight="1" ht="27">
      <c r="A18" s="1129" t="s">
        <v>1735</v>
      </c>
      <c r="B18" s="1183">
        <v>1</v>
      </c>
      <c r="C18" s="1127" t="s">
        <v>2104</v>
      </c>
      <c r="D18" s="1251" t="s">
        <v>2104</v>
      </c>
      <c r="E18" s="1127" t="s">
        <v>2104</v>
      </c>
      <c r="F18" s="1127" t="s">
        <v>2104</v>
      </c>
      <c r="G18" s="1127"/>
      <c r="H18" s="1286"/>
      <c r="I18" s="1289">
        <f>INDEX(TEMPLATE_NUMBER_POINT_FHD,B18,MATCH(TEMPLATE_SPHERE,TEMPLATE_SPHERE_LIST_FOR_NOTE,0))</f>
        <v>1</v>
      </c>
      <c r="J18" s="1289" t="str">
        <f>INDEX(TEMPLATE_DATA_POINT_FHD,B18,MATCH(TEMPLATE_SPHERE,TEMPLATE_SPHERE_LIST_FOR_NOTE,0))</f>
        <v>Выручка от регулируемого вида деятельности с распределением по видам деятельности</v>
      </c>
      <c r="K18" s="1289"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128">
        <f>IF(I18=0,"",I18)</f>
        <v>1</v>
      </c>
      <c r="M18" s="1128" t="str">
        <f>IF(J18=0,"",J18)</f>
        <v>Выручка от регулируемого вида деятельности с распределением по видам деятельности</v>
      </c>
      <c r="N18" s="1128" t="str">
        <f>IF(K18=0,"",K18)</f>
        <v>Указывается выручка от регулируемого вида деятельности с распределением по видам деятельности.</v>
      </c>
      <c r="O18" s="1241">
        <v>1</v>
      </c>
      <c r="P18" s="1241">
        <v>1</v>
      </c>
      <c r="Q18" s="1241">
        <v>1</v>
      </c>
      <c r="R18" s="1241">
        <v>1</v>
      </c>
      <c r="S18" s="1241"/>
      <c r="T18" s="1248" t="s">
        <v>2121</v>
      </c>
      <c r="U18" s="1130" t="s">
        <v>2122</v>
      </c>
      <c r="V18" s="1130" t="s">
        <v>2123</v>
      </c>
      <c r="W18" s="1130" t="s">
        <v>2124</v>
      </c>
      <c r="X18" s="1127"/>
      <c r="Y18" s="1284"/>
      <c r="Z18" s="1130" t="s">
        <v>2125</v>
      </c>
      <c r="AA18" s="1133" t="s">
        <v>2126</v>
      </c>
      <c r="AB18" s="1133" t="s">
        <v>2126</v>
      </c>
      <c r="AC18" s="1133" t="s">
        <v>2126</v>
      </c>
      <c r="AD18" s="1130"/>
    </row>
    <row customHeight="1" ht="36">
      <c r="A19" s="1129"/>
      <c r="B19" s="1183">
        <v>2</v>
      </c>
      <c r="C19" s="1127" t="s">
        <v>2108</v>
      </c>
      <c r="D19" s="1251" t="s">
        <v>2108</v>
      </c>
      <c r="E19" s="1127" t="s">
        <v>2108</v>
      </c>
      <c r="F19" s="1127" t="s">
        <v>2108</v>
      </c>
      <c r="G19" s="1127"/>
      <c r="H19" s="1286"/>
      <c r="I19" s="1289">
        <f>INDEX(TEMPLATE_NUMBER_POINT_FHD,B19,MATCH(TEMPLATE_SPHERE,TEMPLATE_SPHERE_LIST_FOR_NOTE,0))</f>
        <v>2</v>
      </c>
      <c r="J19" s="1289"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289" t="str">
        <f>INDEX(TEMPLATE_NOTE_POINT_FHD,B19,MATCH(TEMPLATE_SPHERE,TEMPLATE_SPHERE_LIST_FOR_NOTE,0))</f>
        <v>Указывается суммарная себестоимость производимых товаров.</v>
      </c>
      <c r="L19" s="1128">
        <f>IF(I19=0,"",I19)</f>
        <v>2</v>
      </c>
      <c r="M19" s="1128" t="str">
        <f>IF(J19=0,"",J19)</f>
        <v>Себестоимость производимых товаров (оказываемых услуг) по регулируемому виду деятельности, включая:</v>
      </c>
      <c r="N19" s="1128" t="str">
        <f>IF(K19=0,"",K19)</f>
        <v>Указывается суммарная себестоимость производимых товаров.</v>
      </c>
      <c r="O19" s="1241">
        <v>2</v>
      </c>
      <c r="P19" s="1241">
        <v>2</v>
      </c>
      <c r="Q19" s="1241">
        <v>2</v>
      </c>
      <c r="R19" s="1241">
        <v>2</v>
      </c>
      <c r="S19" s="1241"/>
      <c r="T19" s="1248" t="s">
        <v>2127</v>
      </c>
      <c r="U19" s="1130" t="s">
        <v>2128</v>
      </c>
      <c r="V19" s="1130" t="s">
        <v>2129</v>
      </c>
      <c r="W19" s="1130" t="s">
        <v>2130</v>
      </c>
      <c r="X19" s="1127"/>
      <c r="Y19" s="1284"/>
      <c r="Z19" s="1130" t="s">
        <v>2131</v>
      </c>
      <c r="AA19" s="1133" t="s">
        <v>2131</v>
      </c>
      <c r="AB19" s="1133" t="s">
        <v>2131</v>
      </c>
      <c r="AC19" s="1133" t="s">
        <v>2131</v>
      </c>
      <c r="AD19" s="1130"/>
    </row>
    <row customHeight="1" ht="27">
      <c r="A20" s="1129"/>
      <c r="B20" s="1183">
        <v>3</v>
      </c>
      <c r="C20" s="1127">
        <v>1</v>
      </c>
      <c r="D20" s="1251"/>
      <c r="E20" s="1127"/>
      <c r="F20" s="1127"/>
      <c r="G20" s="1127"/>
      <c r="H20" s="1286"/>
      <c r="I20" s="1289" t="str">
        <f>INDEX(TEMPLATE_NUMBER_POINT_FHD,B20,MATCH(TEMPLATE_SPHERE,TEMPLATE_SPHERE_LIST_FOR_NOTE,0))</f>
        <v>2.1</v>
      </c>
      <c r="J20" s="1289" t="str">
        <f>INDEX(TEMPLATE_DATA_POINT_FHD,B20,MATCH(TEMPLATE_SPHERE,TEMPLATE_SPHERE_LIST_FOR_NOTE,0))</f>
        <v>Расходы на приобретаемую тепловую энергию (мощность), теплоноситель</v>
      </c>
      <c r="K20" s="1289">
        <f>INDEX(TEMPLATE_NOTE_POINT_FHD,B20,MATCH(TEMPLATE_SPHERE,TEMPLATE_SPHERE_LIST_FOR_NOTE,0))</f>
        <v>0</v>
      </c>
      <c r="L20" s="1128" t="str">
        <f>IF(I20=0,"",I20)</f>
        <v>2.1</v>
      </c>
      <c r="M20" s="1128" t="str">
        <f>IF(J20=0,"",J20)</f>
        <v>Расходы на приобретаемую тепловую энергию (мощность), теплоноситель</v>
      </c>
      <c r="N20" s="1128" t="str">
        <f>IF(K20=0,"",K20)</f>
        <v/>
      </c>
      <c r="O20" s="1241" t="s">
        <v>780</v>
      </c>
      <c r="P20" s="1241" t="s">
        <v>780</v>
      </c>
      <c r="Q20" s="1241" t="s">
        <v>780</v>
      </c>
      <c r="R20" s="1241" t="s">
        <v>780</v>
      </c>
      <c r="S20" s="1241"/>
      <c r="T20" s="1248" t="s">
        <v>2132</v>
      </c>
      <c r="U20" s="1130" t="s">
        <v>2133</v>
      </c>
      <c r="V20" s="1130" t="s">
        <v>2134</v>
      </c>
      <c r="W20" s="1130" t="s">
        <v>2135</v>
      </c>
      <c r="X20" s="1127"/>
      <c r="Y20" s="1284"/>
      <c r="Z20" s="1130"/>
      <c r="AA20" s="1133"/>
      <c r="AB20" s="1130"/>
      <c r="AC20" s="1130"/>
      <c r="AD20" s="1130"/>
    </row>
    <row customHeight="1" ht="36">
      <c r="A21" s="1129"/>
      <c r="B21" s="1183">
        <v>4</v>
      </c>
      <c r="C21" s="1127">
        <v>2</v>
      </c>
      <c r="D21" s="1251"/>
      <c r="E21" s="1127"/>
      <c r="F21" s="1127"/>
      <c r="G21" s="1127"/>
      <c r="H21" s="1286"/>
      <c r="I21" s="1289" t="str">
        <f>INDEX(TEMPLATE_NUMBER_POINT_FHD,B21,MATCH(TEMPLATE_SPHERE,TEMPLATE_SPHERE_LIST_FOR_NOTE,0))</f>
        <v>2.2</v>
      </c>
      <c r="J21" s="1289"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289" t="str">
        <f>INDEX(TEMPLATE_NOTE_POINT_FHD,B21,MATCH(TEMPLATE_SPHERE,TEMPLATE_SPHERE_LIST_FOR_NOTE,0))</f>
        <v>Указываются суммарные расходы на приобретение топлива всех видов.</v>
      </c>
      <c r="L21" s="1128" t="str">
        <f>IF(I21=0,"",I21)</f>
        <v>2.2</v>
      </c>
      <c r="M21" s="1128"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128" t="str">
        <f>IF(K21=0,"",K21)</f>
        <v>Указываются суммарные расходы на приобретение топлива всех видов.</v>
      </c>
      <c r="O21" s="1241" t="s">
        <v>367</v>
      </c>
      <c r="P21" s="1241"/>
      <c r="Q21" s="1241"/>
      <c r="R21" s="1241"/>
      <c r="S21" s="1241"/>
      <c r="T21" s="1248" t="s">
        <v>2136</v>
      </c>
      <c r="U21" s="1130"/>
      <c r="V21" s="1130"/>
      <c r="W21" s="1130"/>
      <c r="X21" s="1127"/>
      <c r="Y21" s="1284"/>
      <c r="Z21" s="1130" t="s">
        <v>2137</v>
      </c>
      <c r="AA21" s="1133"/>
      <c r="AB21" s="1130"/>
      <c r="AC21" s="1130"/>
      <c r="AD21" s="1130"/>
    </row>
    <row customHeight="1" ht="36">
      <c r="A22" s="1129"/>
      <c r="B22" s="1183">
        <v>5</v>
      </c>
      <c r="C22" s="1127">
        <v>3</v>
      </c>
      <c r="D22" s="1251"/>
      <c r="E22" s="1127"/>
      <c r="F22" s="1127"/>
      <c r="G22" s="1175"/>
      <c r="H22" s="1242"/>
      <c r="I22" s="1289">
        <f>INDEX(TEMPLATE_NUMBER_POINT_FHD,B22,MATCH(TEMPLATE_SPHERE,TEMPLATE_SPHERE_LIST_FOR_NOTE,0))</f>
        <v>0</v>
      </c>
      <c r="J22" s="1289">
        <f>INDEX(TEMPLATE_DATA_POINT_FHD,B22,MATCH(TEMPLATE_SPHERE,TEMPLATE_SPHERE_LIST_FOR_NOTE,0))</f>
        <v>0</v>
      </c>
      <c r="K22" s="1289">
        <f>INDEX(TEMPLATE_NOTE_POINT_FHD,B22,MATCH(TEMPLATE_SPHERE,TEMPLATE_SPHERE_LIST_FOR_NOTE,0))</f>
        <v>0</v>
      </c>
      <c r="L22" s="1128" t="str">
        <f>IF(I22=0,"",I22)</f>
        <v/>
      </c>
      <c r="M22" s="1128" t="str">
        <f>IF(J22=0,"",J22)</f>
        <v/>
      </c>
      <c r="N22" s="1128" t="str">
        <f>IF(K22=0,"",K22)</f>
        <v/>
      </c>
      <c r="O22" s="1241"/>
      <c r="P22" s="1241"/>
      <c r="Q22" s="1241" t="s">
        <v>367</v>
      </c>
      <c r="R22" s="1241"/>
      <c r="S22" s="1241"/>
      <c r="T22" s="1248"/>
      <c r="U22" s="1130"/>
      <c r="V22" s="1130" t="s">
        <v>2138</v>
      </c>
      <c r="W22" s="1130"/>
      <c r="X22" s="1127"/>
      <c r="Y22" s="1284"/>
      <c r="Z22" s="1130"/>
      <c r="AA22" s="1133"/>
      <c r="AB22" s="1130"/>
      <c r="AC22" s="1130"/>
      <c r="AD22" s="1130"/>
    </row>
    <row customHeight="1" ht="27">
      <c r="A23" s="1129"/>
      <c r="B23" s="1183">
        <v>6</v>
      </c>
      <c r="C23" s="1127">
        <v>4</v>
      </c>
      <c r="D23" s="1251"/>
      <c r="E23" s="1127"/>
      <c r="F23" s="1127"/>
      <c r="G23" s="1175"/>
      <c r="H23" s="1242"/>
      <c r="I23" s="1289">
        <f>INDEX(TEMPLATE_NUMBER_POINT_FHD,B23,MATCH(TEMPLATE_SPHERE,TEMPLATE_SPHERE_LIST_FOR_NOTE,0))</f>
        <v>0</v>
      </c>
      <c r="J23" s="1289">
        <f>INDEX(TEMPLATE_DATA_POINT_FHD,B23,MATCH(TEMPLATE_SPHERE,TEMPLATE_SPHERE_LIST_FOR_NOTE,0))</f>
        <v>0</v>
      </c>
      <c r="K23" s="1289">
        <f>INDEX(TEMPLATE_NOTE_POINT_FHD,B23,MATCH(TEMPLATE_SPHERE,TEMPLATE_SPHERE_LIST_FOR_NOTE,0))</f>
        <v>0</v>
      </c>
      <c r="L23" s="1128" t="str">
        <f>IF(I23=0,"",I23)</f>
        <v/>
      </c>
      <c r="M23" s="1128" t="str">
        <f>IF(J23=0,"",J23)</f>
        <v/>
      </c>
      <c r="N23" s="1128" t="str">
        <f>IF(K23=0,"",K23)</f>
        <v/>
      </c>
      <c r="O23" s="1241"/>
      <c r="P23" s="1241"/>
      <c r="Q23" s="1241" t="s">
        <v>370</v>
      </c>
      <c r="R23" s="1241"/>
      <c r="S23" s="1241"/>
      <c r="T23" s="1248"/>
      <c r="U23" s="1130"/>
      <c r="V23" s="1130" t="s">
        <v>2139</v>
      </c>
      <c r="W23" s="1130"/>
      <c r="X23" s="1127"/>
      <c r="Y23" s="1284"/>
      <c r="Z23" s="1130"/>
      <c r="AA23" s="1133"/>
      <c r="AB23" s="1130"/>
      <c r="AC23" s="1130"/>
      <c r="AD23" s="1130"/>
    </row>
    <row customHeight="1" ht="36">
      <c r="A24" s="1129"/>
      <c r="B24" s="1183">
        <v>7</v>
      </c>
      <c r="C24" s="1127">
        <v>5</v>
      </c>
      <c r="D24" s="1251"/>
      <c r="E24" s="1127"/>
      <c r="F24" s="1127"/>
      <c r="G24" s="1175"/>
      <c r="H24" s="1242"/>
      <c r="I24" s="1289">
        <f>INDEX(TEMPLATE_NUMBER_POINT_FHD,B24,MATCH(TEMPLATE_SPHERE,TEMPLATE_SPHERE_LIST_FOR_NOTE,0))</f>
        <v>0</v>
      </c>
      <c r="J24" s="1289">
        <f>INDEX(TEMPLATE_DATA_POINT_FHD,B24,MATCH(TEMPLATE_SPHERE,TEMPLATE_SPHERE_LIST_FOR_NOTE,0))</f>
        <v>0</v>
      </c>
      <c r="K24" s="1289">
        <f>INDEX(TEMPLATE_NOTE_POINT_FHD,B24,MATCH(TEMPLATE_SPHERE,TEMPLATE_SPHERE_LIST_FOR_NOTE,0))</f>
        <v>0</v>
      </c>
      <c r="L24" s="1128" t="str">
        <f>IF(I24=0,"",I24)</f>
        <v/>
      </c>
      <c r="M24" s="1128" t="str">
        <f>IF(J24=0,"",J24)</f>
        <v/>
      </c>
      <c r="N24" s="1128" t="str">
        <f>IF(K24=0,"",K24)</f>
        <v/>
      </c>
      <c r="O24" s="1241"/>
      <c r="P24" s="1241"/>
      <c r="Q24" s="1241" t="s">
        <v>800</v>
      </c>
      <c r="R24" s="1241"/>
      <c r="S24" s="1241"/>
      <c r="T24" s="1248"/>
      <c r="U24" s="1130"/>
      <c r="V24" s="1130" t="s">
        <v>2140</v>
      </c>
      <c r="W24" s="1130"/>
      <c r="X24" s="1127"/>
      <c r="Y24" s="1284"/>
      <c r="Z24" s="1130"/>
      <c r="AA24" s="1133"/>
      <c r="AB24" s="1130"/>
      <c r="AC24" s="1130"/>
      <c r="AD24" s="1130"/>
    </row>
    <row customHeight="1" ht="36">
      <c r="A25" s="1129"/>
      <c r="B25" s="1183">
        <v>8</v>
      </c>
      <c r="C25" s="1127">
        <v>6</v>
      </c>
      <c r="D25" s="1251"/>
      <c r="E25" s="1127"/>
      <c r="F25" s="1127"/>
      <c r="G25" s="1175"/>
      <c r="H25" s="1242"/>
      <c r="I25" s="1289" t="str">
        <f>INDEX(TEMPLATE_NUMBER_POINT_FHD,B25,MATCH(TEMPLATE_SPHERE,TEMPLATE_SPHERE_LIST_FOR_NOTE,0))</f>
        <v>2.3</v>
      </c>
      <c r="J25" s="1289"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289">
        <f>INDEX(TEMPLATE_NOTE_POINT_FHD,B25,MATCH(TEMPLATE_SPHERE,TEMPLATE_SPHERE_LIST_FOR_NOTE,0))</f>
        <v>0</v>
      </c>
      <c r="L25" s="1128" t="str">
        <f>IF(I25=0,"",I25)</f>
        <v>2.3</v>
      </c>
      <c r="M25" s="1128" t="str">
        <f>IF(J25=0,"",J25)</f>
        <v>Расходы на приобретаемую электрическую энергию (мощность), используемую в технологическом процессе</v>
      </c>
      <c r="N25" s="1128" t="str">
        <f>IF(K25=0,"",K25)</f>
        <v/>
      </c>
      <c r="O25" s="1241" t="s">
        <v>370</v>
      </c>
      <c r="P25" s="1241" t="s">
        <v>367</v>
      </c>
      <c r="Q25" s="1241" t="s">
        <v>807</v>
      </c>
      <c r="R25" s="1241" t="s">
        <v>367</v>
      </c>
      <c r="S25" s="1241"/>
      <c r="T25" s="1248" t="s">
        <v>2141</v>
      </c>
      <c r="U25" s="1130" t="s">
        <v>2141</v>
      </c>
      <c r="V25" s="1130" t="s">
        <v>2141</v>
      </c>
      <c r="W25" s="1130" t="s">
        <v>2141</v>
      </c>
      <c r="X25" s="1127"/>
      <c r="Y25" s="1284"/>
      <c r="Z25" s="1130"/>
      <c r="AA25" s="1133"/>
      <c r="AB25" s="1130"/>
      <c r="AC25" s="1130"/>
      <c r="AD25" s="1130"/>
    </row>
    <row customHeight="1" ht="18">
      <c r="A26" s="1129"/>
      <c r="B26" s="1183">
        <v>9</v>
      </c>
      <c r="C26" s="1127" t="s">
        <v>724</v>
      </c>
      <c r="D26" s="1251"/>
      <c r="E26" s="1127"/>
      <c r="F26" s="1127"/>
      <c r="G26" s="1175"/>
      <c r="H26" s="1242"/>
      <c r="I26" s="1289" t="str">
        <f>INDEX(TEMPLATE_NUMBER_POINT_FHD,B26,MATCH(TEMPLATE_SPHERE,TEMPLATE_SPHERE_LIST_FOR_NOTE,0))</f>
        <v>2.3.1</v>
      </c>
      <c r="J26" s="1289" t="str">
        <f>INDEX(TEMPLATE_DATA_POINT_FHD,B26,MATCH(TEMPLATE_SPHERE,TEMPLATE_SPHERE_LIST_FOR_NOTE,0))</f>
        <v>Средневзвешенная стоимость 1 кВт.ч (с учетом мощности)</v>
      </c>
      <c r="K26" s="1289">
        <f>INDEX(TEMPLATE_NOTE_POINT_FHD,B26,MATCH(TEMPLATE_SPHERE,TEMPLATE_SPHERE_LIST_FOR_NOTE,0))</f>
        <v>0</v>
      </c>
      <c r="L26" s="1128" t="str">
        <f>IF(I26=0,"",I26)</f>
        <v>2.3.1</v>
      </c>
      <c r="M26" s="1128" t="str">
        <f>IF(J26=0,"",J26)</f>
        <v>Средневзвешенная стоимость 1 кВт.ч (с учетом мощности)</v>
      </c>
      <c r="N26" s="1128" t="str">
        <f>IF(K26=0,"",K26)</f>
        <v/>
      </c>
      <c r="O26" s="1241" t="s">
        <v>796</v>
      </c>
      <c r="P26" s="1241" t="s">
        <v>790</v>
      </c>
      <c r="Q26" s="1241" t="s">
        <v>2142</v>
      </c>
      <c r="R26" s="1241" t="s">
        <v>790</v>
      </c>
      <c r="S26" s="1241"/>
      <c r="T26" s="1248" t="str">
        <f>"Средневзвешенная стоимость 1 кВт.ч"&amp;IF(TITLE_TYPE_ORG="Регулируемая организация"," (с учетом мощности)","")</f>
        <v>Средневзвешенная стоимость 1 кВт.ч (с учетом мощности)</v>
      </c>
      <c r="U26" s="1248" t="s">
        <v>2143</v>
      </c>
      <c r="V26" s="1248" t="s">
        <v>2143</v>
      </c>
      <c r="W26" s="1248" t="s">
        <v>2143</v>
      </c>
      <c r="X26" s="1127"/>
      <c r="Y26" s="1284"/>
      <c r="Z26" s="1130"/>
      <c r="AA26" s="1133"/>
      <c r="AB26" s="1130"/>
      <c r="AC26" s="1130"/>
      <c r="AD26" s="1130"/>
    </row>
    <row customHeight="1" ht="18">
      <c r="A27" s="1129"/>
      <c r="B27" s="1183">
        <v>10</v>
      </c>
      <c r="C27" s="1127" t="s">
        <v>728</v>
      </c>
      <c r="D27" s="1251"/>
      <c r="E27" s="1127"/>
      <c r="F27" s="1127"/>
      <c r="G27" s="1175"/>
      <c r="H27" s="1242"/>
      <c r="I27" s="1289" t="str">
        <f>INDEX(TEMPLATE_NUMBER_POINT_FHD,B27,MATCH(TEMPLATE_SPHERE,TEMPLATE_SPHERE_LIST_FOR_NOTE,0))</f>
        <v>2.3.2</v>
      </c>
      <c r="J27" s="1289" t="str">
        <f>INDEX(TEMPLATE_DATA_POINT_FHD,B27,MATCH(TEMPLATE_SPHERE,TEMPLATE_SPHERE_LIST_FOR_NOTE,0))</f>
        <v>Объём приобретения электрической энергии</v>
      </c>
      <c r="K27" s="1289">
        <f>INDEX(TEMPLATE_NOTE_POINT_FHD,B27,MATCH(TEMPLATE_SPHERE,TEMPLATE_SPHERE_LIST_FOR_NOTE,0))</f>
        <v>0</v>
      </c>
      <c r="L27" s="1128" t="str">
        <f>IF(I27=0,"",I27)</f>
        <v>2.3.2</v>
      </c>
      <c r="M27" s="1128" t="str">
        <f>IF(J27=0,"",J27)</f>
        <v>Объём приобретения электрической энергии</v>
      </c>
      <c r="N27" s="1128" t="str">
        <f>IF(K27=0,"",K27)</f>
        <v/>
      </c>
      <c r="O27" s="1241" t="s">
        <v>798</v>
      </c>
      <c r="P27" s="1241" t="s">
        <v>792</v>
      </c>
      <c r="Q27" s="1241" t="s">
        <v>2144</v>
      </c>
      <c r="R27" s="1241" t="s">
        <v>792</v>
      </c>
      <c r="S27" s="1241"/>
      <c r="T27" s="1248" t="s">
        <v>2145</v>
      </c>
      <c r="U27" s="1248" t="s">
        <v>2145</v>
      </c>
      <c r="V27" s="1248" t="s">
        <v>2145</v>
      </c>
      <c r="W27" s="1248" t="s">
        <v>2145</v>
      </c>
      <c r="X27" s="1127"/>
      <c r="Y27" s="1284"/>
      <c r="Z27" s="1130"/>
      <c r="AA27" s="1133"/>
      <c r="AB27" s="1130"/>
      <c r="AC27" s="1130"/>
      <c r="AD27" s="1130"/>
    </row>
    <row customHeight="1" ht="27">
      <c r="A28" s="1129"/>
      <c r="B28" s="1183">
        <v>11</v>
      </c>
      <c r="C28" s="1127">
        <v>7</v>
      </c>
      <c r="D28" s="1251"/>
      <c r="E28" s="1127"/>
      <c r="F28" s="1127"/>
      <c r="G28" s="1175"/>
      <c r="H28" s="1242"/>
      <c r="I28" s="1289" t="str">
        <f>INDEX(TEMPLATE_NUMBER_POINT_FHD,B28,MATCH(TEMPLATE_SPHERE,TEMPLATE_SPHERE_LIST_FOR_NOTE,0))</f>
        <v>2.4</v>
      </c>
      <c r="J28" s="1289" t="str">
        <f>INDEX(TEMPLATE_DATA_POINT_FHD,B28,MATCH(TEMPLATE_SPHERE,TEMPLATE_SPHERE_LIST_FOR_NOTE,0))</f>
        <v>Расходы на приобретение холодной воды, используемой в технологическом процессе</v>
      </c>
      <c r="K28" s="1289">
        <f>INDEX(TEMPLATE_NOTE_POINT_FHD,B28,MATCH(TEMPLATE_SPHERE,TEMPLATE_SPHERE_LIST_FOR_NOTE,0))</f>
        <v>0</v>
      </c>
      <c r="L28" s="1128" t="str">
        <f>IF(I28=0,"",I28)</f>
        <v>2.4</v>
      </c>
      <c r="M28" s="1128" t="str">
        <f>IF(J28=0,"",J28)</f>
        <v>Расходы на приобретение холодной воды, используемой в технологическом процессе</v>
      </c>
      <c r="N28" s="1128" t="str">
        <f>IF(K28=0,"",K28)</f>
        <v/>
      </c>
      <c r="O28" s="1241" t="s">
        <v>800</v>
      </c>
      <c r="P28" s="1241"/>
      <c r="Q28" s="1241"/>
      <c r="R28" s="1241"/>
      <c r="S28" s="1241"/>
      <c r="T28" s="1248" t="s">
        <v>2146</v>
      </c>
      <c r="U28" s="1130"/>
      <c r="V28" s="1130"/>
      <c r="W28" s="1130"/>
      <c r="X28" s="1127"/>
      <c r="Y28" s="1284"/>
      <c r="Z28" s="1130"/>
      <c r="AA28" s="1133"/>
      <c r="AB28" s="1130"/>
      <c r="AC28" s="1130"/>
      <c r="AD28" s="1130"/>
    </row>
    <row customHeight="1" ht="27">
      <c r="A29" s="1129"/>
      <c r="B29" s="1183">
        <v>12</v>
      </c>
      <c r="C29" s="1127">
        <v>8</v>
      </c>
      <c r="D29" s="1251"/>
      <c r="E29" s="1127"/>
      <c r="F29" s="1127"/>
      <c r="G29" s="1175"/>
      <c r="H29" s="1242"/>
      <c r="I29" s="1289" t="str">
        <f>INDEX(TEMPLATE_NUMBER_POINT_FHD,B29,MATCH(TEMPLATE_SPHERE,TEMPLATE_SPHERE_LIST_FOR_NOTE,0))</f>
        <v>2.5</v>
      </c>
      <c r="J29" s="1289" t="str">
        <f>INDEX(TEMPLATE_DATA_POINT_FHD,B29,MATCH(TEMPLATE_SPHERE,TEMPLATE_SPHERE_LIST_FOR_NOTE,0))</f>
        <v>Расходы на  химические реагенты, используемые в технологическом процессе</v>
      </c>
      <c r="K29" s="1289">
        <f>INDEX(TEMPLATE_NOTE_POINT_FHD,B29,MATCH(TEMPLATE_SPHERE,TEMPLATE_SPHERE_LIST_FOR_NOTE,0))</f>
        <v>0</v>
      </c>
      <c r="L29" s="1128" t="str">
        <f>IF(I29=0,"",I29)</f>
        <v>2.5</v>
      </c>
      <c r="M29" s="1128" t="str">
        <f>IF(J29=0,"",J29)</f>
        <v>Расходы на  химические реагенты, используемые в технологическом процессе</v>
      </c>
      <c r="N29" s="1128" t="str">
        <f>IF(K29=0,"",K29)</f>
        <v/>
      </c>
      <c r="O29" s="1241" t="s">
        <v>807</v>
      </c>
      <c r="P29" s="1241" t="s">
        <v>370</v>
      </c>
      <c r="Q29" s="1241"/>
      <c r="R29" s="1241" t="s">
        <v>370</v>
      </c>
      <c r="S29" s="1241"/>
      <c r="T29" s="124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1130" t="s">
        <v>2147</v>
      </c>
      <c r="V29" s="1130"/>
      <c r="W29" s="1130" t="s">
        <v>2147</v>
      </c>
      <c r="X29" s="1127"/>
      <c r="Y29" s="1284"/>
      <c r="Z29" s="1130"/>
      <c r="AA29" s="1133"/>
      <c r="AB29" s="1130"/>
      <c r="AC29" s="1130"/>
      <c r="AD29" s="1130"/>
    </row>
    <row customHeight="1" ht="54">
      <c r="A30" s="1129"/>
      <c r="B30" s="1183">
        <v>13</v>
      </c>
      <c r="C30" s="1127">
        <v>9</v>
      </c>
      <c r="D30" s="1251"/>
      <c r="E30" s="1127"/>
      <c r="F30" s="1127"/>
      <c r="G30" s="1175"/>
      <c r="H30" s="1242"/>
      <c r="I30" s="1289" t="str">
        <f>INDEX(TEMPLATE_NUMBER_POINT_FHD,B30,MATCH(TEMPLATE_SPHERE,TEMPLATE_SPHERE_LIST_FOR_NOTE,0))</f>
        <v>2.6</v>
      </c>
      <c r="J30" s="1289"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289">
        <f>INDEX(TEMPLATE_NOTE_POINT_FHD,B30,MATCH(TEMPLATE_SPHERE,TEMPLATE_SPHERE_LIST_FOR_NOTE,0))</f>
        <v>0</v>
      </c>
      <c r="L30" s="1128" t="str">
        <f>IF(I30=0,"",I30)</f>
        <v>2.6</v>
      </c>
      <c r="M30" s="1128"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128" t="str">
        <f>IF(K30=0,"",K30)</f>
        <v/>
      </c>
      <c r="O30" s="1241" t="s">
        <v>809</v>
      </c>
      <c r="P30" s="1241" t="s">
        <v>800</v>
      </c>
      <c r="Q30" s="1241" t="s">
        <v>809</v>
      </c>
      <c r="R30" s="1241" t="s">
        <v>800</v>
      </c>
      <c r="S30" s="1241"/>
      <c r="T30" s="1248" t="s">
        <v>2148</v>
      </c>
      <c r="U30" s="1130" t="s">
        <v>2148</v>
      </c>
      <c r="V30" s="1130" t="s">
        <v>2148</v>
      </c>
      <c r="W30" s="1130" t="s">
        <v>2148</v>
      </c>
      <c r="X30" s="1127"/>
      <c r="Y30" s="1284"/>
      <c r="Z30" s="1130"/>
      <c r="AA30" s="1133" t="s">
        <v>2149</v>
      </c>
      <c r="AB30" s="1133" t="s">
        <v>2149</v>
      </c>
      <c r="AC30" s="1133" t="s">
        <v>2149</v>
      </c>
      <c r="AD30" s="1130"/>
    </row>
    <row customHeight="1" ht="18">
      <c r="A31" s="1129"/>
      <c r="B31" s="1183">
        <v>14</v>
      </c>
      <c r="C31" s="1127" t="s">
        <v>2150</v>
      </c>
      <c r="D31" s="1251"/>
      <c r="E31" s="1127"/>
      <c r="F31" s="1127"/>
      <c r="G31" s="1175"/>
      <c r="H31" s="1242"/>
      <c r="I31" s="1289" t="str">
        <f>INDEX(TEMPLATE_NUMBER_POINT_FHD,B31,MATCH(TEMPLATE_SPHERE,TEMPLATE_SPHERE_LIST_FOR_NOTE,0))</f>
        <v>2.6.1</v>
      </c>
      <c r="J31" s="1289" t="str">
        <f>INDEX(TEMPLATE_DATA_POINT_FHD,B31,MATCH(TEMPLATE_SPHERE,TEMPLATE_SPHERE_LIST_FOR_NOTE,0))</f>
        <v>Расходы на оплату труда основного производственного персонала</v>
      </c>
      <c r="K31" s="1289">
        <f>INDEX(TEMPLATE_NOTE_POINT_FHD,B31,MATCH(TEMPLATE_SPHERE,TEMPLATE_SPHERE_LIST_FOR_NOTE,0))</f>
        <v>0</v>
      </c>
      <c r="L31" s="1128" t="str">
        <f>IF(I31=0,"",I31)</f>
        <v>2.6.1</v>
      </c>
      <c r="M31" s="1128" t="str">
        <f>IF(J31=0,"",J31)</f>
        <v>Расходы на оплату труда основного производственного персонала</v>
      </c>
      <c r="N31" s="1128" t="str">
        <f>IF(K31=0,"",K31)</f>
        <v/>
      </c>
      <c r="O31" s="1241" t="s">
        <v>2151</v>
      </c>
      <c r="P31" s="1241" t="s">
        <v>803</v>
      </c>
      <c r="Q31" s="1241" t="s">
        <v>2151</v>
      </c>
      <c r="R31" s="1241" t="s">
        <v>803</v>
      </c>
      <c r="S31" s="1241"/>
      <c r="T31" s="1249" t="s">
        <v>2152</v>
      </c>
      <c r="U31" s="1130" t="s">
        <v>2152</v>
      </c>
      <c r="V31" s="1130" t="s">
        <v>2152</v>
      </c>
      <c r="W31" s="1130" t="s">
        <v>2152</v>
      </c>
      <c r="X31" s="1127"/>
      <c r="Y31" s="1284"/>
      <c r="Z31" s="1130"/>
      <c r="AA31" s="1133"/>
      <c r="AB31" s="1133"/>
      <c r="AC31" s="1133"/>
      <c r="AD31" s="1130"/>
    </row>
    <row customHeight="1" ht="36">
      <c r="A32" s="1129"/>
      <c r="B32" s="1183">
        <v>15</v>
      </c>
      <c r="C32" s="1127" t="s">
        <v>2153</v>
      </c>
      <c r="D32" s="1251"/>
      <c r="E32" s="1127"/>
      <c r="F32" s="1127"/>
      <c r="G32" s="1175"/>
      <c r="H32" s="1242"/>
      <c r="I32" s="1289" t="str">
        <f>INDEX(TEMPLATE_NUMBER_POINT_FHD,B32,MATCH(TEMPLATE_SPHERE,TEMPLATE_SPHERE_LIST_FOR_NOTE,0))</f>
        <v>2.6.2</v>
      </c>
      <c r="J32" s="1289"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289">
        <f>INDEX(TEMPLATE_NOTE_POINT_FHD,B32,MATCH(TEMPLATE_SPHERE,TEMPLATE_SPHERE_LIST_FOR_NOTE,0))</f>
        <v>0</v>
      </c>
      <c r="L32" s="1128" t="str">
        <f>IF(I32=0,"",I32)</f>
        <v>2.6.2</v>
      </c>
      <c r="M32" s="1128" t="str">
        <f>IF(J32=0,"",J32)</f>
        <v>Страховые взносы на обязательное социальное страхование, выплачиваемые из фонда оплаты труда основного производственного персонала</v>
      </c>
      <c r="N32" s="1128" t="str">
        <f>IF(K32=0,"",K32)</f>
        <v/>
      </c>
      <c r="O32" s="1241" t="s">
        <v>2154</v>
      </c>
      <c r="P32" s="1241" t="s">
        <v>805</v>
      </c>
      <c r="Q32" s="1241" t="s">
        <v>2154</v>
      </c>
      <c r="R32" s="1241" t="s">
        <v>805</v>
      </c>
      <c r="S32" s="1241"/>
      <c r="T32" s="125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1130" t="s">
        <v>2155</v>
      </c>
      <c r="V32" s="1130" t="s">
        <v>2155</v>
      </c>
      <c r="W32" s="1130" t="s">
        <v>2155</v>
      </c>
      <c r="X32" s="1127"/>
      <c r="Y32" s="1284"/>
      <c r="Z32" s="1130"/>
      <c r="AA32" s="1133"/>
      <c r="AB32" s="1133"/>
      <c r="AC32" s="1133"/>
      <c r="AD32" s="1130"/>
    </row>
    <row customHeight="1" ht="45">
      <c r="A33" s="1129"/>
      <c r="B33" s="1183">
        <v>16</v>
      </c>
      <c r="C33" s="1127">
        <v>10</v>
      </c>
      <c r="D33" s="1251"/>
      <c r="E33" s="1127"/>
      <c r="F33" s="1127"/>
      <c r="G33" s="1175"/>
      <c r="H33" s="1242"/>
      <c r="I33" s="1289" t="str">
        <f>INDEX(TEMPLATE_NUMBER_POINT_FHD,B33,MATCH(TEMPLATE_SPHERE,TEMPLATE_SPHERE_LIST_FOR_NOTE,0))</f>
        <v>2.7</v>
      </c>
      <c r="J33" s="1289"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289">
        <f>INDEX(TEMPLATE_NOTE_POINT_FHD,B33,MATCH(TEMPLATE_SPHERE,TEMPLATE_SPHERE_LIST_FOR_NOTE,0))</f>
        <v>0</v>
      </c>
      <c r="L33" s="1128" t="str">
        <f>IF(I33=0,"",I33)</f>
        <v>2.7</v>
      </c>
      <c r="M33" s="1128"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128" t="str">
        <f>IF(K33=0,"",K33)</f>
        <v/>
      </c>
      <c r="O33" s="1241" t="s">
        <v>811</v>
      </c>
      <c r="P33" s="1241" t="s">
        <v>807</v>
      </c>
      <c r="Q33" s="1241" t="s">
        <v>811</v>
      </c>
      <c r="R33" s="1241" t="s">
        <v>807</v>
      </c>
      <c r="S33" s="1241"/>
      <c r="T33" s="124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1130" t="s">
        <v>2156</v>
      </c>
      <c r="V33" s="1130" t="s">
        <v>2156</v>
      </c>
      <c r="W33" s="1130" t="s">
        <v>2157</v>
      </c>
      <c r="X33" s="1127"/>
      <c r="Y33" s="1284"/>
      <c r="Z33" s="1130"/>
      <c r="AA33" s="1133" t="s">
        <v>2158</v>
      </c>
      <c r="AB33" s="1133" t="s">
        <v>2158</v>
      </c>
      <c r="AC33" s="1133" t="s">
        <v>2158</v>
      </c>
      <c r="AD33" s="1130"/>
    </row>
    <row customHeight="1" ht="27">
      <c r="A34" s="1129"/>
      <c r="B34" s="1183">
        <v>17</v>
      </c>
      <c r="C34" s="1127" t="s">
        <v>2159</v>
      </c>
      <c r="D34" s="1251"/>
      <c r="E34" s="1127"/>
      <c r="F34" s="1127"/>
      <c r="G34" s="1175"/>
      <c r="H34" s="1242"/>
      <c r="I34" s="1289" t="str">
        <f>INDEX(TEMPLATE_NUMBER_POINT_FHD,B34,MATCH(TEMPLATE_SPHERE,TEMPLATE_SPHERE_LIST_FOR_NOTE,0))</f>
        <v>2.7.1</v>
      </c>
      <c r="J34" s="1289" t="str">
        <f>INDEX(TEMPLATE_DATA_POINT_FHD,B34,MATCH(TEMPLATE_SPHERE,TEMPLATE_SPHERE_LIST_FOR_NOTE,0))</f>
        <v>Расходы на оплату труда административно-управленческого персонала</v>
      </c>
      <c r="K34" s="1289">
        <f>INDEX(TEMPLATE_NOTE_POINT_FHD,B34,MATCH(TEMPLATE_SPHERE,TEMPLATE_SPHERE_LIST_FOR_NOTE,0))</f>
        <v>0</v>
      </c>
      <c r="L34" s="1128" t="str">
        <f>IF(I34=0,"",I34)</f>
        <v>2.7.1</v>
      </c>
      <c r="M34" s="1128" t="str">
        <f>IF(J34=0,"",J34)</f>
        <v>Расходы на оплату труда административно-управленческого персонала</v>
      </c>
      <c r="N34" s="1128" t="str">
        <f>IF(K34=0,"",K34)</f>
        <v/>
      </c>
      <c r="O34" s="1241" t="s">
        <v>2160</v>
      </c>
      <c r="P34" s="1241" t="s">
        <v>2142</v>
      </c>
      <c r="Q34" s="1241" t="s">
        <v>2160</v>
      </c>
      <c r="R34" s="1241" t="s">
        <v>2142</v>
      </c>
      <c r="S34" s="1241"/>
      <c r="T34" s="1250" t="s">
        <v>2161</v>
      </c>
      <c r="U34" s="1130" t="s">
        <v>2161</v>
      </c>
      <c r="V34" s="1130" t="s">
        <v>2161</v>
      </c>
      <c r="W34" s="1130" t="s">
        <v>2162</v>
      </c>
      <c r="X34" s="1127"/>
      <c r="Y34" s="1284"/>
      <c r="Z34" s="1130"/>
      <c r="AA34" s="1133"/>
      <c r="AB34" s="1130"/>
      <c r="AC34" s="1130"/>
      <c r="AD34" s="1130"/>
    </row>
    <row customHeight="1" ht="45">
      <c r="A35" s="1129"/>
      <c r="B35" s="1183">
        <v>18</v>
      </c>
      <c r="C35" s="1127" t="s">
        <v>2163</v>
      </c>
      <c r="D35" s="1251"/>
      <c r="E35" s="1127"/>
      <c r="F35" s="1127"/>
      <c r="G35" s="1175"/>
      <c r="H35" s="1242"/>
      <c r="I35" s="1289" t="str">
        <f>INDEX(TEMPLATE_NUMBER_POINT_FHD,B35,MATCH(TEMPLATE_SPHERE,TEMPLATE_SPHERE_LIST_FOR_NOTE,0))</f>
        <v>2.7.2</v>
      </c>
      <c r="J35" s="1289"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289">
        <f>INDEX(TEMPLATE_NOTE_POINT_FHD,B35,MATCH(TEMPLATE_SPHERE,TEMPLATE_SPHERE_LIST_FOR_NOTE,0))</f>
        <v>0</v>
      </c>
      <c r="L35" s="1128" t="str">
        <f>IF(I35=0,"",I35)</f>
        <v>2.7.2</v>
      </c>
      <c r="M35" s="1128"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128" t="str">
        <f>IF(K35=0,"",K35)</f>
        <v/>
      </c>
      <c r="O35" s="1241" t="s">
        <v>2164</v>
      </c>
      <c r="P35" s="1241" t="s">
        <v>2144</v>
      </c>
      <c r="Q35" s="1241" t="s">
        <v>2164</v>
      </c>
      <c r="R35" s="1241" t="s">
        <v>2144</v>
      </c>
      <c r="S35" s="1241"/>
      <c r="T35" s="124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1130" t="s">
        <v>2165</v>
      </c>
      <c r="V35" s="1130" t="s">
        <v>2165</v>
      </c>
      <c r="W35" s="1130" t="s">
        <v>2165</v>
      </c>
      <c r="X35" s="1127"/>
      <c r="Y35" s="1284"/>
      <c r="Z35" s="1130"/>
      <c r="AA35" s="1133"/>
      <c r="AB35" s="1130"/>
      <c r="AC35" s="1130"/>
      <c r="AD35" s="1130"/>
    </row>
    <row customHeight="1" ht="18">
      <c r="A36" s="1129"/>
      <c r="B36" s="1183">
        <v>19</v>
      </c>
      <c r="C36" s="1127">
        <v>11</v>
      </c>
      <c r="D36" s="1251"/>
      <c r="E36" s="1127"/>
      <c r="F36" s="1127"/>
      <c r="G36" s="1175"/>
      <c r="H36" s="1242"/>
      <c r="I36" s="1289" t="str">
        <f>INDEX(TEMPLATE_NUMBER_POINT_FHD,B36,MATCH(TEMPLATE_SPHERE,TEMPLATE_SPHERE_LIST_FOR_NOTE,0))</f>
        <v>2.8</v>
      </c>
      <c r="J36" s="1289" t="str">
        <f>INDEX(TEMPLATE_DATA_POINT_FHD,B36,MATCH(TEMPLATE_SPHERE,TEMPLATE_SPHERE_LIST_FOR_NOTE,0))</f>
        <v>Расходы на амортизацию основных средств и нематериальных активов</v>
      </c>
      <c r="K36" s="1289">
        <f>INDEX(TEMPLATE_NOTE_POINT_FHD,B36,MATCH(TEMPLATE_SPHERE,TEMPLATE_SPHERE_LIST_FOR_NOTE,0))</f>
        <v>0</v>
      </c>
      <c r="L36" s="1128" t="str">
        <f>IF(I36=0,"",I36)</f>
        <v>2.8</v>
      </c>
      <c r="M36" s="1128" t="str">
        <f>IF(J36=0,"",J36)</f>
        <v>Расходы на амортизацию основных средств и нематериальных активов</v>
      </c>
      <c r="N36" s="1128" t="str">
        <f>IF(K36=0,"",K36)</f>
        <v/>
      </c>
      <c r="O36" s="1241" t="s">
        <v>813</v>
      </c>
      <c r="P36" s="1241" t="s">
        <v>809</v>
      </c>
      <c r="Q36" s="1241" t="s">
        <v>813</v>
      </c>
      <c r="R36" s="1241" t="s">
        <v>809</v>
      </c>
      <c r="S36" s="1241"/>
      <c r="T36" s="1248" t="s">
        <v>2166</v>
      </c>
      <c r="U36" s="1130" t="s">
        <v>2166</v>
      </c>
      <c r="V36" s="1130" t="s">
        <v>2166</v>
      </c>
      <c r="W36" s="1130" t="s">
        <v>2166</v>
      </c>
      <c r="X36" s="1127"/>
      <c r="Y36" s="1284"/>
      <c r="Z36" s="1130"/>
      <c r="AA36" s="1133"/>
      <c r="AB36" s="1130"/>
      <c r="AC36" s="1130"/>
      <c r="AD36" s="1130"/>
    </row>
    <row customHeight="1" ht="18">
      <c r="A37" s="1129"/>
      <c r="B37" s="1183">
        <v>20</v>
      </c>
      <c r="C37" s="1127" t="s">
        <v>2167</v>
      </c>
      <c r="D37" s="1251"/>
      <c r="E37" s="1127"/>
      <c r="F37" s="1127"/>
      <c r="G37" s="1175"/>
      <c r="H37" s="1242"/>
      <c r="I37" s="1289" t="str">
        <f>INDEX(TEMPLATE_NUMBER_POINT_FHD,B37,MATCH(TEMPLATE_SPHERE,TEMPLATE_SPHERE_LIST_FOR_NOTE,0))</f>
        <v>2.8.1</v>
      </c>
      <c r="J37" s="1289" t="str">
        <f>INDEX(TEMPLATE_DATA_POINT_FHD,B37,MATCH(TEMPLATE_SPHERE,TEMPLATE_SPHERE_LIST_FOR_NOTE,0))</f>
        <v>Расходы на амортизацию основных средств</v>
      </c>
      <c r="K37" s="1289">
        <f>INDEX(TEMPLATE_NOTE_POINT_FHD,B37,MATCH(TEMPLATE_SPHERE,TEMPLATE_SPHERE_LIST_FOR_NOTE,0))</f>
        <v>0</v>
      </c>
      <c r="L37" s="1128" t="str">
        <f>IF(I37=0,"",I37)</f>
        <v>2.8.1</v>
      </c>
      <c r="M37" s="1128" t="str">
        <f>IF(J37=0,"",J37)</f>
        <v>Расходы на амортизацию основных средств</v>
      </c>
      <c r="N37" s="1128" t="str">
        <f>IF(K37=0,"",K37)</f>
        <v/>
      </c>
      <c r="O37" s="1241" t="s">
        <v>2168</v>
      </c>
      <c r="P37" s="1241" t="s">
        <v>2151</v>
      </c>
      <c r="Q37" s="1241" t="s">
        <v>2168</v>
      </c>
      <c r="R37" s="1241" t="s">
        <v>2151</v>
      </c>
      <c r="S37" s="1241"/>
      <c r="T37" s="1248" t="s">
        <v>2169</v>
      </c>
      <c r="U37" s="1130" t="s">
        <v>2169</v>
      </c>
      <c r="V37" s="1130" t="s">
        <v>2169</v>
      </c>
      <c r="W37" s="1130" t="s">
        <v>2169</v>
      </c>
      <c r="X37" s="1127"/>
      <c r="Y37" s="1284"/>
      <c r="Z37" s="1130"/>
      <c r="AA37" s="1133"/>
      <c r="AB37" s="1130"/>
      <c r="AC37" s="1130"/>
      <c r="AD37" s="1130"/>
    </row>
    <row customHeight="1" ht="18">
      <c r="A38" s="1129"/>
      <c r="B38" s="1183">
        <v>21</v>
      </c>
      <c r="C38" s="1127" t="s">
        <v>2170</v>
      </c>
      <c r="D38" s="1251"/>
      <c r="E38" s="1127"/>
      <c r="F38" s="1127"/>
      <c r="G38" s="1175"/>
      <c r="H38" s="1242"/>
      <c r="I38" s="1289" t="str">
        <f>INDEX(TEMPLATE_NUMBER_POINT_FHD,B38,MATCH(TEMPLATE_SPHERE,TEMPLATE_SPHERE_LIST_FOR_NOTE,0))</f>
        <v>2.8.2</v>
      </c>
      <c r="J38" s="1289" t="str">
        <f>INDEX(TEMPLATE_DATA_POINT_FHD,B38,MATCH(TEMPLATE_SPHERE,TEMPLATE_SPHERE_LIST_FOR_NOTE,0))</f>
        <v>Расходы на амортизацию нематериальных активов</v>
      </c>
      <c r="K38" s="1289">
        <f>INDEX(TEMPLATE_NOTE_POINT_FHD,B38,MATCH(TEMPLATE_SPHERE,TEMPLATE_SPHERE_LIST_FOR_NOTE,0))</f>
        <v>0</v>
      </c>
      <c r="L38" s="1128" t="str">
        <f>IF(I38=0,"",I38)</f>
        <v>2.8.2</v>
      </c>
      <c r="M38" s="1128" t="str">
        <f>IF(J38=0,"",J38)</f>
        <v>Расходы на амортизацию нематериальных активов</v>
      </c>
      <c r="N38" s="1128" t="str">
        <f>IF(K38=0,"",K38)</f>
        <v/>
      </c>
      <c r="O38" s="1241" t="s">
        <v>2171</v>
      </c>
      <c r="P38" s="1241" t="s">
        <v>2154</v>
      </c>
      <c r="Q38" s="1241" t="s">
        <v>2171</v>
      </c>
      <c r="R38" s="1241" t="s">
        <v>2154</v>
      </c>
      <c r="S38" s="1241"/>
      <c r="T38" s="1248" t="s">
        <v>2172</v>
      </c>
      <c r="U38" s="1130" t="s">
        <v>2172</v>
      </c>
      <c r="V38" s="1130" t="s">
        <v>2172</v>
      </c>
      <c r="W38" s="1130" t="s">
        <v>2172</v>
      </c>
      <c r="X38" s="1127"/>
      <c r="Y38" s="1284"/>
      <c r="Z38" s="1130"/>
      <c r="AA38" s="1133"/>
      <c r="AB38" s="1130"/>
      <c r="AC38" s="1130"/>
      <c r="AD38" s="1130"/>
    </row>
    <row customHeight="1" ht="36">
      <c r="A39" s="1129"/>
      <c r="B39" s="1183">
        <v>22</v>
      </c>
      <c r="C39" s="1127">
        <v>12</v>
      </c>
      <c r="D39" s="1251"/>
      <c r="E39" s="1127"/>
      <c r="F39" s="1127"/>
      <c r="G39" s="1175"/>
      <c r="H39" s="1242"/>
      <c r="I39" s="1289" t="str">
        <f>INDEX(TEMPLATE_NUMBER_POINT_FHD,B39,MATCH(TEMPLATE_SPHERE,TEMPLATE_SPHERE_LIST_FOR_NOTE,0))</f>
        <v>2.9</v>
      </c>
      <c r="J39" s="1289" t="str">
        <f>INDEX(TEMPLATE_DATA_POINT_FHD,B39,MATCH(TEMPLATE_SPHERE,TEMPLATE_SPHERE_LIST_FOR_NOTE,0))</f>
        <v>Расходы на аренду имущества, используемого для осуществления регулируемого вида деятельности</v>
      </c>
      <c r="K39" s="1289">
        <f>INDEX(TEMPLATE_NOTE_POINT_FHD,B39,MATCH(TEMPLATE_SPHERE,TEMPLATE_SPHERE_LIST_FOR_NOTE,0))</f>
        <v>0</v>
      </c>
      <c r="L39" s="1128" t="str">
        <f>IF(I39=0,"",I39)</f>
        <v>2.9</v>
      </c>
      <c r="M39" s="1128" t="str">
        <f>IF(J39=0,"",J39)</f>
        <v>Расходы на аренду имущества, используемого для осуществления регулируемого вида деятельности</v>
      </c>
      <c r="N39" s="1128" t="str">
        <f>IF(K39=0,"",K39)</f>
        <v/>
      </c>
      <c r="O39" s="1241" t="s">
        <v>817</v>
      </c>
      <c r="P39" s="1241" t="s">
        <v>811</v>
      </c>
      <c r="Q39" s="1241" t="s">
        <v>817</v>
      </c>
      <c r="R39" s="1241" t="s">
        <v>811</v>
      </c>
      <c r="S39" s="1241"/>
      <c r="T39" s="1248" t="s">
        <v>2173</v>
      </c>
      <c r="U39" s="1130" t="s">
        <v>2174</v>
      </c>
      <c r="V39" s="1130" t="s">
        <v>2175</v>
      </c>
      <c r="W39" s="1130" t="s">
        <v>2176</v>
      </c>
      <c r="X39" s="1127"/>
      <c r="Y39" s="1284"/>
      <c r="Z39" s="1130"/>
      <c r="AA39" s="1133"/>
      <c r="AB39" s="1130"/>
      <c r="AC39" s="1130"/>
      <c r="AD39" s="1130"/>
    </row>
    <row customHeight="1" ht="18">
      <c r="A40" s="1129"/>
      <c r="B40" s="1183">
        <v>23</v>
      </c>
      <c r="C40" s="1127">
        <v>13</v>
      </c>
      <c r="D40" s="1251"/>
      <c r="E40" s="1127"/>
      <c r="F40" s="1127"/>
      <c r="G40" s="1127"/>
      <c r="H40" s="1178"/>
      <c r="I40" s="1289" t="str">
        <f>INDEX(TEMPLATE_NUMBER_POINT_FHD,B40,MATCH(TEMPLATE_SPHERE,TEMPLATE_SPHERE_LIST_FOR_NOTE,0))</f>
        <v>2.10</v>
      </c>
      <c r="J40" s="1289" t="str">
        <f>INDEX(TEMPLATE_DATA_POINT_FHD,B40,MATCH(TEMPLATE_SPHERE,TEMPLATE_SPHERE_LIST_FOR_NOTE,0))</f>
        <v>Общепроизводственные расходы, в том числе:</v>
      </c>
      <c r="K40" s="1289" t="str">
        <f>INDEX(TEMPLATE_NOTE_POINT_FHD,B40,MATCH(TEMPLATE_SPHERE,TEMPLATE_SPHERE_LIST_FOR_NOTE,0))</f>
        <v>Указывается общая сумма общепроизводственных расходов.</v>
      </c>
      <c r="L40" s="1128" t="str">
        <f>IF(I40=0,"",I40)</f>
        <v>2.10</v>
      </c>
      <c r="M40" s="1128" t="str">
        <f>IF(J40=0,"",J40)</f>
        <v>Общепроизводственные расходы, в том числе:</v>
      </c>
      <c r="N40" s="1128" t="str">
        <f>IF(K40=0,"",K40)</f>
        <v>Указывается общая сумма общепроизводственных расходов.</v>
      </c>
      <c r="O40" s="1241" t="s">
        <v>2177</v>
      </c>
      <c r="P40" s="1241" t="s">
        <v>813</v>
      </c>
      <c r="Q40" s="1241" t="s">
        <v>2177</v>
      </c>
      <c r="R40" s="1241" t="s">
        <v>813</v>
      </c>
      <c r="S40" s="1241"/>
      <c r="T40" s="1127" t="s">
        <v>2178</v>
      </c>
      <c r="U40" s="1127" t="s">
        <v>2178</v>
      </c>
      <c r="V40" s="1127" t="s">
        <v>2178</v>
      </c>
      <c r="W40" s="1127" t="s">
        <v>2178</v>
      </c>
      <c r="X40" s="1127"/>
      <c r="Y40" s="1284"/>
      <c r="Z40" s="1130" t="s">
        <v>2179</v>
      </c>
      <c r="AA40" s="1133" t="s">
        <v>2179</v>
      </c>
      <c r="AB40" s="1133" t="s">
        <v>2179</v>
      </c>
      <c r="AC40" s="1133" t="s">
        <v>2179</v>
      </c>
      <c r="AD40" s="1130"/>
    </row>
    <row customHeight="1" ht="27">
      <c r="A41" s="1129"/>
      <c r="B41" s="1183">
        <v>24</v>
      </c>
      <c r="C41" s="1127" t="s">
        <v>2180</v>
      </c>
      <c r="D41" s="1251"/>
      <c r="E41" s="1127"/>
      <c r="F41" s="1127"/>
      <c r="G41" s="1127"/>
      <c r="H41" s="1175"/>
      <c r="I41" s="1289" t="str">
        <f>INDEX(TEMPLATE_NUMBER_POINT_FHD,B41,MATCH(TEMPLATE_SPHERE,TEMPLATE_SPHERE_LIST_FOR_NOTE,0))</f>
        <v>2.10.1</v>
      </c>
      <c r="J41" s="1289" t="str">
        <f>INDEX(TEMPLATE_DATA_POINT_FHD,B41,MATCH(TEMPLATE_SPHERE,TEMPLATE_SPHERE_LIST_FOR_NOTE,0))</f>
        <v>Расходы на текущий ремонт</v>
      </c>
      <c r="K41" s="1289" t="str">
        <f>INDEX(TEMPLATE_NOTE_POINT_FHD,B41,MATCH(TEMPLATE_SPHERE,TEMPLATE_SPHERE_LIST_FOR_NOTE,0))</f>
        <v>Указываются расходы на текущий ремонт, отнесенные к общепроизводственным расходам.</v>
      </c>
      <c r="L41" s="1128" t="str">
        <f>IF(I41=0,"",I41)</f>
        <v>2.10.1</v>
      </c>
      <c r="M41" s="1128" t="str">
        <f>IF(J41=0,"",J41)</f>
        <v>Расходы на текущий ремонт</v>
      </c>
      <c r="N41" s="1128" t="str">
        <f>IF(K41=0,"",K41)</f>
        <v>Указываются расходы на текущий ремонт, отнесенные к общепроизводственным расходам.</v>
      </c>
      <c r="O41" s="1241" t="s">
        <v>2181</v>
      </c>
      <c r="P41" s="1241" t="s">
        <v>2168</v>
      </c>
      <c r="Q41" s="1241" t="s">
        <v>2181</v>
      </c>
      <c r="R41" s="1241" t="s">
        <v>2168</v>
      </c>
      <c r="S41" s="1241"/>
      <c r="T41" s="1127" t="s">
        <v>2182</v>
      </c>
      <c r="U41" s="1127" t="s">
        <v>2182</v>
      </c>
      <c r="V41" s="1127" t="s">
        <v>2182</v>
      </c>
      <c r="W41" s="1127" t="s">
        <v>2182</v>
      </c>
      <c r="X41" s="1127"/>
      <c r="Y41" s="1284"/>
      <c r="Z41" s="1130" t="s">
        <v>2183</v>
      </c>
      <c r="AA41" s="1130" t="s">
        <v>2183</v>
      </c>
      <c r="AB41" s="1130" t="s">
        <v>2183</v>
      </c>
      <c r="AC41" s="1130" t="s">
        <v>2183</v>
      </c>
      <c r="AD41" s="1130"/>
    </row>
    <row customHeight="1" ht="27">
      <c r="A42" s="1129"/>
      <c r="B42" s="1183">
        <v>25</v>
      </c>
      <c r="C42" s="1127" t="s">
        <v>2184</v>
      </c>
      <c r="D42" s="1251"/>
      <c r="E42" s="1127"/>
      <c r="F42" s="1127"/>
      <c r="G42" s="1127"/>
      <c r="H42" s="1175"/>
      <c r="I42" s="1289" t="str">
        <f>INDEX(TEMPLATE_NUMBER_POINT_FHD,B42,MATCH(TEMPLATE_SPHERE,TEMPLATE_SPHERE_LIST_FOR_NOTE,0))</f>
        <v>2.10.2</v>
      </c>
      <c r="J42" s="1289" t="str">
        <f>INDEX(TEMPLATE_DATA_POINT_FHD,B42,MATCH(TEMPLATE_SPHERE,TEMPLATE_SPHERE_LIST_FOR_NOTE,0))</f>
        <v>Расходы на капитальный ремонт</v>
      </c>
      <c r="K42" s="1289" t="str">
        <f>INDEX(TEMPLATE_NOTE_POINT_FHD,B42,MATCH(TEMPLATE_SPHERE,TEMPLATE_SPHERE_LIST_FOR_NOTE,0))</f>
        <v>Указываются расходы на капитальный ремонт, отнесенные к общепроизводственным расходам.</v>
      </c>
      <c r="L42" s="1128" t="str">
        <f>IF(I42=0,"",I42)</f>
        <v>2.10.2</v>
      </c>
      <c r="M42" s="1128" t="str">
        <f>IF(J42=0,"",J42)</f>
        <v>Расходы на капитальный ремонт</v>
      </c>
      <c r="N42" s="1128" t="str">
        <f>IF(K42=0,"",K42)</f>
        <v>Указываются расходы на капитальный ремонт, отнесенные к общепроизводственным расходам.</v>
      </c>
      <c r="O42" s="1241" t="s">
        <v>2185</v>
      </c>
      <c r="P42" s="1241" t="s">
        <v>2171</v>
      </c>
      <c r="Q42" s="1241" t="s">
        <v>2185</v>
      </c>
      <c r="R42" s="1241" t="s">
        <v>2171</v>
      </c>
      <c r="S42" s="1241"/>
      <c r="T42" s="1127" t="s">
        <v>2186</v>
      </c>
      <c r="U42" s="1127" t="s">
        <v>2186</v>
      </c>
      <c r="V42" s="1127" t="s">
        <v>2186</v>
      </c>
      <c r="W42" s="1127" t="s">
        <v>2186</v>
      </c>
      <c r="X42" s="1127"/>
      <c r="Y42" s="1284"/>
      <c r="Z42" s="1130" t="s">
        <v>2187</v>
      </c>
      <c r="AA42" s="1130" t="s">
        <v>2187</v>
      </c>
      <c r="AB42" s="1130" t="s">
        <v>2187</v>
      </c>
      <c r="AC42" s="1130" t="s">
        <v>2187</v>
      </c>
      <c r="AD42" s="1130"/>
    </row>
    <row customHeight="1" ht="18">
      <c r="A43" s="1129"/>
      <c r="B43" s="1183">
        <v>26</v>
      </c>
      <c r="C43" s="1127">
        <v>14</v>
      </c>
      <c r="D43" s="1251"/>
      <c r="E43" s="1127"/>
      <c r="F43" s="1127"/>
      <c r="G43" s="1127"/>
      <c r="H43" s="1175"/>
      <c r="I43" s="1289" t="str">
        <f>INDEX(TEMPLATE_NUMBER_POINT_FHD,B43,MATCH(TEMPLATE_SPHERE,TEMPLATE_SPHERE_LIST_FOR_NOTE,0))</f>
        <v>2.11</v>
      </c>
      <c r="J43" s="1289" t="str">
        <f>INDEX(TEMPLATE_DATA_POINT_FHD,B43,MATCH(TEMPLATE_SPHERE,TEMPLATE_SPHERE_LIST_FOR_NOTE,0))</f>
        <v>Общехозяйственные расходы, в том числе:</v>
      </c>
      <c r="K43" s="1289" t="str">
        <f>INDEX(TEMPLATE_NOTE_POINT_FHD,B43,MATCH(TEMPLATE_SPHERE,TEMPLATE_SPHERE_LIST_FOR_NOTE,0))</f>
        <v>Указывается общая сумма общехозяйственных расходов.</v>
      </c>
      <c r="L43" s="1128" t="str">
        <f>IF(I43=0,"",I43)</f>
        <v>2.11</v>
      </c>
      <c r="M43" s="1128" t="str">
        <f>IF(J43=0,"",J43)</f>
        <v>Общехозяйственные расходы, в том числе:</v>
      </c>
      <c r="N43" s="1128" t="str">
        <f>IF(K43=0,"",K43)</f>
        <v>Указывается общая сумма общехозяйственных расходов.</v>
      </c>
      <c r="O43" s="1241" t="s">
        <v>2188</v>
      </c>
      <c r="P43" s="1241" t="s">
        <v>817</v>
      </c>
      <c r="Q43" s="1241" t="s">
        <v>2188</v>
      </c>
      <c r="R43" s="1241" t="s">
        <v>817</v>
      </c>
      <c r="S43" s="1241"/>
      <c r="T43" s="1127" t="s">
        <v>2189</v>
      </c>
      <c r="U43" s="1127" t="s">
        <v>2189</v>
      </c>
      <c r="V43" s="1127" t="s">
        <v>2189</v>
      </c>
      <c r="W43" s="1127" t="s">
        <v>2189</v>
      </c>
      <c r="X43" s="1127"/>
      <c r="Y43" s="1284"/>
      <c r="Z43" s="1130" t="s">
        <v>2190</v>
      </c>
      <c r="AA43" s="1130" t="s">
        <v>2190</v>
      </c>
      <c r="AB43" s="1130" t="s">
        <v>2190</v>
      </c>
      <c r="AC43" s="1130" t="s">
        <v>2190</v>
      </c>
      <c r="AD43" s="1130"/>
    </row>
    <row customHeight="1" ht="27">
      <c r="A44" s="1129"/>
      <c r="B44" s="1183">
        <v>27</v>
      </c>
      <c r="C44" s="1127" t="s">
        <v>2191</v>
      </c>
      <c r="D44" s="1251"/>
      <c r="E44" s="1127"/>
      <c r="F44" s="1127"/>
      <c r="G44" s="1127"/>
      <c r="H44" s="1175"/>
      <c r="I44" s="1289" t="str">
        <f>INDEX(TEMPLATE_NUMBER_POINT_FHD,B44,MATCH(TEMPLATE_SPHERE,TEMPLATE_SPHERE_LIST_FOR_NOTE,0))</f>
        <v>2.11.1</v>
      </c>
      <c r="J44" s="1289" t="str">
        <f>INDEX(TEMPLATE_DATA_POINT_FHD,B44,MATCH(TEMPLATE_SPHERE,TEMPLATE_SPHERE_LIST_FOR_NOTE,0))</f>
        <v>Расходы на текущий ремонт</v>
      </c>
      <c r="K44" s="1289" t="str">
        <f>INDEX(TEMPLATE_NOTE_POINT_FHD,B44,MATCH(TEMPLATE_SPHERE,TEMPLATE_SPHERE_LIST_FOR_NOTE,0))</f>
        <v>Указываются расходы на текущий ремонт, отнесенные к общехозяйственным расходам.</v>
      </c>
      <c r="L44" s="1128" t="str">
        <f>IF(I44=0,"",I44)</f>
        <v>2.11.1</v>
      </c>
      <c r="M44" s="1128" t="str">
        <f>IF(J44=0,"",J44)</f>
        <v>Расходы на текущий ремонт</v>
      </c>
      <c r="N44" s="1128" t="str">
        <f>IF(K44=0,"",K44)</f>
        <v>Указываются расходы на текущий ремонт, отнесенные к общехозяйственным расходам.</v>
      </c>
      <c r="O44" s="1241" t="s">
        <v>2192</v>
      </c>
      <c r="P44" s="1241" t="s">
        <v>2193</v>
      </c>
      <c r="Q44" s="1241" t="s">
        <v>2192</v>
      </c>
      <c r="R44" s="1241" t="s">
        <v>2193</v>
      </c>
      <c r="S44" s="1241"/>
      <c r="T44" s="1127" t="s">
        <v>2182</v>
      </c>
      <c r="U44" s="1127" t="s">
        <v>2182</v>
      </c>
      <c r="V44" s="1127" t="s">
        <v>2182</v>
      </c>
      <c r="W44" s="1127" t="s">
        <v>2182</v>
      </c>
      <c r="X44" s="1127"/>
      <c r="Y44" s="1284"/>
      <c r="Z44" s="1130" t="s">
        <v>2194</v>
      </c>
      <c r="AA44" s="1130" t="s">
        <v>2194</v>
      </c>
      <c r="AB44" s="1130" t="s">
        <v>2194</v>
      </c>
      <c r="AC44" s="1130" t="s">
        <v>2194</v>
      </c>
      <c r="AD44" s="1130"/>
    </row>
    <row customHeight="1" ht="27">
      <c r="A45" s="1129"/>
      <c r="B45" s="1183">
        <v>28</v>
      </c>
      <c r="C45" s="1127" t="s">
        <v>2195</v>
      </c>
      <c r="D45" s="1251"/>
      <c r="E45" s="1127"/>
      <c r="F45" s="1127"/>
      <c r="G45" s="1127"/>
      <c r="H45" s="1175"/>
      <c r="I45" s="1289" t="str">
        <f>INDEX(TEMPLATE_NUMBER_POINT_FHD,B45,MATCH(TEMPLATE_SPHERE,TEMPLATE_SPHERE_LIST_FOR_NOTE,0))</f>
        <v>2.11.2</v>
      </c>
      <c r="J45" s="1289" t="str">
        <f>INDEX(TEMPLATE_DATA_POINT_FHD,B45,MATCH(TEMPLATE_SPHERE,TEMPLATE_SPHERE_LIST_FOR_NOTE,0))</f>
        <v>Расходы на капитальный ремонт</v>
      </c>
      <c r="K45" s="1289" t="str">
        <f>INDEX(TEMPLATE_NOTE_POINT_FHD,B45,MATCH(TEMPLATE_SPHERE,TEMPLATE_SPHERE_LIST_FOR_NOTE,0))</f>
        <v>Указываются расходы на капитальный ремонт, отнесенные к общехозяйственным расходам.</v>
      </c>
      <c r="L45" s="1128" t="str">
        <f>IF(I45=0,"",I45)</f>
        <v>2.11.2</v>
      </c>
      <c r="M45" s="1128" t="str">
        <f>IF(J45=0,"",J45)</f>
        <v>Расходы на капитальный ремонт</v>
      </c>
      <c r="N45" s="1128" t="str">
        <f>IF(K45=0,"",K45)</f>
        <v>Указываются расходы на капитальный ремонт, отнесенные к общехозяйственным расходам.</v>
      </c>
      <c r="O45" s="1241" t="s">
        <v>2196</v>
      </c>
      <c r="P45" s="1241" t="s">
        <v>2197</v>
      </c>
      <c r="Q45" s="1241" t="s">
        <v>2196</v>
      </c>
      <c r="R45" s="1241" t="s">
        <v>2197</v>
      </c>
      <c r="S45" s="1241"/>
      <c r="T45" s="1127" t="s">
        <v>2186</v>
      </c>
      <c r="U45" s="1127" t="s">
        <v>2186</v>
      </c>
      <c r="V45" s="1127" t="s">
        <v>2186</v>
      </c>
      <c r="W45" s="1127" t="s">
        <v>2186</v>
      </c>
      <c r="X45" s="1127"/>
      <c r="Y45" s="1284"/>
      <c r="Z45" s="1130" t="s">
        <v>2198</v>
      </c>
      <c r="AA45" s="1130" t="s">
        <v>2198</v>
      </c>
      <c r="AB45" s="1130" t="s">
        <v>2198</v>
      </c>
      <c r="AC45" s="1130" t="s">
        <v>2198</v>
      </c>
      <c r="AD45" s="1130"/>
    </row>
    <row customHeight="1" ht="54">
      <c r="A46" s="1129"/>
      <c r="B46" s="1183">
        <v>29</v>
      </c>
      <c r="C46" s="1127">
        <v>15</v>
      </c>
      <c r="D46" s="1251"/>
      <c r="E46" s="1127"/>
      <c r="F46" s="1127"/>
      <c r="G46" s="1127"/>
      <c r="H46" s="1175"/>
      <c r="I46" s="1289" t="str">
        <f>INDEX(TEMPLATE_NUMBER_POINT_FHD,B46,MATCH(TEMPLATE_SPHERE,TEMPLATE_SPHERE_LIST_FOR_NOTE,0))</f>
        <v>2.12</v>
      </c>
      <c r="J46" s="1289" t="str">
        <f>INDEX(TEMPLATE_DATA_POINT_FHD,B46,MATCH(TEMPLATE_SPHERE,TEMPLATE_SPHERE_LIST_FOR_NOTE,0))</f>
        <v>Расходы на капитальный и текущий ремонт основных средств</v>
      </c>
      <c r="K46" s="1289"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128" t="str">
        <f>IF(I46=0,"",I46)</f>
        <v>2.12</v>
      </c>
      <c r="M46" s="1128" t="str">
        <f>IF(J46=0,"",J46)</f>
        <v>Расходы на капитальный и текущий ремонт основных средств</v>
      </c>
      <c r="N46" s="1128"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241" t="s">
        <v>2199</v>
      </c>
      <c r="P46" s="1241" t="s">
        <v>2177</v>
      </c>
      <c r="Q46" s="1241" t="s">
        <v>2199</v>
      </c>
      <c r="R46" s="1241" t="s">
        <v>2177</v>
      </c>
      <c r="S46" s="1241"/>
      <c r="T46" s="1128"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1127" t="s">
        <v>2200</v>
      </c>
      <c r="V46" s="1127" t="s">
        <v>2200</v>
      </c>
      <c r="W46" s="1127" t="s">
        <v>2200</v>
      </c>
      <c r="X46" s="1127"/>
      <c r="Y46" s="1284"/>
      <c r="Z46" s="1130" t="s">
        <v>2201</v>
      </c>
      <c r="AA46" s="1130" t="s">
        <v>2202</v>
      </c>
      <c r="AB46" s="1130" t="s">
        <v>2202</v>
      </c>
      <c r="AC46" s="1130" t="s">
        <v>2202</v>
      </c>
      <c r="AD46" s="1130"/>
    </row>
    <row customHeight="1" ht="54">
      <c r="A47" s="1129"/>
      <c r="B47" s="1183">
        <v>30</v>
      </c>
      <c r="C47" s="1127" t="s">
        <v>2203</v>
      </c>
      <c r="D47" s="1251"/>
      <c r="E47" s="1127"/>
      <c r="F47" s="1127"/>
      <c r="G47" s="1127"/>
      <c r="H47" s="1175"/>
      <c r="I47" s="1289" t="str">
        <f>INDEX(TEMPLATE_NUMBER_POINT_FHD,B47,MATCH(TEMPLATE_SPHERE,TEMPLATE_SPHERE_LIST_FOR_NOTE,0))</f>
        <v>2.12.1</v>
      </c>
      <c r="J47" s="1289"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289">
        <f>INDEX(TEMPLATE_NOTE_POINT_FHD,B47,MATCH(TEMPLATE_SPHERE,TEMPLATE_SPHERE_LIST_FOR_NOTE,0))</f>
        <v>0</v>
      </c>
      <c r="L47" s="1128" t="str">
        <f>IF(I47=0,"",I47)</f>
        <v>2.12.1</v>
      </c>
      <c r="M47" s="1128"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128" t="str">
        <f>IF(K47=0,"",K47)</f>
        <v/>
      </c>
      <c r="O47" s="1241" t="s">
        <v>2204</v>
      </c>
      <c r="P47" s="1241" t="s">
        <v>2181</v>
      </c>
      <c r="Q47" s="1241" t="s">
        <v>2204</v>
      </c>
      <c r="R47" s="1241" t="s">
        <v>2181</v>
      </c>
      <c r="S47" s="1241"/>
      <c r="T47" s="1127" t="s">
        <v>2205</v>
      </c>
      <c r="U47" s="1127" t="s">
        <v>2205</v>
      </c>
      <c r="V47" s="1127" t="s">
        <v>2205</v>
      </c>
      <c r="W47" s="1127" t="s">
        <v>2205</v>
      </c>
      <c r="X47" s="1127"/>
      <c r="Y47" s="1284"/>
      <c r="Z47" s="1130"/>
      <c r="AA47" s="1133"/>
      <c r="AB47" s="1133"/>
      <c r="AC47" s="1133"/>
      <c r="AD47" s="1130"/>
    </row>
    <row customHeight="1" ht="54">
      <c r="A48" s="1129"/>
      <c r="B48" s="1183">
        <v>31</v>
      </c>
      <c r="C48" s="1127">
        <v>16</v>
      </c>
      <c r="D48" s="1251"/>
      <c r="E48" s="1127"/>
      <c r="F48" s="1127"/>
      <c r="G48" s="1127"/>
      <c r="H48" s="1175"/>
      <c r="I48" s="1289">
        <f>INDEX(TEMPLATE_NUMBER_POINT_FHD,B48,MATCH(TEMPLATE_SPHERE,TEMPLATE_SPHERE_LIST_FOR_NOTE,0))</f>
        <v>0</v>
      </c>
      <c r="J48" s="1289">
        <f>INDEX(TEMPLATE_DATA_POINT_FHD,B48,MATCH(TEMPLATE_SPHERE,TEMPLATE_SPHERE_LIST_FOR_NOTE,0))</f>
        <v>0</v>
      </c>
      <c r="K48" s="1289">
        <f>INDEX(TEMPLATE_NOTE_POINT_FHD,B48,MATCH(TEMPLATE_SPHERE,TEMPLATE_SPHERE_LIST_FOR_NOTE,0))</f>
        <v>0</v>
      </c>
      <c r="L48" s="1128" t="str">
        <f>IF(I48=0,"",I48)</f>
        <v/>
      </c>
      <c r="M48" s="1128" t="str">
        <f>IF(J48=0,"",J48)</f>
        <v/>
      </c>
      <c r="N48" s="1128" t="str">
        <f>IF(K48=0,"",K48)</f>
        <v/>
      </c>
      <c r="O48" s="1241"/>
      <c r="P48" s="1241" t="s">
        <v>2188</v>
      </c>
      <c r="Q48" s="1241" t="s">
        <v>2206</v>
      </c>
      <c r="R48" s="1241" t="s">
        <v>2188</v>
      </c>
      <c r="S48" s="1241"/>
      <c r="T48" s="1127"/>
      <c r="U48" s="1127" t="s">
        <v>2207</v>
      </c>
      <c r="V48" s="1127" t="s">
        <v>2208</v>
      </c>
      <c r="W48" s="1127" t="s">
        <v>2208</v>
      </c>
      <c r="X48" s="1127"/>
      <c r="Y48" s="1284"/>
      <c r="Z48" s="1130"/>
      <c r="AA48" s="1133" t="s">
        <v>2202</v>
      </c>
      <c r="AB48" s="1133" t="s">
        <v>2202</v>
      </c>
      <c r="AC48" s="1133" t="s">
        <v>2202</v>
      </c>
      <c r="AD48" s="1130"/>
    </row>
    <row customHeight="1" ht="54">
      <c r="A49" s="1129"/>
      <c r="B49" s="1183">
        <v>32</v>
      </c>
      <c r="C49" s="1127" t="s">
        <v>2209</v>
      </c>
      <c r="D49" s="1251"/>
      <c r="E49" s="1127"/>
      <c r="F49" s="1127"/>
      <c r="G49" s="1127"/>
      <c r="H49" s="1175"/>
      <c r="I49" s="1289">
        <f>INDEX(TEMPLATE_NUMBER_POINT_FHD,B49,MATCH(TEMPLATE_SPHERE,TEMPLATE_SPHERE_LIST_FOR_NOTE,0))</f>
        <v>0</v>
      </c>
      <c r="J49" s="1289">
        <f>INDEX(TEMPLATE_DATA_POINT_FHD,B49,MATCH(TEMPLATE_SPHERE,TEMPLATE_SPHERE_LIST_FOR_NOTE,0))</f>
        <v>0</v>
      </c>
      <c r="K49" s="1289">
        <f>INDEX(TEMPLATE_NOTE_POINT_FHD,B49,MATCH(TEMPLATE_SPHERE,TEMPLATE_SPHERE_LIST_FOR_NOTE,0))</f>
        <v>0</v>
      </c>
      <c r="L49" s="1128" t="str">
        <f>IF(I49=0,"",I49)</f>
        <v/>
      </c>
      <c r="M49" s="1128" t="str">
        <f>IF(J49=0,"",J49)</f>
        <v/>
      </c>
      <c r="N49" s="1128" t="str">
        <f>IF(K49=0,"",K49)</f>
        <v/>
      </c>
      <c r="O49" s="1241"/>
      <c r="P49" s="1241" t="s">
        <v>2192</v>
      </c>
      <c r="Q49" s="1241" t="s">
        <v>2210</v>
      </c>
      <c r="R49" s="1241" t="s">
        <v>2192</v>
      </c>
      <c r="S49" s="1241"/>
      <c r="T49" s="1127"/>
      <c r="U49" s="1127" t="s">
        <v>2205</v>
      </c>
      <c r="V49" s="1127" t="s">
        <v>2205</v>
      </c>
      <c r="W49" s="1127" t="s">
        <v>2205</v>
      </c>
      <c r="X49" s="1127"/>
      <c r="Y49" s="1284"/>
      <c r="Z49" s="1130"/>
      <c r="AA49" s="1133"/>
      <c r="AB49" s="1133"/>
      <c r="AC49" s="1133"/>
      <c r="AD49" s="1130"/>
    </row>
    <row customHeight="1" ht="126">
      <c r="A50" s="1129"/>
      <c r="B50" s="1183">
        <v>33</v>
      </c>
      <c r="C50" s="1127">
        <v>17</v>
      </c>
      <c r="D50" s="1251"/>
      <c r="E50" s="1127"/>
      <c r="F50" s="1127"/>
      <c r="G50" s="1127"/>
      <c r="H50" s="1175"/>
      <c r="I50" s="1289" t="str">
        <f>INDEX(TEMPLATE_NUMBER_POINT_FHD,B50,MATCH(TEMPLATE_SPHERE,TEMPLATE_SPHERE_LIST_FOR_NOTE,0))</f>
        <v>2.13</v>
      </c>
      <c r="J50" s="1289"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289"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128" t="str">
        <f>IF(I50=0,"",I50)</f>
        <v>2.13</v>
      </c>
      <c r="M50" s="1128"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128"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241" t="s">
        <v>2206</v>
      </c>
      <c r="P50" s="1241" t="s">
        <v>2199</v>
      </c>
      <c r="Q50" s="1241" t="s">
        <v>2211</v>
      </c>
      <c r="R50" s="1241" t="s">
        <v>2199</v>
      </c>
      <c r="S50" s="1241"/>
      <c r="T50" s="1127" t="s">
        <v>2212</v>
      </c>
      <c r="U50" s="1127" t="s">
        <v>2213</v>
      </c>
      <c r="V50" s="1127" t="s">
        <v>2214</v>
      </c>
      <c r="W50" s="1127" t="s">
        <v>2215</v>
      </c>
      <c r="X50" s="1127"/>
      <c r="Y50" s="1284"/>
      <c r="Z50" s="1130" t="s">
        <v>2216</v>
      </c>
      <c r="AA50" s="1133" t="s">
        <v>2217</v>
      </c>
      <c r="AB50" s="1133" t="s">
        <v>2217</v>
      </c>
      <c r="AC50" s="1133" t="s">
        <v>2217</v>
      </c>
      <c r="AD50" s="1130"/>
    </row>
    <row customHeight="1" ht="27">
      <c r="A51" s="1129"/>
      <c r="B51" s="1183">
        <v>34</v>
      </c>
      <c r="C51" s="1127" t="s">
        <v>2218</v>
      </c>
      <c r="D51" s="1251"/>
      <c r="E51" s="1127"/>
      <c r="F51" s="1127"/>
      <c r="G51" s="1127"/>
      <c r="H51" s="1175"/>
      <c r="I51" s="1289" t="str">
        <f>INDEX(TEMPLATE_NUMBER_POINT_FHD,B51,MATCH(TEMPLATE_SPHERE,TEMPLATE_SPHERE_LIST_FOR_NOTE,0))</f>
        <v>3</v>
      </c>
      <c r="J51" s="1289"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289">
        <f>INDEX(TEMPLATE_NOTE_POINT_FHD,B51,MATCH(TEMPLATE_SPHERE,TEMPLATE_SPHERE_LIST_FOR_NOTE,0))</f>
        <v>0</v>
      </c>
      <c r="L51" s="1128" t="str">
        <f>IF(I51=0,"",I51)</f>
        <v>3</v>
      </c>
      <c r="M51" s="1128" t="str">
        <f>IF(J51=0,"",J51)</f>
        <v>Валовая прибыль (убытки) от реализации товаров и оказания услуг по регулируемому виду деятельности</v>
      </c>
      <c r="N51" s="1128" t="str">
        <f>IF(K51=0,"",K51)</f>
        <v/>
      </c>
      <c r="O51" s="1241" t="s">
        <v>93</v>
      </c>
      <c r="P51" s="1241"/>
      <c r="Q51" s="1241"/>
      <c r="R51" s="1241"/>
      <c r="S51" s="1241"/>
      <c r="T51" s="1127" t="s">
        <v>2219</v>
      </c>
      <c r="U51" s="1127"/>
      <c r="V51" s="1127"/>
      <c r="W51" s="1127"/>
      <c r="X51" s="1127"/>
      <c r="Y51" s="1284"/>
      <c r="Z51" s="1130"/>
      <c r="AA51" s="1133"/>
      <c r="AB51" s="1133"/>
      <c r="AC51" s="1133"/>
      <c r="AD51" s="1130"/>
    </row>
    <row customHeight="1" ht="36">
      <c r="A52" s="1129"/>
      <c r="B52" s="1183">
        <v>35</v>
      </c>
      <c r="C52" s="1127" t="s">
        <v>2112</v>
      </c>
      <c r="D52" s="1251" t="s">
        <v>2112</v>
      </c>
      <c r="E52" s="1127" t="s">
        <v>2112</v>
      </c>
      <c r="F52" s="1127" t="s">
        <v>2112</v>
      </c>
      <c r="G52" s="1127"/>
      <c r="H52" s="1175"/>
      <c r="I52" s="1289" t="str">
        <f>INDEX(TEMPLATE_NUMBER_POINT_FHD,B52,MATCH(TEMPLATE_SPHERE,TEMPLATE_SPHERE_LIST_FOR_NOTE,0))</f>
        <v>4</v>
      </c>
      <c r="J52" s="1289" t="str">
        <f>INDEX(TEMPLATE_DATA_POINT_FHD,B52,MATCH(TEMPLATE_SPHERE,TEMPLATE_SPHERE_LIST_FOR_NOTE,0))</f>
        <v>Чистая прибыль, полученная от регулируемого вида деятельности, в том числе:</v>
      </c>
      <c r="K52" s="1289" t="str">
        <f>INDEX(TEMPLATE_NOTE_POINT_FHD,B52,MATCH(TEMPLATE_SPHERE,TEMPLATE_SPHERE_LIST_FOR_NOTE,0))</f>
        <v>Указывается общая сумма чистой прибыли, полученной от регулируемого вида деятельности.</v>
      </c>
      <c r="L52" s="1128" t="str">
        <f>IF(I52=0,"",I52)</f>
        <v>4</v>
      </c>
      <c r="M52" s="1128" t="str">
        <f>IF(J52=0,"",J52)</f>
        <v>Чистая прибыль, полученная от регулируемого вида деятельности, в том числе:</v>
      </c>
      <c r="N52" s="1128" t="str">
        <f>IF(K52=0,"",K52)</f>
        <v>Указывается общая сумма чистой прибыли, полученной от регулируемого вида деятельности.</v>
      </c>
      <c r="O52" s="1241" t="s">
        <v>94</v>
      </c>
      <c r="P52" s="1241" t="s">
        <v>93</v>
      </c>
      <c r="Q52" s="1241" t="s">
        <v>93</v>
      </c>
      <c r="R52" s="1241" t="s">
        <v>93</v>
      </c>
      <c r="S52" s="1241"/>
      <c r="T52" s="1127" t="s">
        <v>2220</v>
      </c>
      <c r="U52" s="1127" t="s">
        <v>2221</v>
      </c>
      <c r="V52" s="1127" t="s">
        <v>2222</v>
      </c>
      <c r="W52" s="1127" t="s">
        <v>2223</v>
      </c>
      <c r="X52" s="1127"/>
      <c r="Y52" s="1284"/>
      <c r="Z52" s="1130" t="s">
        <v>821</v>
      </c>
      <c r="AA52" s="1133" t="s">
        <v>821</v>
      </c>
      <c r="AB52" s="1133" t="s">
        <v>821</v>
      </c>
      <c r="AC52" s="1133" t="s">
        <v>821</v>
      </c>
      <c r="AD52" s="1130"/>
    </row>
    <row customHeight="1" ht="36">
      <c r="A53" s="1129"/>
      <c r="B53" s="1183">
        <v>36</v>
      </c>
      <c r="C53" s="1127">
        <v>1</v>
      </c>
      <c r="D53" s="1251"/>
      <c r="E53" s="1127"/>
      <c r="F53" s="1127"/>
      <c r="G53" s="1127"/>
      <c r="H53" s="1175"/>
      <c r="I53" s="1289" t="str">
        <f>INDEX(TEMPLATE_NUMBER_POINT_FHD,B53,MATCH(TEMPLATE_SPHERE,TEMPLATE_SPHERE_LIST_FOR_NOTE,0))</f>
        <v>4.1</v>
      </c>
      <c r="J53" s="1289"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289">
        <f>INDEX(TEMPLATE_NOTE_POINT_FHD,B53,MATCH(TEMPLATE_SPHERE,TEMPLATE_SPHERE_LIST_FOR_NOTE,0))</f>
        <v>0</v>
      </c>
      <c r="L53" s="1128" t="str">
        <f>IF(I53=0,"",I53)</f>
        <v>4.1</v>
      </c>
      <c r="M53" s="1128"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128" t="str">
        <f>IF(K53=0,"",K53)</f>
        <v/>
      </c>
      <c r="O53" s="1241" t="s">
        <v>825</v>
      </c>
      <c r="P53" s="1241" t="s">
        <v>384</v>
      </c>
      <c r="Q53" s="1241" t="s">
        <v>384</v>
      </c>
      <c r="R53" s="1241" t="s">
        <v>384</v>
      </c>
      <c r="S53" s="1241"/>
      <c r="T53" s="1127" t="s">
        <v>2224</v>
      </c>
      <c r="U53" s="1127" t="s">
        <v>2224</v>
      </c>
      <c r="V53" s="1127" t="s">
        <v>2224</v>
      </c>
      <c r="W53" s="1127" t="s">
        <v>2224</v>
      </c>
      <c r="X53" s="1127"/>
      <c r="Y53" s="1284"/>
      <c r="Z53" s="1130"/>
      <c r="AA53" s="1133"/>
      <c r="AB53" s="1130"/>
      <c r="AC53" s="1130"/>
      <c r="AD53" s="1130"/>
    </row>
    <row customHeight="1" ht="18">
      <c r="A54" s="1129"/>
      <c r="B54" s="1183">
        <v>37</v>
      </c>
      <c r="C54" s="1127" t="s">
        <v>2118</v>
      </c>
      <c r="D54" s="1251" t="s">
        <v>2118</v>
      </c>
      <c r="E54" s="1127" t="s">
        <v>2118</v>
      </c>
      <c r="F54" s="1127" t="s">
        <v>2118</v>
      </c>
      <c r="G54" s="1127"/>
      <c r="H54" s="1175"/>
      <c r="I54" s="1289" t="str">
        <f>INDEX(TEMPLATE_NUMBER_POINT_FHD,B54,MATCH(TEMPLATE_SPHERE,TEMPLATE_SPHERE_LIST_FOR_NOTE,0))</f>
        <v>5</v>
      </c>
      <c r="J54" s="1289" t="str">
        <f>INDEX(TEMPLATE_DATA_POINT_FHD,B54,MATCH(TEMPLATE_SPHERE,TEMPLATE_SPHERE_LIST_FOR_NOTE,0))</f>
        <v>Изменение стоимости основных фондов, в том числе:</v>
      </c>
      <c r="K54" s="1289" t="str">
        <f>INDEX(TEMPLATE_NOTE_POINT_FHD,B54,MATCH(TEMPLATE_SPHERE,TEMPLATE_SPHERE_LIST_FOR_NOTE,0))</f>
        <v>Указывается общее изменение стоимости основных фондов.</v>
      </c>
      <c r="L54" s="1128" t="str">
        <f>IF(I54=0,"",I54)</f>
        <v>5</v>
      </c>
      <c r="M54" s="1128" t="str">
        <f>IF(J54=0,"",J54)</f>
        <v>Изменение стоимости основных фондов, в том числе:</v>
      </c>
      <c r="N54" s="1128" t="str">
        <f>IF(K54=0,"",K54)</f>
        <v>Указывается общее изменение стоимости основных фондов.</v>
      </c>
      <c r="O54" s="1241" t="s">
        <v>124</v>
      </c>
      <c r="P54" s="1241" t="s">
        <v>94</v>
      </c>
      <c r="Q54" s="1241" t="s">
        <v>94</v>
      </c>
      <c r="R54" s="1241" t="s">
        <v>94</v>
      </c>
      <c r="S54" s="1241"/>
      <c r="T54" s="1127" t="s">
        <v>823</v>
      </c>
      <c r="U54" s="1127" t="s">
        <v>823</v>
      </c>
      <c r="V54" s="1127" t="s">
        <v>823</v>
      </c>
      <c r="W54" s="1127" t="s">
        <v>823</v>
      </c>
      <c r="X54" s="1127"/>
      <c r="Y54" s="1284"/>
      <c r="Z54" s="1130" t="s">
        <v>824</v>
      </c>
      <c r="AA54" s="1130" t="s">
        <v>824</v>
      </c>
      <c r="AB54" s="1130" t="s">
        <v>824</v>
      </c>
      <c r="AC54" s="1130" t="s">
        <v>824</v>
      </c>
      <c r="AD54" s="1130"/>
    </row>
    <row customHeight="1" ht="36">
      <c r="A55" s="1129"/>
      <c r="B55" s="1183">
        <v>38</v>
      </c>
      <c r="C55" s="1127">
        <v>1</v>
      </c>
      <c r="D55" s="1251"/>
      <c r="E55" s="1127"/>
      <c r="F55" s="1127"/>
      <c r="G55" s="1127"/>
      <c r="H55" s="1175"/>
      <c r="I55" s="1289" t="str">
        <f>INDEX(TEMPLATE_NUMBER_POINT_FHD,B55,MATCH(TEMPLATE_SPHERE,TEMPLATE_SPHERE_LIST_FOR_NOTE,0))</f>
        <v>5.1</v>
      </c>
      <c r="J55" s="1289" t="str">
        <f>INDEX(TEMPLATE_DATA_POINT_FHD,B55,MATCH(TEMPLATE_SPHERE,TEMPLATE_SPHERE_LIST_FOR_NOTE,0))</f>
        <v>Изменение стоимости основных фондов за счет:</v>
      </c>
      <c r="K55" s="1289"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128" t="str">
        <f>IF(I55=0,"",I55)</f>
        <v>5.1</v>
      </c>
      <c r="M55" s="1128" t="str">
        <f>IF(J55=0,"",J55)</f>
        <v>Изменение стоимости основных фондов за счет:</v>
      </c>
      <c r="N55" s="1128" t="str">
        <f>IF(K55=0,"",K55)</f>
        <v>Указываются общее изменение стоимости основных фондов за счет их ввода в эксплуатацию и вывода из эксплуатации.</v>
      </c>
      <c r="O55" s="1241" t="s">
        <v>373</v>
      </c>
      <c r="P55" s="1241" t="s">
        <v>825</v>
      </c>
      <c r="Q55" s="1241" t="s">
        <v>825</v>
      </c>
      <c r="R55" s="1241" t="s">
        <v>825</v>
      </c>
      <c r="S55" s="1241"/>
      <c r="T55" s="1128"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1127" t="s">
        <v>2225</v>
      </c>
      <c r="V55" s="1127" t="s">
        <v>2225</v>
      </c>
      <c r="W55" s="1127" t="s">
        <v>2225</v>
      </c>
      <c r="X55" s="1127"/>
      <c r="Y55" s="1284"/>
      <c r="Z55" s="1130" t="s">
        <v>2226</v>
      </c>
      <c r="AA55" s="1130" t="s">
        <v>2226</v>
      </c>
      <c r="AB55" s="1130" t="s">
        <v>2226</v>
      </c>
      <c r="AC55" s="1130" t="s">
        <v>2226</v>
      </c>
      <c r="AD55" s="1130"/>
    </row>
    <row customHeight="1" ht="27">
      <c r="A56" s="1129"/>
      <c r="B56" s="1183">
        <v>39</v>
      </c>
      <c r="C56" s="1127" t="s">
        <v>1093</v>
      </c>
      <c r="D56" s="1251"/>
      <c r="E56" s="1127"/>
      <c r="F56" s="1127"/>
      <c r="G56" s="1127"/>
      <c r="H56" s="1175"/>
      <c r="I56" s="1289" t="str">
        <f>INDEX(TEMPLATE_NUMBER_POINT_FHD,B56,MATCH(TEMPLATE_SPHERE,TEMPLATE_SPHERE_LIST_FOR_NOTE,0))</f>
        <v>5.1.1</v>
      </c>
      <c r="J56" s="1289" t="str">
        <f>INDEX(TEMPLATE_DATA_POINT_FHD,B56,MATCH(TEMPLATE_SPHERE,TEMPLATE_SPHERE_LIST_FOR_NOTE,0))</f>
        <v>Изменения стоимости основных фондов за счет их ввода в эксплуатацию</v>
      </c>
      <c r="K56" s="1289" t="str">
        <f>INDEX(TEMPLATE_NOTE_POINT_FHD,B56,MATCH(TEMPLATE_SPHERE,TEMPLATE_SPHERE_LIST_FOR_NOTE,0))</f>
        <v>Указываются изменение стоимости основных фондов за счет их ввода в эксплуатацию.</v>
      </c>
      <c r="L56" s="1128" t="str">
        <f>IF(I56=0,"",I56)</f>
        <v>5.1.1</v>
      </c>
      <c r="M56" s="1128" t="str">
        <f>IF(J56=0,"",J56)</f>
        <v>Изменения стоимости основных фондов за счет их ввода в эксплуатацию</v>
      </c>
      <c r="N56" s="1128" t="str">
        <f>IF(K56=0,"",K56)</f>
        <v>Указываются изменение стоимости основных фондов за счет их ввода в эксплуатацию.</v>
      </c>
      <c r="O56" s="1241" t="s">
        <v>1220</v>
      </c>
      <c r="P56" s="1241" t="s">
        <v>828</v>
      </c>
      <c r="Q56" s="1241" t="s">
        <v>828</v>
      </c>
      <c r="R56" s="1241" t="s">
        <v>828</v>
      </c>
      <c r="S56" s="1241"/>
      <c r="T56" s="1128"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1127" t="s">
        <v>2227</v>
      </c>
      <c r="V56" s="1127" t="s">
        <v>2227</v>
      </c>
      <c r="W56" s="1127" t="s">
        <v>2227</v>
      </c>
      <c r="X56" s="1127"/>
      <c r="Y56" s="1284"/>
      <c r="Z56" s="1130" t="s">
        <v>830</v>
      </c>
      <c r="AA56" s="1130" t="s">
        <v>830</v>
      </c>
      <c r="AB56" s="1130" t="s">
        <v>830</v>
      </c>
      <c r="AC56" s="1130" t="s">
        <v>830</v>
      </c>
      <c r="AD56" s="1130"/>
    </row>
    <row customHeight="1" ht="27">
      <c r="A57" s="1129"/>
      <c r="B57" s="1183">
        <v>40</v>
      </c>
      <c r="C57" s="1127" t="s">
        <v>1095</v>
      </c>
      <c r="D57" s="1251"/>
      <c r="E57" s="1127"/>
      <c r="F57" s="1127"/>
      <c r="G57" s="1127"/>
      <c r="H57" s="1175"/>
      <c r="I57" s="1289" t="str">
        <f>INDEX(TEMPLATE_NUMBER_POINT_FHD,B57,MATCH(TEMPLATE_SPHERE,TEMPLATE_SPHERE_LIST_FOR_NOTE,0))</f>
        <v>5.1.2</v>
      </c>
      <c r="J57" s="1289" t="str">
        <f>INDEX(TEMPLATE_DATA_POINT_FHD,B57,MATCH(TEMPLATE_SPHERE,TEMPLATE_SPHERE_LIST_FOR_NOTE,0))</f>
        <v>Изменения стоимости основных фондов за счет их вывода в эксплуатацию</v>
      </c>
      <c r="K57" s="1289" t="str">
        <f>INDEX(TEMPLATE_NOTE_POINT_FHD,B57,MATCH(TEMPLATE_SPHERE,TEMPLATE_SPHERE_LIST_FOR_NOTE,0))</f>
        <v>Указываются изменение стоимости основных фондов за счет их вывода из эксплуатации.</v>
      </c>
      <c r="L57" s="1128" t="str">
        <f>IF(I57=0,"",I57)</f>
        <v>5.1.2</v>
      </c>
      <c r="M57" s="1128" t="str">
        <f>IF(J57=0,"",J57)</f>
        <v>Изменения стоимости основных фондов за счет их вывода в эксплуатацию</v>
      </c>
      <c r="N57" s="1128" t="str">
        <f>IF(K57=0,"",K57)</f>
        <v>Указываются изменение стоимости основных фондов за счет их вывода из эксплуатации.</v>
      </c>
      <c r="O57" s="1241" t="s">
        <v>2228</v>
      </c>
      <c r="P57" s="1241" t="s">
        <v>831</v>
      </c>
      <c r="Q57" s="1241" t="s">
        <v>831</v>
      </c>
      <c r="R57" s="1241" t="s">
        <v>831</v>
      </c>
      <c r="S57" s="1241"/>
      <c r="T57" s="1128"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1127" t="s">
        <v>2229</v>
      </c>
      <c r="V57" s="1127" t="s">
        <v>2229</v>
      </c>
      <c r="W57" s="1127" t="s">
        <v>2229</v>
      </c>
      <c r="X57" s="1127"/>
      <c r="Y57" s="1284"/>
      <c r="Z57" s="1130" t="s">
        <v>833</v>
      </c>
      <c r="AA57" s="1130" t="s">
        <v>833</v>
      </c>
      <c r="AB57" s="1130" t="s">
        <v>833</v>
      </c>
      <c r="AC57" s="1130" t="s">
        <v>833</v>
      </c>
      <c r="AD57" s="1130"/>
    </row>
    <row customHeight="1" ht="18">
      <c r="A58" s="1129"/>
      <c r="B58" s="1183">
        <v>41</v>
      </c>
      <c r="C58" s="1127">
        <v>2</v>
      </c>
      <c r="D58" s="1251"/>
      <c r="E58" s="1127"/>
      <c r="F58" s="1127"/>
      <c r="G58" s="1127"/>
      <c r="H58" s="1175"/>
      <c r="I58" s="1289" t="str">
        <f>INDEX(TEMPLATE_NUMBER_POINT_FHD,B58,MATCH(TEMPLATE_SPHERE,TEMPLATE_SPHERE_LIST_FOR_NOTE,0))</f>
        <v>5.2</v>
      </c>
      <c r="J58" s="1289" t="str">
        <f>INDEX(TEMPLATE_DATA_POINT_FHD,B58,MATCH(TEMPLATE_SPHERE,TEMPLATE_SPHERE_LIST_FOR_NOTE,0))</f>
        <v>Изменение стоимости основных фондов за счет их переоценки</v>
      </c>
      <c r="K58" s="1289">
        <f>INDEX(TEMPLATE_NOTE_POINT_FHD,B58,MATCH(TEMPLATE_SPHERE,TEMPLATE_SPHERE_LIST_FOR_NOTE,0))</f>
        <v>0</v>
      </c>
      <c r="L58" s="1128" t="str">
        <f>IF(I58=0,"",I58)</f>
        <v>5.2</v>
      </c>
      <c r="M58" s="1128" t="str">
        <f>IF(J58=0,"",J58)</f>
        <v>Изменение стоимости основных фондов за счет их переоценки</v>
      </c>
      <c r="N58" s="1128" t="str">
        <f>IF(K58=0,"",K58)</f>
        <v/>
      </c>
      <c r="O58" s="1241" t="s">
        <v>953</v>
      </c>
      <c r="P58" s="1241" t="s">
        <v>867</v>
      </c>
      <c r="Q58" s="1241" t="s">
        <v>867</v>
      </c>
      <c r="R58" s="1241" t="s">
        <v>867</v>
      </c>
      <c r="S58" s="1241"/>
      <c r="T58" s="1128"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1127" t="s">
        <v>2230</v>
      </c>
      <c r="V58" s="1127" t="s">
        <v>2230</v>
      </c>
      <c r="W58" s="1127" t="s">
        <v>2230</v>
      </c>
      <c r="X58" s="1127"/>
      <c r="Y58" s="1284"/>
      <c r="Z58" s="1130"/>
      <c r="AA58" s="1133"/>
      <c r="AB58" s="1130"/>
      <c r="AC58" s="1130"/>
      <c r="AD58" s="1130"/>
    </row>
    <row customHeight="1" ht="36">
      <c r="A59" s="1129"/>
      <c r="B59" s="1183">
        <v>42</v>
      </c>
      <c r="C59" s="1127">
        <v>3</v>
      </c>
      <c r="D59" s="1251" t="s">
        <v>2218</v>
      </c>
      <c r="E59" s="1127" t="s">
        <v>2218</v>
      </c>
      <c r="F59" s="1127" t="s">
        <v>2218</v>
      </c>
      <c r="G59" s="1127"/>
      <c r="H59" s="1175"/>
      <c r="I59" s="1289">
        <f>INDEX(TEMPLATE_NUMBER_POINT_FHD,B59,MATCH(TEMPLATE_SPHERE,TEMPLATE_SPHERE_LIST_FOR_NOTE,0))</f>
        <v>0</v>
      </c>
      <c r="J59" s="1289">
        <f>INDEX(TEMPLATE_DATA_POINT_FHD,B59,MATCH(TEMPLATE_SPHERE,TEMPLATE_SPHERE_LIST_FOR_NOTE,0))</f>
        <v>0</v>
      </c>
      <c r="K59" s="1289">
        <f>INDEX(TEMPLATE_NOTE_POINT_FHD,B59,MATCH(TEMPLATE_SPHERE,TEMPLATE_SPHERE_LIST_FOR_NOTE,0))</f>
        <v>0</v>
      </c>
      <c r="L59" s="1128" t="str">
        <f>IF(I59=0,"",I59)</f>
        <v/>
      </c>
      <c r="M59" s="1128" t="str">
        <f>IF(J59=0,"",J59)</f>
        <v/>
      </c>
      <c r="N59" s="1128" t="str">
        <f>IF(K59=0,"",K59)</f>
        <v/>
      </c>
      <c r="O59" s="1241"/>
      <c r="P59" s="1241" t="s">
        <v>124</v>
      </c>
      <c r="Q59" s="1241" t="s">
        <v>124</v>
      </c>
      <c r="R59" s="1241" t="s">
        <v>124</v>
      </c>
      <c r="S59" s="1241"/>
      <c r="T59" s="1127"/>
      <c r="U59" s="1127" t="s">
        <v>2231</v>
      </c>
      <c r="V59" s="1127" t="s">
        <v>2232</v>
      </c>
      <c r="W59" s="1127" t="s">
        <v>2233</v>
      </c>
      <c r="X59" s="1127"/>
      <c r="Y59" s="1284"/>
      <c r="Z59" s="1130"/>
      <c r="AA59" s="1133"/>
      <c r="AB59" s="1130"/>
      <c r="AC59" s="1130"/>
      <c r="AD59" s="1130"/>
    </row>
    <row customHeight="1" ht="81">
      <c r="A60" s="1129"/>
      <c r="B60" s="1183">
        <v>43</v>
      </c>
      <c r="C60" s="1127" t="s">
        <v>2234</v>
      </c>
      <c r="D60" s="1251" t="s">
        <v>2234</v>
      </c>
      <c r="E60" s="1127" t="s">
        <v>2234</v>
      </c>
      <c r="F60" s="1127" t="s">
        <v>2234</v>
      </c>
      <c r="G60" s="1127"/>
      <c r="H60" s="1175"/>
      <c r="I60" s="1289" t="str">
        <f>INDEX(TEMPLATE_NUMBER_POINT_FHD,B60,MATCH(TEMPLATE_SPHERE,TEMPLATE_SPHERE_LIST_FOR_NOTE,0))</f>
        <v>6</v>
      </c>
      <c r="J60" s="1289" t="str">
        <f>INDEX(TEMPLATE_DATA_POINT_FHD,B60,MATCH(TEMPLATE_SPHERE,TEMPLATE_SPHERE_LIST_FOR_NOTE,0))</f>
        <v>Годовая бухгалтерская (финансовая) отчетность, включая бухгалтерский баланс и приложения к нему</v>
      </c>
      <c r="K60" s="1289"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128" t="str">
        <f>IF(I60=0,"",I60)</f>
        <v>6</v>
      </c>
      <c r="M60" s="1128" t="str">
        <f>IF(J60=0,"",J60)</f>
        <v>Годовая бухгалтерская (финансовая) отчетность, включая бухгалтерский баланс и приложения к нему</v>
      </c>
      <c r="N60" s="1128"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241" t="s">
        <v>95</v>
      </c>
      <c r="P60" s="1241" t="s">
        <v>95</v>
      </c>
      <c r="Q60" s="1241" t="s">
        <v>95</v>
      </c>
      <c r="R60" s="1241" t="s">
        <v>95</v>
      </c>
      <c r="S60" s="1241"/>
      <c r="T60" s="1127" t="s">
        <v>701</v>
      </c>
      <c r="U60" s="1127" t="s">
        <v>701</v>
      </c>
      <c r="V60" s="1127" t="s">
        <v>701</v>
      </c>
      <c r="W60" s="1127" t="s">
        <v>701</v>
      </c>
      <c r="X60" s="1127"/>
      <c r="Y60" s="1284"/>
      <c r="Z60" s="1130" t="s">
        <v>2235</v>
      </c>
      <c r="AA60" s="1133" t="s">
        <v>2236</v>
      </c>
      <c r="AB60" s="1130" t="s">
        <v>2237</v>
      </c>
      <c r="AC60" s="1130" t="s">
        <v>2236</v>
      </c>
      <c r="AD60" s="1130"/>
    </row>
    <row customHeight="1" ht="9">
      <c r="A61" s="1129"/>
      <c r="B61" s="1183">
        <v>44</v>
      </c>
      <c r="C61" s="1127"/>
      <c r="D61" s="1251" t="s">
        <v>2238</v>
      </c>
      <c r="E61" s="1127"/>
      <c r="F61" s="1127"/>
      <c r="G61" s="1127"/>
      <c r="H61" s="1175"/>
      <c r="I61" s="1289">
        <f>INDEX(TEMPLATE_NUMBER_POINT_FHD,B61,MATCH(TEMPLATE_SPHERE,TEMPLATE_SPHERE_LIST_FOR_NOTE,0))</f>
        <v>0</v>
      </c>
      <c r="J61" s="1289">
        <f>INDEX(TEMPLATE_DATA_POINT_FHD,B61,MATCH(TEMPLATE_SPHERE,TEMPLATE_SPHERE_LIST_FOR_NOTE,0))</f>
        <v>0</v>
      </c>
      <c r="K61" s="1289">
        <f>INDEX(TEMPLATE_NOTE_POINT_FHD,B61,MATCH(TEMPLATE_SPHERE,TEMPLATE_SPHERE_LIST_FOR_NOTE,0))</f>
        <v>0</v>
      </c>
      <c r="L61" s="1128" t="str">
        <f>IF(I61=0,"",I61)</f>
        <v/>
      </c>
      <c r="M61" s="1128" t="str">
        <f>IF(J61=0,"",J61)</f>
        <v/>
      </c>
      <c r="N61" s="1128" t="str">
        <f>IF(K61=0,"",K61)</f>
        <v/>
      </c>
      <c r="O61" s="1241"/>
      <c r="P61" s="1241" t="s">
        <v>96</v>
      </c>
      <c r="Q61" s="1241"/>
      <c r="R61" s="1241"/>
      <c r="S61" s="1241"/>
      <c r="T61" s="1127"/>
      <c r="U61" s="1127" t="s">
        <v>2239</v>
      </c>
      <c r="V61" s="1127"/>
      <c r="W61" s="1127"/>
      <c r="X61" s="1127"/>
      <c r="Y61" s="1284"/>
      <c r="Z61" s="1130"/>
      <c r="AA61" s="1133"/>
      <c r="AB61" s="1130"/>
      <c r="AC61" s="1130"/>
      <c r="AD61" s="1130"/>
    </row>
    <row customHeight="1" ht="9">
      <c r="A62" s="1129"/>
      <c r="B62" s="1183">
        <v>45</v>
      </c>
      <c r="C62" s="1127"/>
      <c r="D62" s="1251" t="s">
        <v>2240</v>
      </c>
      <c r="E62" s="1127"/>
      <c r="F62" s="1127"/>
      <c r="G62" s="1127"/>
      <c r="H62" s="1175"/>
      <c r="I62" s="1289">
        <f>INDEX(TEMPLATE_NUMBER_POINT_FHD,B62,MATCH(TEMPLATE_SPHERE,TEMPLATE_SPHERE_LIST_FOR_NOTE,0))</f>
        <v>0</v>
      </c>
      <c r="J62" s="1289">
        <f>INDEX(TEMPLATE_DATA_POINT_FHD,B62,MATCH(TEMPLATE_SPHERE,TEMPLATE_SPHERE_LIST_FOR_NOTE,0))</f>
        <v>0</v>
      </c>
      <c r="K62" s="1289">
        <f>INDEX(TEMPLATE_NOTE_POINT_FHD,B62,MATCH(TEMPLATE_SPHERE,TEMPLATE_SPHERE_LIST_FOR_NOTE,0))</f>
        <v>0</v>
      </c>
      <c r="L62" s="1128" t="str">
        <f>IF(I62=0,"",I62)</f>
        <v/>
      </c>
      <c r="M62" s="1128" t="str">
        <f>IF(J62=0,"",J62)</f>
        <v/>
      </c>
      <c r="N62" s="1128" t="str">
        <f>IF(K62=0,"",K62)</f>
        <v/>
      </c>
      <c r="O62" s="1241"/>
      <c r="P62" s="1241" t="s">
        <v>142</v>
      </c>
      <c r="Q62" s="1241"/>
      <c r="R62" s="1241"/>
      <c r="S62" s="1241"/>
      <c r="T62" s="1127"/>
      <c r="U62" s="1127" t="s">
        <v>2241</v>
      </c>
      <c r="V62" s="1127"/>
      <c r="W62" s="1127"/>
      <c r="X62" s="1127"/>
      <c r="Y62" s="1284"/>
      <c r="Z62" s="1130"/>
      <c r="AA62" s="1133"/>
      <c r="AB62" s="1130"/>
      <c r="AC62" s="1130"/>
      <c r="AD62" s="1130"/>
    </row>
    <row customHeight="1" ht="18">
      <c r="A63" s="1129"/>
      <c r="B63" s="1183">
        <v>46</v>
      </c>
      <c r="C63" s="1127"/>
      <c r="D63" s="1251" t="s">
        <v>2242</v>
      </c>
      <c r="E63" s="1127"/>
      <c r="F63" s="1127"/>
      <c r="G63" s="1127"/>
      <c r="H63" s="1175"/>
      <c r="I63" s="1289">
        <f>INDEX(TEMPLATE_NUMBER_POINT_FHD,B63,MATCH(TEMPLATE_SPHERE,TEMPLATE_SPHERE_LIST_FOR_NOTE,0))</f>
        <v>0</v>
      </c>
      <c r="J63" s="1289">
        <f>INDEX(TEMPLATE_DATA_POINT_FHD,B63,MATCH(TEMPLATE_SPHERE,TEMPLATE_SPHERE_LIST_FOR_NOTE,0))</f>
        <v>0</v>
      </c>
      <c r="K63" s="1289">
        <f>INDEX(TEMPLATE_NOTE_POINT_FHD,B63,MATCH(TEMPLATE_SPHERE,TEMPLATE_SPHERE_LIST_FOR_NOTE,0))</f>
        <v>0</v>
      </c>
      <c r="L63" s="1128" t="str">
        <f>IF(I63=0,"",I63)</f>
        <v/>
      </c>
      <c r="M63" s="1128" t="str">
        <f>IF(J63=0,"",J63)</f>
        <v/>
      </c>
      <c r="N63" s="1128" t="str">
        <f>IF(K63=0,"",K63)</f>
        <v/>
      </c>
      <c r="O63" s="1241"/>
      <c r="P63" s="1241" t="s">
        <v>178</v>
      </c>
      <c r="Q63" s="1241"/>
      <c r="R63" s="1241"/>
      <c r="S63" s="1241"/>
      <c r="T63" s="1127"/>
      <c r="U63" s="1127" t="s">
        <v>2243</v>
      </c>
      <c r="V63" s="1127"/>
      <c r="W63" s="1127"/>
      <c r="X63" s="1127"/>
      <c r="Y63" s="1284"/>
      <c r="Z63" s="1130"/>
      <c r="AA63" s="1133"/>
      <c r="AB63" s="1130"/>
      <c r="AC63" s="1130"/>
      <c r="AD63" s="1130"/>
    </row>
    <row customHeight="1" ht="18">
      <c r="A64" s="1129"/>
      <c r="B64" s="1183">
        <v>47</v>
      </c>
      <c r="C64" s="1127"/>
      <c r="D64" s="1251" t="s">
        <v>2244</v>
      </c>
      <c r="E64" s="1127"/>
      <c r="F64" s="1127"/>
      <c r="G64" s="1127"/>
      <c r="H64" s="1175"/>
      <c r="I64" s="1289">
        <f>INDEX(TEMPLATE_NUMBER_POINT_FHD,B64,MATCH(TEMPLATE_SPHERE,TEMPLATE_SPHERE_LIST_FOR_NOTE,0))</f>
        <v>0</v>
      </c>
      <c r="J64" s="1289">
        <f>INDEX(TEMPLATE_DATA_POINT_FHD,B64,MATCH(TEMPLATE_SPHERE,TEMPLATE_SPHERE_LIST_FOR_NOTE,0))</f>
        <v>0</v>
      </c>
      <c r="K64" s="1289">
        <f>INDEX(TEMPLATE_NOTE_POINT_FHD,B64,MATCH(TEMPLATE_SPHERE,TEMPLATE_SPHERE_LIST_FOR_NOTE,0))</f>
        <v>0</v>
      </c>
      <c r="L64" s="1128" t="str">
        <f>IF(I64=0,"",I64)</f>
        <v/>
      </c>
      <c r="M64" s="1128" t="str">
        <f>IF(J64=0,"",J64)</f>
        <v/>
      </c>
      <c r="N64" s="1128" t="str">
        <f>IF(K64=0,"",K64)</f>
        <v/>
      </c>
      <c r="O64" s="1241"/>
      <c r="P64" s="1241" t="s">
        <v>179</v>
      </c>
      <c r="Q64" s="1241"/>
      <c r="R64" s="1241"/>
      <c r="S64" s="1241"/>
      <c r="T64" s="1127"/>
      <c r="U64" s="1127" t="s">
        <v>2245</v>
      </c>
      <c r="V64" s="1127"/>
      <c r="W64" s="1127"/>
      <c r="X64" s="1127"/>
      <c r="Y64" s="1284"/>
      <c r="Z64" s="1130"/>
      <c r="AA64" s="1133" t="s">
        <v>2246</v>
      </c>
      <c r="AB64" s="1130"/>
      <c r="AC64" s="1130"/>
      <c r="AD64" s="1130"/>
    </row>
    <row customHeight="1" ht="18">
      <c r="A65" s="1129"/>
      <c r="B65" s="1183">
        <v>48</v>
      </c>
      <c r="C65" s="1127"/>
      <c r="D65" s="1251"/>
      <c r="E65" s="1127"/>
      <c r="F65" s="1127"/>
      <c r="G65" s="1127"/>
      <c r="H65" s="1175"/>
      <c r="I65" s="1289">
        <f>INDEX(TEMPLATE_NUMBER_POINT_FHD,B65,MATCH(TEMPLATE_SPHERE,TEMPLATE_SPHERE_LIST_FOR_NOTE,0))</f>
        <v>0</v>
      </c>
      <c r="J65" s="1289">
        <f>INDEX(TEMPLATE_DATA_POINT_FHD,B65,MATCH(TEMPLATE_SPHERE,TEMPLATE_SPHERE_LIST_FOR_NOTE,0))</f>
        <v>0</v>
      </c>
      <c r="K65" s="1289">
        <f>INDEX(TEMPLATE_NOTE_POINT_FHD,B65,MATCH(TEMPLATE_SPHERE,TEMPLATE_SPHERE_LIST_FOR_NOTE,0))</f>
        <v>0</v>
      </c>
      <c r="L65" s="1128" t="str">
        <f>IF(I65=0,"",I65)</f>
        <v/>
      </c>
      <c r="M65" s="1128" t="str">
        <f>IF(J65=0,"",J65)</f>
        <v/>
      </c>
      <c r="N65" s="1128" t="str">
        <f>IF(K65=0,"",K65)</f>
        <v/>
      </c>
      <c r="O65" s="1241"/>
      <c r="P65" s="1241" t="s">
        <v>2159</v>
      </c>
      <c r="Q65" s="1241"/>
      <c r="R65" s="1241"/>
      <c r="S65" s="1241"/>
      <c r="T65" s="1127"/>
      <c r="U65" s="1127" t="s">
        <v>2247</v>
      </c>
      <c r="V65" s="1127"/>
      <c r="W65" s="1127"/>
      <c r="X65" s="1127"/>
      <c r="Y65" s="1284"/>
      <c r="Z65" s="1130"/>
      <c r="AA65" s="1133"/>
      <c r="AB65" s="1130"/>
      <c r="AC65" s="1130"/>
      <c r="AD65" s="1130"/>
    </row>
    <row customHeight="1" ht="18">
      <c r="A66" s="1129"/>
      <c r="B66" s="1183">
        <v>49</v>
      </c>
      <c r="C66" s="1127"/>
      <c r="D66" s="1251"/>
      <c r="E66" s="1127"/>
      <c r="F66" s="1127"/>
      <c r="G66" s="1127"/>
      <c r="H66" s="1175"/>
      <c r="I66" s="1289">
        <f>INDEX(TEMPLATE_NUMBER_POINT_FHD,B66,MATCH(TEMPLATE_SPHERE,TEMPLATE_SPHERE_LIST_FOR_NOTE,0))</f>
        <v>0</v>
      </c>
      <c r="J66" s="1289">
        <f>INDEX(TEMPLATE_DATA_POINT_FHD,B66,MATCH(TEMPLATE_SPHERE,TEMPLATE_SPHERE_LIST_FOR_NOTE,0))</f>
        <v>0</v>
      </c>
      <c r="K66" s="1289">
        <f>INDEX(TEMPLATE_NOTE_POINT_FHD,B66,MATCH(TEMPLATE_SPHERE,TEMPLATE_SPHERE_LIST_FOR_NOTE,0))</f>
        <v>0</v>
      </c>
      <c r="L66" s="1128" t="str">
        <f>IF(I66=0,"",I66)</f>
        <v/>
      </c>
      <c r="M66" s="1128" t="str">
        <f>IF(J66=0,"",J66)</f>
        <v/>
      </c>
      <c r="N66" s="1128" t="str">
        <f>IF(K66=0,"",K66)</f>
        <v/>
      </c>
      <c r="O66" s="1241"/>
      <c r="P66" s="1241" t="s">
        <v>2163</v>
      </c>
      <c r="Q66" s="1241"/>
      <c r="R66" s="1241"/>
      <c r="S66" s="1241"/>
      <c r="T66" s="1127"/>
      <c r="U66" s="1127" t="s">
        <v>2248</v>
      </c>
      <c r="V66" s="1127"/>
      <c r="W66" s="1127"/>
      <c r="X66" s="1127"/>
      <c r="Y66" s="1284"/>
      <c r="Z66" s="1130"/>
      <c r="AA66" s="1133"/>
      <c r="AB66" s="1130"/>
      <c r="AC66" s="1130"/>
      <c r="AD66" s="1130"/>
    </row>
    <row customHeight="1" ht="27">
      <c r="A67" s="1129"/>
      <c r="B67" s="1183">
        <v>50</v>
      </c>
      <c r="C67" s="1127"/>
      <c r="D67" s="1251"/>
      <c r="E67" s="1127"/>
      <c r="F67" s="1127"/>
      <c r="G67" s="1127"/>
      <c r="H67" s="1175"/>
      <c r="I67" s="1289">
        <f>INDEX(TEMPLATE_NUMBER_POINT_FHD,B67,MATCH(TEMPLATE_SPHERE,TEMPLATE_SPHERE_LIST_FOR_NOTE,0))</f>
        <v>0</v>
      </c>
      <c r="J67" s="1289">
        <f>INDEX(TEMPLATE_DATA_POINT_FHD,B67,MATCH(TEMPLATE_SPHERE,TEMPLATE_SPHERE_LIST_FOR_NOTE,0))</f>
        <v>0</v>
      </c>
      <c r="K67" s="1289">
        <f>INDEX(TEMPLATE_NOTE_POINT_FHD,B67,MATCH(TEMPLATE_SPHERE,TEMPLATE_SPHERE_LIST_FOR_NOTE,0))</f>
        <v>0</v>
      </c>
      <c r="L67" s="1128" t="str">
        <f>IF(I67=0,"",I67)</f>
        <v/>
      </c>
      <c r="M67" s="1128" t="str">
        <f>IF(J67=0,"",J67)</f>
        <v/>
      </c>
      <c r="N67" s="1128" t="str">
        <f>IF(K67=0,"",K67)</f>
        <v/>
      </c>
      <c r="O67" s="1241"/>
      <c r="P67" s="1241" t="s">
        <v>2249</v>
      </c>
      <c r="Q67" s="1241"/>
      <c r="R67" s="1241"/>
      <c r="S67" s="1241"/>
      <c r="T67" s="1127"/>
      <c r="U67" s="1127" t="s">
        <v>2250</v>
      </c>
      <c r="V67" s="1127"/>
      <c r="W67" s="1127"/>
      <c r="X67" s="1127"/>
      <c r="Y67" s="1284"/>
      <c r="Z67" s="1130"/>
      <c r="AA67" s="1133"/>
      <c r="AB67" s="1130"/>
      <c r="AC67" s="1130"/>
      <c r="AD67" s="1130"/>
    </row>
    <row customHeight="1" ht="27">
      <c r="A68" s="1129"/>
      <c r="B68" s="1183">
        <v>51</v>
      </c>
      <c r="C68" s="1127"/>
      <c r="D68" s="1251"/>
      <c r="E68" s="1127"/>
      <c r="F68" s="1127"/>
      <c r="G68" s="1127"/>
      <c r="H68" s="1175"/>
      <c r="I68" s="1289">
        <f>INDEX(TEMPLATE_NUMBER_POINT_FHD,B68,MATCH(TEMPLATE_SPHERE,TEMPLATE_SPHERE_LIST_FOR_NOTE,0))</f>
        <v>0</v>
      </c>
      <c r="J68" s="1289">
        <f>INDEX(TEMPLATE_DATA_POINT_FHD,B68,MATCH(TEMPLATE_SPHERE,TEMPLATE_SPHERE_LIST_FOR_NOTE,0))</f>
        <v>0</v>
      </c>
      <c r="K68" s="1289">
        <f>INDEX(TEMPLATE_NOTE_POINT_FHD,B68,MATCH(TEMPLATE_SPHERE,TEMPLATE_SPHERE_LIST_FOR_NOTE,0))</f>
        <v>0</v>
      </c>
      <c r="L68" s="1128" t="str">
        <f>IF(I68=0,"",I68)</f>
        <v/>
      </c>
      <c r="M68" s="1128" t="str">
        <f>IF(J68=0,"",J68)</f>
        <v/>
      </c>
      <c r="N68" s="1128" t="str">
        <f>IF(K68=0,"",K68)</f>
        <v/>
      </c>
      <c r="O68" s="1241"/>
      <c r="P68" s="1241" t="s">
        <v>2251</v>
      </c>
      <c r="Q68" s="1241"/>
      <c r="R68" s="1241"/>
      <c r="S68" s="1241"/>
      <c r="T68" s="1127"/>
      <c r="U68" s="1127" t="s">
        <v>2252</v>
      </c>
      <c r="V68" s="1127"/>
      <c r="W68" s="1127"/>
      <c r="X68" s="1127"/>
      <c r="Y68" s="1284"/>
      <c r="Z68" s="1130"/>
      <c r="AA68" s="1133"/>
      <c r="AB68" s="1130"/>
      <c r="AC68" s="1130"/>
      <c r="AD68" s="1130"/>
    </row>
    <row customHeight="1" ht="9">
      <c r="A69" s="1129"/>
      <c r="B69" s="1183">
        <v>52</v>
      </c>
      <c r="C69" s="1127"/>
      <c r="D69" s="1251" t="s">
        <v>2253</v>
      </c>
      <c r="E69" s="1127"/>
      <c r="F69" s="1127"/>
      <c r="G69" s="1127"/>
      <c r="H69" s="1175"/>
      <c r="I69" s="1289">
        <f>INDEX(TEMPLATE_NUMBER_POINT_FHD,B69,MATCH(TEMPLATE_SPHERE,TEMPLATE_SPHERE_LIST_FOR_NOTE,0))</f>
        <v>0</v>
      </c>
      <c r="J69" s="1289">
        <f>INDEX(TEMPLATE_DATA_POINT_FHD,B69,MATCH(TEMPLATE_SPHERE,TEMPLATE_SPHERE_LIST_FOR_NOTE,0))</f>
        <v>0</v>
      </c>
      <c r="K69" s="1289">
        <f>INDEX(TEMPLATE_NOTE_POINT_FHD,B69,MATCH(TEMPLATE_SPHERE,TEMPLATE_SPHERE_LIST_FOR_NOTE,0))</f>
        <v>0</v>
      </c>
      <c r="L69" s="1128" t="str">
        <f>IF(I69=0,"",I69)</f>
        <v/>
      </c>
      <c r="M69" s="1128" t="str">
        <f>IF(J69=0,"",J69)</f>
        <v/>
      </c>
      <c r="N69" s="1128" t="str">
        <f>IF(K69=0,"",K69)</f>
        <v/>
      </c>
      <c r="O69" s="1241"/>
      <c r="P69" s="1241" t="s">
        <v>180</v>
      </c>
      <c r="Q69" s="1241"/>
      <c r="R69" s="1241"/>
      <c r="S69" s="1241"/>
      <c r="T69" s="1127"/>
      <c r="U69" s="1127" t="s">
        <v>2254</v>
      </c>
      <c r="V69" s="1127"/>
      <c r="W69" s="1127"/>
      <c r="X69" s="1127"/>
      <c r="Y69" s="1284"/>
      <c r="Z69" s="1130"/>
      <c r="AA69" s="1133"/>
      <c r="AB69" s="1130"/>
      <c r="AC69" s="1130"/>
      <c r="AD69" s="1130"/>
    </row>
    <row customHeight="1" ht="27">
      <c r="A70" s="1129"/>
      <c r="B70" s="1183">
        <v>53</v>
      </c>
      <c r="C70" s="1127"/>
      <c r="D70" s="1251"/>
      <c r="E70" s="1127" t="s">
        <v>2238</v>
      </c>
      <c r="F70" s="1127"/>
      <c r="G70" s="1127"/>
      <c r="H70" s="1175"/>
      <c r="I70" s="1289">
        <f>INDEX(TEMPLATE_NUMBER_POINT_FHD,B70,MATCH(TEMPLATE_SPHERE,TEMPLATE_SPHERE_LIST_FOR_NOTE,0))</f>
        <v>0</v>
      </c>
      <c r="J70" s="1289">
        <f>INDEX(TEMPLATE_DATA_POINT_FHD,B70,MATCH(TEMPLATE_SPHERE,TEMPLATE_SPHERE_LIST_FOR_NOTE,0))</f>
        <v>0</v>
      </c>
      <c r="K70" s="1289">
        <f>INDEX(TEMPLATE_NOTE_POINT_FHD,B70,MATCH(TEMPLATE_SPHERE,TEMPLATE_SPHERE_LIST_FOR_NOTE,0))</f>
        <v>0</v>
      </c>
      <c r="L70" s="1128" t="str">
        <f>IF(I70=0,"",I70)</f>
        <v/>
      </c>
      <c r="M70" s="1128" t="str">
        <f>IF(J70=0,"",J70)</f>
        <v/>
      </c>
      <c r="N70" s="1128" t="str">
        <f>IF(K70=0,"",K70)</f>
        <v/>
      </c>
      <c r="O70" s="1241"/>
      <c r="P70" s="1241"/>
      <c r="Q70" s="1241" t="s">
        <v>96</v>
      </c>
      <c r="R70" s="1241"/>
      <c r="S70" s="1241"/>
      <c r="T70" s="1127"/>
      <c r="U70" s="1127"/>
      <c r="V70" s="1127" t="s">
        <v>2255</v>
      </c>
      <c r="W70" s="1127"/>
      <c r="X70" s="1127"/>
      <c r="Y70" s="1284"/>
      <c r="Z70" s="1130"/>
      <c r="AA70" s="1133"/>
      <c r="AB70" s="1130"/>
      <c r="AC70" s="1130"/>
      <c r="AD70" s="1130"/>
    </row>
    <row customHeight="1" ht="36">
      <c r="A71" s="1129"/>
      <c r="B71" s="1183">
        <v>54</v>
      </c>
      <c r="C71" s="1127"/>
      <c r="D71" s="1251"/>
      <c r="E71" s="1127" t="s">
        <v>2240</v>
      </c>
      <c r="F71" s="1127"/>
      <c r="G71" s="1127"/>
      <c r="H71" s="1175"/>
      <c r="I71" s="1289">
        <f>INDEX(TEMPLATE_NUMBER_POINT_FHD,B71,MATCH(TEMPLATE_SPHERE,TEMPLATE_SPHERE_LIST_FOR_NOTE,0))</f>
        <v>0</v>
      </c>
      <c r="J71" s="1289">
        <f>INDEX(TEMPLATE_DATA_POINT_FHD,B71,MATCH(TEMPLATE_SPHERE,TEMPLATE_SPHERE_LIST_FOR_NOTE,0))</f>
        <v>0</v>
      </c>
      <c r="K71" s="1289">
        <f>INDEX(TEMPLATE_NOTE_POINT_FHD,B71,MATCH(TEMPLATE_SPHERE,TEMPLATE_SPHERE_LIST_FOR_NOTE,0))</f>
        <v>0</v>
      </c>
      <c r="L71" s="1128" t="str">
        <f>IF(I71=0,"",I71)</f>
        <v/>
      </c>
      <c r="M71" s="1128" t="str">
        <f>IF(J71=0,"",J71)</f>
        <v/>
      </c>
      <c r="N71" s="1128" t="str">
        <f>IF(K71=0,"",K71)</f>
        <v/>
      </c>
      <c r="O71" s="1241"/>
      <c r="P71" s="1241"/>
      <c r="Q71" s="1241" t="s">
        <v>142</v>
      </c>
      <c r="R71" s="1241"/>
      <c r="S71" s="1241"/>
      <c r="T71" s="1127"/>
      <c r="U71" s="1127"/>
      <c r="V71" s="1127" t="s">
        <v>2256</v>
      </c>
      <c r="W71" s="1127"/>
      <c r="X71" s="1127"/>
      <c r="Y71" s="1284"/>
      <c r="Z71" s="1130"/>
      <c r="AA71" s="1133"/>
      <c r="AB71" s="1130"/>
      <c r="AC71" s="1130"/>
      <c r="AD71" s="1130"/>
    </row>
    <row customHeight="1" ht="27">
      <c r="A72" s="1129"/>
      <c r="B72" s="1183">
        <v>55</v>
      </c>
      <c r="C72" s="1127"/>
      <c r="D72" s="1251"/>
      <c r="E72" s="1127" t="s">
        <v>2242</v>
      </c>
      <c r="F72" s="1127"/>
      <c r="G72" s="1127"/>
      <c r="H72" s="1175"/>
      <c r="I72" s="1289">
        <f>INDEX(TEMPLATE_NUMBER_POINT_FHD,B72,MATCH(TEMPLATE_SPHERE,TEMPLATE_SPHERE_LIST_FOR_NOTE,0))</f>
        <v>0</v>
      </c>
      <c r="J72" s="1289">
        <f>INDEX(TEMPLATE_DATA_POINT_FHD,B72,MATCH(TEMPLATE_SPHERE,TEMPLATE_SPHERE_LIST_FOR_NOTE,0))</f>
        <v>0</v>
      </c>
      <c r="K72" s="1289">
        <f>INDEX(TEMPLATE_NOTE_POINT_FHD,B72,MATCH(TEMPLATE_SPHERE,TEMPLATE_SPHERE_LIST_FOR_NOTE,0))</f>
        <v>0</v>
      </c>
      <c r="L72" s="1128" t="str">
        <f>IF(I72=0,"",I72)</f>
        <v/>
      </c>
      <c r="M72" s="1128" t="str">
        <f>IF(J72=0,"",J72)</f>
        <v/>
      </c>
      <c r="N72" s="1128" t="str">
        <f>IF(K72=0,"",K72)</f>
        <v/>
      </c>
      <c r="O72" s="1241"/>
      <c r="P72" s="1241"/>
      <c r="Q72" s="1241" t="s">
        <v>178</v>
      </c>
      <c r="R72" s="1241"/>
      <c r="S72" s="1241"/>
      <c r="T72" s="1127"/>
      <c r="U72" s="1127"/>
      <c r="V72" s="1127" t="s">
        <v>2257</v>
      </c>
      <c r="W72" s="1127"/>
      <c r="X72" s="1127"/>
      <c r="Y72" s="1284"/>
      <c r="Z72" s="1130"/>
      <c r="AA72" s="1133"/>
      <c r="AB72" s="1130"/>
      <c r="AC72" s="1130"/>
      <c r="AD72" s="1130"/>
    </row>
    <row customHeight="1" ht="36">
      <c r="A73" s="1129"/>
      <c r="B73" s="1183">
        <v>56</v>
      </c>
      <c r="C73" s="1127"/>
      <c r="D73" s="1251"/>
      <c r="E73" s="1127" t="s">
        <v>2244</v>
      </c>
      <c r="F73" s="1127"/>
      <c r="G73" s="1127"/>
      <c r="H73" s="1175"/>
      <c r="I73" s="1289">
        <f>INDEX(TEMPLATE_NUMBER_POINT_FHD,B73,MATCH(TEMPLATE_SPHERE,TEMPLATE_SPHERE_LIST_FOR_NOTE,0))</f>
        <v>0</v>
      </c>
      <c r="J73" s="1289">
        <f>INDEX(TEMPLATE_DATA_POINT_FHD,B73,MATCH(TEMPLATE_SPHERE,TEMPLATE_SPHERE_LIST_FOR_NOTE,0))</f>
        <v>0</v>
      </c>
      <c r="K73" s="1289">
        <f>INDEX(TEMPLATE_NOTE_POINT_FHD,B73,MATCH(TEMPLATE_SPHERE,TEMPLATE_SPHERE_LIST_FOR_NOTE,0))</f>
        <v>0</v>
      </c>
      <c r="L73" s="1128" t="str">
        <f>IF(I73=0,"",I73)</f>
        <v/>
      </c>
      <c r="M73" s="1128" t="str">
        <f>IF(J73=0,"",J73)</f>
        <v/>
      </c>
      <c r="N73" s="1128" t="str">
        <f>IF(K73=0,"",K73)</f>
        <v/>
      </c>
      <c r="O73" s="1241"/>
      <c r="P73" s="1241"/>
      <c r="Q73" s="1241" t="s">
        <v>179</v>
      </c>
      <c r="R73" s="1241"/>
      <c r="S73" s="1241"/>
      <c r="T73" s="1127"/>
      <c r="U73" s="1127"/>
      <c r="V73" s="1127" t="s">
        <v>2258</v>
      </c>
      <c r="W73" s="1127"/>
      <c r="X73" s="1127"/>
      <c r="Y73" s="1284"/>
      <c r="Z73" s="1130"/>
      <c r="AA73" s="1133"/>
      <c r="AB73" s="1130"/>
      <c r="AC73" s="1130"/>
      <c r="AD73" s="1130"/>
    </row>
    <row customHeight="1" ht="18">
      <c r="A74" s="1129"/>
      <c r="B74" s="1183">
        <v>57</v>
      </c>
      <c r="C74" s="1127"/>
      <c r="D74" s="1251"/>
      <c r="E74" s="1127" t="s">
        <v>2253</v>
      </c>
      <c r="F74" s="1127"/>
      <c r="G74" s="1127"/>
      <c r="H74" s="1175"/>
      <c r="I74" s="1289">
        <f>INDEX(TEMPLATE_NUMBER_POINT_FHD,B74,MATCH(TEMPLATE_SPHERE,TEMPLATE_SPHERE_LIST_FOR_NOTE,0))</f>
        <v>0</v>
      </c>
      <c r="J74" s="1289">
        <f>INDEX(TEMPLATE_DATA_POINT_FHD,B74,MATCH(TEMPLATE_SPHERE,TEMPLATE_SPHERE_LIST_FOR_NOTE,0))</f>
        <v>0</v>
      </c>
      <c r="K74" s="1289">
        <f>INDEX(TEMPLATE_NOTE_POINT_FHD,B74,MATCH(TEMPLATE_SPHERE,TEMPLATE_SPHERE_LIST_FOR_NOTE,0))</f>
        <v>0</v>
      </c>
      <c r="L74" s="1128" t="str">
        <f>IF(I74=0,"",I74)</f>
        <v/>
      </c>
      <c r="M74" s="1128" t="str">
        <f>IF(J74=0,"",J74)</f>
        <v/>
      </c>
      <c r="N74" s="1128" t="str">
        <f>IF(K74=0,"",K74)</f>
        <v/>
      </c>
      <c r="O74" s="1241"/>
      <c r="P74" s="1241"/>
      <c r="Q74" s="1241" t="s">
        <v>180</v>
      </c>
      <c r="R74" s="1241"/>
      <c r="S74" s="1241"/>
      <c r="T74" s="1127"/>
      <c r="U74" s="1127"/>
      <c r="V74" s="1127" t="s">
        <v>2259</v>
      </c>
      <c r="W74" s="1127"/>
      <c r="X74" s="1127"/>
      <c r="Y74" s="1284"/>
      <c r="Z74" s="1130"/>
      <c r="AA74" s="1133"/>
      <c r="AB74" s="1130"/>
      <c r="AC74" s="1130"/>
      <c r="AD74" s="1130"/>
    </row>
    <row customHeight="1" ht="18">
      <c r="A75" s="1129"/>
      <c r="B75" s="1183">
        <v>58</v>
      </c>
      <c r="C75" s="1127"/>
      <c r="D75" s="1251"/>
      <c r="E75" s="1127"/>
      <c r="F75" s="1127" t="s">
        <v>2238</v>
      </c>
      <c r="G75" s="1127"/>
      <c r="H75" s="1175"/>
      <c r="I75" s="1289">
        <f>INDEX(TEMPLATE_NUMBER_POINT_FHD,B75,MATCH(TEMPLATE_SPHERE,TEMPLATE_SPHERE_LIST_FOR_NOTE,0))</f>
        <v>0</v>
      </c>
      <c r="J75" s="1289">
        <f>INDEX(TEMPLATE_DATA_POINT_FHD,B75,MATCH(TEMPLATE_SPHERE,TEMPLATE_SPHERE_LIST_FOR_NOTE,0))</f>
        <v>0</v>
      </c>
      <c r="K75" s="1289">
        <f>INDEX(TEMPLATE_NOTE_POINT_FHD,B75,MATCH(TEMPLATE_SPHERE,TEMPLATE_SPHERE_LIST_FOR_NOTE,0))</f>
        <v>0</v>
      </c>
      <c r="L75" s="1128" t="str">
        <f>IF(I75=0,"",I75)</f>
        <v/>
      </c>
      <c r="M75" s="1128" t="str">
        <f>IF(J75=0,"",J75)</f>
        <v/>
      </c>
      <c r="N75" s="1128" t="str">
        <f>IF(K75=0,"",K75)</f>
        <v/>
      </c>
      <c r="O75" s="1241"/>
      <c r="P75" s="1241"/>
      <c r="Q75" s="1241"/>
      <c r="R75" s="1241" t="s">
        <v>96</v>
      </c>
      <c r="S75" s="1241"/>
      <c r="T75" s="1127"/>
      <c r="U75" s="1127"/>
      <c r="V75" s="1127"/>
      <c r="W75" s="1127" t="s">
        <v>2260</v>
      </c>
      <c r="X75" s="1127"/>
      <c r="Y75" s="1284"/>
      <c r="Z75" s="1130"/>
      <c r="AA75" s="1133"/>
      <c r="AB75" s="1130"/>
      <c r="AC75" s="1130"/>
      <c r="AD75" s="1130"/>
    </row>
    <row customHeight="1" ht="36">
      <c r="A76" s="1129"/>
      <c r="B76" s="1183">
        <v>59</v>
      </c>
      <c r="C76" s="1127"/>
      <c r="D76" s="1251"/>
      <c r="E76" s="1127"/>
      <c r="F76" s="1127" t="s">
        <v>2240</v>
      </c>
      <c r="G76" s="1127"/>
      <c r="H76" s="1175"/>
      <c r="I76" s="1289">
        <f>INDEX(TEMPLATE_NUMBER_POINT_FHD,B76,MATCH(TEMPLATE_SPHERE,TEMPLATE_SPHERE_LIST_FOR_NOTE,0))</f>
        <v>0</v>
      </c>
      <c r="J76" s="1289">
        <f>INDEX(TEMPLATE_DATA_POINT_FHD,B76,MATCH(TEMPLATE_SPHERE,TEMPLATE_SPHERE_LIST_FOR_NOTE,0))</f>
        <v>0</v>
      </c>
      <c r="K76" s="1289">
        <f>INDEX(TEMPLATE_NOTE_POINT_FHD,B76,MATCH(TEMPLATE_SPHERE,TEMPLATE_SPHERE_LIST_FOR_NOTE,0))</f>
        <v>0</v>
      </c>
      <c r="L76" s="1128" t="str">
        <f>IF(I76=0,"",I76)</f>
        <v/>
      </c>
      <c r="M76" s="1128" t="str">
        <f>IF(J76=0,"",J76)</f>
        <v/>
      </c>
      <c r="N76" s="1128" t="str">
        <f>IF(K76=0,"",K76)</f>
        <v/>
      </c>
      <c r="O76" s="1241"/>
      <c r="P76" s="1241"/>
      <c r="Q76" s="1241"/>
      <c r="R76" s="1241" t="s">
        <v>142</v>
      </c>
      <c r="S76" s="1241"/>
      <c r="T76" s="1127"/>
      <c r="U76" s="1127"/>
      <c r="V76" s="1127"/>
      <c r="W76" s="1127" t="s">
        <v>2261</v>
      </c>
      <c r="X76" s="1127"/>
      <c r="Y76" s="1284"/>
      <c r="Z76" s="1130"/>
      <c r="AA76" s="1133"/>
      <c r="AB76" s="1130"/>
      <c r="AC76" s="1130"/>
      <c r="AD76" s="1130"/>
    </row>
    <row customHeight="1" ht="18">
      <c r="A77" s="1129"/>
      <c r="B77" s="1183">
        <v>60</v>
      </c>
      <c r="C77" s="1127"/>
      <c r="D77" s="1251"/>
      <c r="E77" s="1127"/>
      <c r="F77" s="1127" t="s">
        <v>2242</v>
      </c>
      <c r="G77" s="1127"/>
      <c r="H77" s="1175"/>
      <c r="I77" s="1289">
        <f>INDEX(TEMPLATE_NUMBER_POINT_FHD,B77,MATCH(TEMPLATE_SPHERE,TEMPLATE_SPHERE_LIST_FOR_NOTE,0))</f>
        <v>0</v>
      </c>
      <c r="J77" s="1289">
        <f>INDEX(TEMPLATE_DATA_POINT_FHD,B77,MATCH(TEMPLATE_SPHERE,TEMPLATE_SPHERE_LIST_FOR_NOTE,0))</f>
        <v>0</v>
      </c>
      <c r="K77" s="1289">
        <f>INDEX(TEMPLATE_NOTE_POINT_FHD,B77,MATCH(TEMPLATE_SPHERE,TEMPLATE_SPHERE_LIST_FOR_NOTE,0))</f>
        <v>0</v>
      </c>
      <c r="L77" s="1128" t="str">
        <f>IF(I77=0,"",I77)</f>
        <v/>
      </c>
      <c r="M77" s="1128" t="str">
        <f>IF(J77=0,"",J77)</f>
        <v/>
      </c>
      <c r="N77" s="1128" t="str">
        <f>IF(K77=0,"",K77)</f>
        <v/>
      </c>
      <c r="O77" s="1241"/>
      <c r="P77" s="1241"/>
      <c r="Q77" s="1241"/>
      <c r="R77" s="1241" t="s">
        <v>178</v>
      </c>
      <c r="S77" s="1241"/>
      <c r="T77" s="1127"/>
      <c r="U77" s="1127"/>
      <c r="V77" s="1127"/>
      <c r="W77" s="1127" t="s">
        <v>2262</v>
      </c>
      <c r="X77" s="1127"/>
      <c r="Y77" s="1284"/>
      <c r="Z77" s="1130"/>
      <c r="AA77" s="1133"/>
      <c r="AB77" s="1130"/>
      <c r="AC77" s="1130"/>
      <c r="AD77" s="1130"/>
    </row>
    <row customHeight="1" ht="72">
      <c r="A78" s="1129"/>
      <c r="B78" s="1183">
        <v>61</v>
      </c>
      <c r="C78" s="1127" t="s">
        <v>2238</v>
      </c>
      <c r="D78" s="1251"/>
      <c r="E78" s="1127"/>
      <c r="F78" s="1127"/>
      <c r="G78" s="1127"/>
      <c r="H78" s="1175"/>
      <c r="I78" s="1289" t="str">
        <f>INDEX(TEMPLATE_NUMBER_POINT_FHD,B78,MATCH(TEMPLATE_SPHERE,TEMPLATE_SPHERE_LIST_FOR_NOTE,0))</f>
        <v>7</v>
      </c>
      <c r="J78" s="1289"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289"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128" t="str">
        <f>IF(I78=0,"",I78)</f>
        <v>7</v>
      </c>
      <c r="M78" s="1128"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128"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241" t="s">
        <v>96</v>
      </c>
      <c r="P78" s="1241"/>
      <c r="Q78" s="1241"/>
      <c r="R78" s="1241"/>
      <c r="S78" s="1241"/>
      <c r="T78" s="1127" t="s">
        <v>706</v>
      </c>
      <c r="U78" s="1127"/>
      <c r="V78" s="1127"/>
      <c r="W78" s="1127"/>
      <c r="X78" s="1127"/>
      <c r="Y78" s="1284"/>
      <c r="Z78" s="1130" t="s">
        <v>2263</v>
      </c>
      <c r="AA78" s="1133"/>
      <c r="AB78" s="1130"/>
      <c r="AC78" s="1130"/>
      <c r="AD78" s="1130"/>
    </row>
    <row customHeight="1" ht="36">
      <c r="A79" s="1129"/>
      <c r="B79" s="1183">
        <v>62</v>
      </c>
      <c r="C79" s="1127" t="s">
        <v>2240</v>
      </c>
      <c r="D79" s="1251"/>
      <c r="E79" s="1127"/>
      <c r="F79" s="1127"/>
      <c r="G79" s="1127"/>
      <c r="H79" s="1175"/>
      <c r="I79" s="1289" t="str">
        <f>INDEX(TEMPLATE_NUMBER_POINT_FHD,B79,MATCH(TEMPLATE_SPHERE,TEMPLATE_SPHERE_LIST_FOR_NOTE,0))</f>
        <v>8</v>
      </c>
      <c r="J79" s="1289"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289"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128" t="str">
        <f>IF(I79=0,"",I79)</f>
        <v>8</v>
      </c>
      <c r="M79" s="1128" t="str">
        <f>IF(J79=0,"",J79)</f>
        <v>Тепловая нагрузка по договорам, заключенным в рамках осуществления регулируемых видов деятельности</v>
      </c>
      <c r="N79" s="1128"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241" t="s">
        <v>142</v>
      </c>
      <c r="P79" s="1241"/>
      <c r="Q79" s="1241"/>
      <c r="R79" s="1241"/>
      <c r="S79" s="1241"/>
      <c r="T79" s="1127" t="s">
        <v>2264</v>
      </c>
      <c r="U79" s="1127"/>
      <c r="V79" s="1127"/>
      <c r="W79" s="1127"/>
      <c r="X79" s="1127"/>
      <c r="Y79" s="1284"/>
      <c r="Z79" s="1130" t="s">
        <v>2265</v>
      </c>
      <c r="AA79" s="1133"/>
      <c r="AB79" s="1130"/>
      <c r="AC79" s="1130"/>
      <c r="AD79" s="1130"/>
    </row>
    <row customHeight="1" ht="45">
      <c r="A80" s="1129"/>
      <c r="B80" s="1183">
        <v>63</v>
      </c>
      <c r="C80" s="1127" t="s">
        <v>2242</v>
      </c>
      <c r="D80" s="1251"/>
      <c r="E80" s="1127"/>
      <c r="F80" s="1127"/>
      <c r="G80" s="1127"/>
      <c r="H80" s="1175"/>
      <c r="I80" s="1289" t="str">
        <f>INDEX(TEMPLATE_NUMBER_POINT_FHD,B80,MATCH(TEMPLATE_SPHERE,TEMPLATE_SPHERE_LIST_FOR_NOTE,0))</f>
        <v>9</v>
      </c>
      <c r="J80" s="1289"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289"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128" t="str">
        <f>IF(I80=0,"",I80)</f>
        <v>9</v>
      </c>
      <c r="M80" s="1128" t="str">
        <f>IF(J80=0,"",J80)</f>
        <v>Объем вырабатываемой регулируемой организацией тепловой энергии в рамках осуществления регулируемых видов деятельности</v>
      </c>
      <c r="N80" s="1128"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241" t="s">
        <v>178</v>
      </c>
      <c r="P80" s="1241"/>
      <c r="Q80" s="1241"/>
      <c r="R80" s="1241"/>
      <c r="S80" s="1241"/>
      <c r="T80" s="1127" t="s">
        <v>2266</v>
      </c>
      <c r="U80" s="1127"/>
      <c r="V80" s="1127"/>
      <c r="W80" s="1127"/>
      <c r="X80" s="1127"/>
      <c r="Y80" s="1284"/>
      <c r="Z80" s="1130" t="s">
        <v>2267</v>
      </c>
      <c r="AA80" s="1133"/>
      <c r="AB80" s="1130"/>
      <c r="AC80" s="1130"/>
      <c r="AD80" s="1130"/>
    </row>
    <row customHeight="1" ht="36">
      <c r="A81" s="1129"/>
      <c r="B81" s="1183">
        <v>64</v>
      </c>
      <c r="C81" s="1127" t="s">
        <v>2244</v>
      </c>
      <c r="D81" s="1251"/>
      <c r="E81" s="1127"/>
      <c r="F81" s="1127"/>
      <c r="G81" s="1127"/>
      <c r="H81" s="1175"/>
      <c r="I81" s="1289" t="str">
        <f>INDEX(TEMPLATE_NUMBER_POINT_FHD,B81,MATCH(TEMPLATE_SPHERE,TEMPLATE_SPHERE_LIST_FOR_NOTE,0))</f>
        <v>9.1</v>
      </c>
      <c r="J81" s="1289"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289" t="str">
        <f>INDEX(TEMPLATE_NOTE_POINT_FHD,B81,MATCH(TEMPLATE_SPHERE,TEMPLATE_SPHERE_LIST_FOR_NOTE,0))</f>
        <v>Информация указывается только едиными теплоснабжающими организациями.</v>
      </c>
      <c r="L81" s="1128" t="str">
        <f>IF(I81=0,"",I81)</f>
        <v>9.1</v>
      </c>
      <c r="M81" s="1128" t="str">
        <f>IF(J81=0,"",J81)</f>
        <v>Объем приобретаемой регулируемой организацией тепловой энергии в рамках осуществления регулируемых видов деятельности</v>
      </c>
      <c r="N81" s="1128" t="str">
        <f>IF(K81=0,"",K81)</f>
        <v>Информация указывается только едиными теплоснабжающими организациями.</v>
      </c>
      <c r="O81" s="1241" t="s">
        <v>2150</v>
      </c>
      <c r="P81" s="1241"/>
      <c r="Q81" s="1241"/>
      <c r="R81" s="1241"/>
      <c r="S81" s="1241"/>
      <c r="T81" s="1127" t="s">
        <v>2268</v>
      </c>
      <c r="U81" s="1127"/>
      <c r="V81" s="1127"/>
      <c r="W81" s="1127"/>
      <c r="X81" s="1127"/>
      <c r="Y81" s="1284"/>
      <c r="Z81" s="1130" t="s">
        <v>2269</v>
      </c>
      <c r="AA81" s="1133"/>
      <c r="AB81" s="1130"/>
      <c r="AC81" s="1130"/>
      <c r="AD81" s="1130"/>
    </row>
    <row customHeight="1" ht="90">
      <c r="A82" s="1129"/>
      <c r="B82" s="1183">
        <v>65</v>
      </c>
      <c r="C82" s="1127" t="s">
        <v>2253</v>
      </c>
      <c r="D82" s="1251"/>
      <c r="E82" s="1127"/>
      <c r="F82" s="1127"/>
      <c r="G82" s="1127"/>
      <c r="H82" s="1175"/>
      <c r="I82" s="1289" t="str">
        <f>INDEX(TEMPLATE_NUMBER_POINT_FHD,B82,MATCH(TEMPLATE_SPHERE,TEMPLATE_SPHERE_LIST_FOR_NOTE,0))</f>
        <v>10</v>
      </c>
      <c r="J82" s="1289"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289"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128" t="str">
        <f>IF(I82=0,"",I82)</f>
        <v>10</v>
      </c>
      <c r="M82" s="1128"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128"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241" t="s">
        <v>179</v>
      </c>
      <c r="P82" s="1241"/>
      <c r="Q82" s="1241"/>
      <c r="R82" s="1241"/>
      <c r="S82" s="1241"/>
      <c r="T82" s="1127" t="s">
        <v>2270</v>
      </c>
      <c r="U82" s="1127"/>
      <c r="V82" s="1127"/>
      <c r="W82" s="1127"/>
      <c r="X82" s="1127"/>
      <c r="Y82" s="1284"/>
      <c r="Z82" s="1130" t="s">
        <v>2271</v>
      </c>
      <c r="AA82" s="1133"/>
      <c r="AB82" s="1130"/>
      <c r="AC82" s="1130"/>
      <c r="AD82" s="1130"/>
    </row>
    <row customHeight="1" ht="9">
      <c r="A83" s="1129"/>
      <c r="B83" s="1183">
        <v>66</v>
      </c>
      <c r="C83" s="1127"/>
      <c r="D83" s="1251"/>
      <c r="E83" s="1127"/>
      <c r="F83" s="1127"/>
      <c r="G83" s="1127"/>
      <c r="H83" s="1175"/>
      <c r="I83" s="1289" t="str">
        <f>INDEX(TEMPLATE_NUMBER_POINT_FHD,B83,MATCH(TEMPLATE_SPHERE,TEMPLATE_SPHERE_LIST_FOR_NOTE,0))</f>
        <v>10.1</v>
      </c>
      <c r="J83" s="1289" t="str">
        <f>INDEX(TEMPLATE_DATA_POINT_FHD,B83,MATCH(TEMPLATE_SPHERE,TEMPLATE_SPHERE_LIST_FOR_NOTE,0))</f>
        <v>По приборам учёта </v>
      </c>
      <c r="K83" s="1289">
        <f>INDEX(TEMPLATE_NOTE_POINT_FHD,B83,MATCH(TEMPLATE_SPHERE,TEMPLATE_SPHERE_LIST_FOR_NOTE,0))</f>
        <v>0</v>
      </c>
      <c r="L83" s="1128" t="str">
        <f>IF(I83=0,"",I83)</f>
        <v>10.1</v>
      </c>
      <c r="M83" s="1128" t="str">
        <f>IF(J83=0,"",J83)</f>
        <v>По приборам учёта </v>
      </c>
      <c r="N83" s="1128" t="str">
        <f>IF(K83=0,"",K83)</f>
        <v/>
      </c>
      <c r="O83" s="1241" t="s">
        <v>2159</v>
      </c>
      <c r="P83" s="1241"/>
      <c r="Q83" s="1241"/>
      <c r="R83" s="1241"/>
      <c r="S83" s="1241"/>
      <c r="T83" s="1127" t="s">
        <v>2272</v>
      </c>
      <c r="U83" s="1127"/>
      <c r="V83" s="1127"/>
      <c r="W83" s="1127"/>
      <c r="X83" s="1127"/>
      <c r="Y83" s="1284"/>
      <c r="Z83" s="1130"/>
      <c r="AA83" s="1133"/>
      <c r="AB83" s="1130"/>
      <c r="AC83" s="1130"/>
      <c r="AD83" s="1130"/>
    </row>
    <row customHeight="1" ht="54">
      <c r="A84" s="1129"/>
      <c r="B84" s="1183">
        <v>67</v>
      </c>
      <c r="C84" s="1127"/>
      <c r="D84" s="1251"/>
      <c r="E84" s="1127"/>
      <c r="F84" s="1127"/>
      <c r="G84" s="1127"/>
      <c r="H84" s="1175"/>
      <c r="I84" s="1289" t="str">
        <f>INDEX(TEMPLATE_NUMBER_POINT_FHD,B84,MATCH(TEMPLATE_SPHERE,TEMPLATE_SPHERE_LIST_FOR_NOTE,0))</f>
        <v>10.1.1</v>
      </c>
      <c r="J84" s="1289"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289">
        <f>INDEX(TEMPLATE_NOTE_POINT_FHD,B84,MATCH(TEMPLATE_SPHERE,TEMPLATE_SPHERE_LIST_FOR_NOTE,0))</f>
        <v>0</v>
      </c>
      <c r="L84" s="1128" t="str">
        <f>IF(I84=0,"",I84)</f>
        <v>10.1.1</v>
      </c>
      <c r="M84" s="1128"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128" t="str">
        <f>IF(K84=0,"",K84)</f>
        <v/>
      </c>
      <c r="O84" s="1241" t="s">
        <v>2273</v>
      </c>
      <c r="P84" s="1241"/>
      <c r="Q84" s="1241"/>
      <c r="R84" s="1241"/>
      <c r="S84" s="1241"/>
      <c r="T84" s="1127" t="s">
        <v>2274</v>
      </c>
      <c r="U84" s="1127"/>
      <c r="V84" s="1127"/>
      <c r="W84" s="1127"/>
      <c r="X84" s="1127"/>
      <c r="Y84" s="1284"/>
      <c r="Z84" s="1130"/>
      <c r="AA84" s="1133"/>
      <c r="AB84" s="1130"/>
      <c r="AC84" s="1130"/>
      <c r="AD84" s="1130"/>
    </row>
    <row customHeight="1" ht="9">
      <c r="A85" s="1129"/>
      <c r="B85" s="1183">
        <v>68</v>
      </c>
      <c r="C85" s="1127"/>
      <c r="D85" s="1251"/>
      <c r="E85" s="1127"/>
      <c r="F85" s="1127"/>
      <c r="G85" s="1127"/>
      <c r="H85" s="1175"/>
      <c r="I85" s="1289" t="str">
        <f>INDEX(TEMPLATE_NUMBER_POINT_FHD,B85,MATCH(TEMPLATE_SPHERE,TEMPLATE_SPHERE_LIST_FOR_NOTE,0))</f>
        <v>10.2</v>
      </c>
      <c r="J85" s="1289" t="str">
        <f>INDEX(TEMPLATE_DATA_POINT_FHD,B85,MATCH(TEMPLATE_SPHERE,TEMPLATE_SPHERE_LIST_FOR_NOTE,0))</f>
        <v>Расчётным путём</v>
      </c>
      <c r="K85" s="1289">
        <f>INDEX(TEMPLATE_NOTE_POINT_FHD,B85,MATCH(TEMPLATE_SPHERE,TEMPLATE_SPHERE_LIST_FOR_NOTE,0))</f>
        <v>0</v>
      </c>
      <c r="L85" s="1128" t="str">
        <f>IF(I85=0,"",I85)</f>
        <v>10.2</v>
      </c>
      <c r="M85" s="1128" t="str">
        <f>IF(J85=0,"",J85)</f>
        <v>Расчётным путём</v>
      </c>
      <c r="N85" s="1128" t="str">
        <f>IF(K85=0,"",K85)</f>
        <v/>
      </c>
      <c r="O85" s="1241" t="s">
        <v>2163</v>
      </c>
      <c r="P85" s="1241"/>
      <c r="Q85" s="1241"/>
      <c r="R85" s="1241"/>
      <c r="S85" s="1241"/>
      <c r="T85" s="1127" t="s">
        <v>2275</v>
      </c>
      <c r="U85" s="1127"/>
      <c r="V85" s="1127"/>
      <c r="W85" s="1127"/>
      <c r="X85" s="1127"/>
      <c r="Y85" s="1284"/>
      <c r="Z85" s="1130"/>
      <c r="AA85" s="1133"/>
      <c r="AB85" s="1130"/>
      <c r="AC85" s="1130"/>
      <c r="AD85" s="1130"/>
    </row>
    <row customHeight="1" ht="27">
      <c r="A86" s="1129"/>
      <c r="B86" s="1183">
        <v>69</v>
      </c>
      <c r="C86" s="1127"/>
      <c r="D86" s="1251"/>
      <c r="E86" s="1127"/>
      <c r="F86" s="1127"/>
      <c r="G86" s="1127"/>
      <c r="H86" s="1175"/>
      <c r="I86" s="1289" t="str">
        <f>INDEX(TEMPLATE_NUMBER_POINT_FHD,B86,MATCH(TEMPLATE_SPHERE,TEMPLATE_SPHERE_LIST_FOR_NOTE,0))</f>
        <v>10.3</v>
      </c>
      <c r="J86" s="1289" t="str">
        <f>INDEX(TEMPLATE_DATA_POINT_FHD,B86,MATCH(TEMPLATE_SPHERE,TEMPLATE_SPHERE_LIST_FOR_NOTE,0))</f>
        <v>По нормативам потребления коммунальных услуг и нормативам потребления коммунальных ресурсов</v>
      </c>
      <c r="K86" s="1289">
        <f>INDEX(TEMPLATE_NOTE_POINT_FHD,B86,MATCH(TEMPLATE_SPHERE,TEMPLATE_SPHERE_LIST_FOR_NOTE,0))</f>
        <v>0</v>
      </c>
      <c r="L86" s="1128" t="str">
        <f>IF(I86=0,"",I86)</f>
        <v>10.3</v>
      </c>
      <c r="M86" s="1128" t="str">
        <f>IF(J86=0,"",J86)</f>
        <v>По нормативам потребления коммунальных услуг и нормативам потребления коммунальных ресурсов</v>
      </c>
      <c r="N86" s="1128" t="str">
        <f>IF(K86=0,"",K86)</f>
        <v/>
      </c>
      <c r="O86" s="1241" t="s">
        <v>2276</v>
      </c>
      <c r="P86" s="1241"/>
      <c r="Q86" s="1241"/>
      <c r="R86" s="1241"/>
      <c r="S86" s="1241"/>
      <c r="T86" s="1127" t="s">
        <v>2277</v>
      </c>
      <c r="U86" s="1127"/>
      <c r="V86" s="1127"/>
      <c r="W86" s="1127"/>
      <c r="X86" s="1127"/>
      <c r="Y86" s="1284"/>
      <c r="Z86" s="1130"/>
      <c r="AA86" s="1133"/>
      <c r="AB86" s="1130"/>
      <c r="AC86" s="1130"/>
      <c r="AD86" s="1130"/>
    </row>
    <row customHeight="1" ht="36">
      <c r="A87" s="1129"/>
      <c r="B87" s="1183">
        <v>70</v>
      </c>
      <c r="C87" s="1127" t="s">
        <v>2278</v>
      </c>
      <c r="D87" s="1251"/>
      <c r="E87" s="1127"/>
      <c r="F87" s="1127"/>
      <c r="G87" s="1127"/>
      <c r="H87" s="1175"/>
      <c r="I87" s="1289" t="str">
        <f>INDEX(TEMPLATE_NUMBER_POINT_FHD,B87,MATCH(TEMPLATE_SPHERE,TEMPLATE_SPHERE_LIST_FOR_NOTE,0))</f>
        <v>11</v>
      </c>
      <c r="J87" s="1289"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289">
        <f>INDEX(TEMPLATE_NOTE_POINT_FHD,B87,MATCH(TEMPLATE_SPHERE,TEMPLATE_SPHERE_LIST_FOR_NOTE,0))</f>
        <v>0</v>
      </c>
      <c r="L87" s="1128" t="str">
        <f>IF(I87=0,"",I87)</f>
        <v>11</v>
      </c>
      <c r="M87" s="1128" t="str">
        <f>IF(J87=0,"",J87)</f>
        <v>Нормативы технологических потерь при передаче тепловой энергии, теплоносителя по тепловым сетям, утвержденные уполномоченным органом</v>
      </c>
      <c r="N87" s="1128" t="str">
        <f>IF(K87=0,"",K87)</f>
        <v/>
      </c>
      <c r="O87" s="1241" t="s">
        <v>180</v>
      </c>
      <c r="P87" s="1241"/>
      <c r="Q87" s="1241"/>
      <c r="R87" s="1241"/>
      <c r="S87" s="1241"/>
      <c r="T87" s="1127" t="s">
        <v>2279</v>
      </c>
      <c r="U87" s="1127"/>
      <c r="V87" s="1127"/>
      <c r="W87" s="1127"/>
      <c r="X87" s="1127"/>
      <c r="Y87" s="1284"/>
      <c r="Z87" s="1130"/>
      <c r="AA87" s="1133"/>
      <c r="AB87" s="1130"/>
      <c r="AC87" s="1130"/>
      <c r="AD87" s="1130"/>
    </row>
    <row customHeight="1" ht="18">
      <c r="A88" s="1129"/>
      <c r="B88" s="1183">
        <v>71</v>
      </c>
      <c r="C88" s="1127" t="s">
        <v>2280</v>
      </c>
      <c r="D88" s="1251"/>
      <c r="E88" s="1127"/>
      <c r="F88" s="1127"/>
      <c r="G88" s="1127"/>
      <c r="H88" s="1175"/>
      <c r="I88" s="1289" t="str">
        <f>INDEX(TEMPLATE_NUMBER_POINT_FHD,B88,MATCH(TEMPLATE_SPHERE,TEMPLATE_SPHERE_LIST_FOR_NOTE,0))</f>
        <v>12</v>
      </c>
      <c r="J88" s="1289" t="str">
        <f>INDEX(TEMPLATE_DATA_POINT_FHD,B88,MATCH(TEMPLATE_SPHERE,TEMPLATE_SPHERE_LIST_FOR_NOTE,0))</f>
        <v>Фактический объем потерь при передаче тепловой энергии</v>
      </c>
      <c r="K88" s="1289">
        <f>INDEX(TEMPLATE_NOTE_POINT_FHD,B88,MATCH(TEMPLATE_SPHERE,TEMPLATE_SPHERE_LIST_FOR_NOTE,0))</f>
        <v>0</v>
      </c>
      <c r="L88" s="1128" t="str">
        <f>IF(I88=0,"",I88)</f>
        <v>12</v>
      </c>
      <c r="M88" s="1128" t="str">
        <f>IF(J88=0,"",J88)</f>
        <v>Фактический объем потерь при передаче тепловой энергии</v>
      </c>
      <c r="N88" s="1128" t="str">
        <f>IF(K88=0,"",K88)</f>
        <v/>
      </c>
      <c r="O88" s="1241" t="s">
        <v>181</v>
      </c>
      <c r="P88" s="1241"/>
      <c r="Q88" s="1241"/>
      <c r="R88" s="1241"/>
      <c r="S88" s="1241"/>
      <c r="T88" s="1127" t="s">
        <v>738</v>
      </c>
      <c r="U88" s="1127"/>
      <c r="V88" s="1127"/>
      <c r="W88" s="1127"/>
      <c r="X88" s="1127"/>
      <c r="Y88" s="1284"/>
      <c r="Z88" s="1130"/>
      <c r="AA88" s="1133"/>
      <c r="AB88" s="1130"/>
      <c r="AC88" s="1130"/>
      <c r="AD88" s="1130"/>
    </row>
    <row customHeight="1" ht="18">
      <c r="A89" s="1129"/>
      <c r="B89" s="1183">
        <v>72</v>
      </c>
      <c r="C89" s="1127" t="s">
        <v>2281</v>
      </c>
      <c r="D89" s="1251" t="s">
        <v>2278</v>
      </c>
      <c r="E89" s="1127" t="s">
        <v>2278</v>
      </c>
      <c r="F89" s="1127" t="s">
        <v>2244</v>
      </c>
      <c r="G89" s="1127"/>
      <c r="H89" s="1175"/>
      <c r="I89" s="1289" t="str">
        <f>INDEX(TEMPLATE_NUMBER_POINT_FHD,B89,MATCH(TEMPLATE_SPHERE,TEMPLATE_SPHERE_LIST_FOR_NOTE,0))</f>
        <v>13</v>
      </c>
      <c r="J89" s="1289" t="str">
        <f>INDEX(TEMPLATE_DATA_POINT_FHD,B89,MATCH(TEMPLATE_SPHERE,TEMPLATE_SPHERE_LIST_FOR_NOTE,0))</f>
        <v>Среднесписочная численность основного производственного персонала</v>
      </c>
      <c r="K89" s="1289">
        <f>INDEX(TEMPLATE_NOTE_POINT_FHD,B89,MATCH(TEMPLATE_SPHERE,TEMPLATE_SPHERE_LIST_FOR_NOTE,0))</f>
        <v>0</v>
      </c>
      <c r="L89" s="1128" t="str">
        <f>IF(I89=0,"",I89)</f>
        <v>13</v>
      </c>
      <c r="M89" s="1128" t="str">
        <f>IF(J89=0,"",J89)</f>
        <v>Среднесписочная численность основного производственного персонала</v>
      </c>
      <c r="N89" s="1128" t="str">
        <f>IF(K89=0,"",K89)</f>
        <v/>
      </c>
      <c r="O89" s="1241" t="s">
        <v>182</v>
      </c>
      <c r="P89" s="1241" t="s">
        <v>181</v>
      </c>
      <c r="Q89" s="1241" t="s">
        <v>181</v>
      </c>
      <c r="R89" s="1241" t="s">
        <v>179</v>
      </c>
      <c r="S89" s="1241"/>
      <c r="T89" s="1127" t="s">
        <v>746</v>
      </c>
      <c r="U89" s="1127" t="s">
        <v>746</v>
      </c>
      <c r="V89" s="1127" t="s">
        <v>746</v>
      </c>
      <c r="W89" s="1127" t="s">
        <v>746</v>
      </c>
      <c r="X89" s="1127"/>
      <c r="Y89" s="1284"/>
      <c r="Z89" s="1130"/>
      <c r="AA89" s="1133"/>
      <c r="AB89" s="1130"/>
      <c r="AC89" s="1130"/>
      <c r="AD89" s="1130"/>
    </row>
    <row customHeight="1" ht="27">
      <c r="A90" s="1129"/>
      <c r="B90" s="1183">
        <v>73</v>
      </c>
      <c r="C90" s="1127" t="s">
        <v>2282</v>
      </c>
      <c r="D90" s="1251"/>
      <c r="E90" s="1127"/>
      <c r="F90" s="1127"/>
      <c r="G90" s="1127"/>
      <c r="H90" s="1175"/>
      <c r="I90" s="1289" t="str">
        <f>INDEX(TEMPLATE_NUMBER_POINT_FHD,B90,MATCH(TEMPLATE_SPHERE,TEMPLATE_SPHERE_LIST_FOR_NOTE,0))</f>
        <v>14</v>
      </c>
      <c r="J90" s="1289" t="str">
        <f>INDEX(TEMPLATE_DATA_POINT_FHD,B90,MATCH(TEMPLATE_SPHERE,TEMPLATE_SPHERE_LIST_FOR_NOTE,0))</f>
        <v>Среднесписочная численность административно-управленческого персонала</v>
      </c>
      <c r="K90" s="1289">
        <f>INDEX(TEMPLATE_NOTE_POINT_FHD,B90,MATCH(TEMPLATE_SPHERE,TEMPLATE_SPHERE_LIST_FOR_NOTE,0))</f>
        <v>0</v>
      </c>
      <c r="L90" s="1128" t="str">
        <f>IF(I90=0,"",I90)</f>
        <v>14</v>
      </c>
      <c r="M90" s="1128" t="str">
        <f>IF(J90=0,"",J90)</f>
        <v>Среднесписочная численность административно-управленческого персонала</v>
      </c>
      <c r="N90" s="1128" t="str">
        <f>IF(K90=0,"",K90)</f>
        <v/>
      </c>
      <c r="O90" s="1241" t="s">
        <v>183</v>
      </c>
      <c r="P90" s="1241"/>
      <c r="Q90" s="1241"/>
      <c r="R90" s="1241"/>
      <c r="S90" s="1241"/>
      <c r="T90" s="1127" t="s">
        <v>748</v>
      </c>
      <c r="U90" s="1127"/>
      <c r="V90" s="1127"/>
      <c r="W90" s="1127"/>
      <c r="X90" s="1127"/>
      <c r="Y90" s="1284"/>
      <c r="Z90" s="1130"/>
      <c r="AA90" s="1133"/>
      <c r="AB90" s="1130"/>
      <c r="AC90" s="1130"/>
      <c r="AD90" s="1130"/>
    </row>
    <row customHeight="1" ht="18">
      <c r="A91" s="1129"/>
      <c r="B91" s="1183">
        <v>74</v>
      </c>
      <c r="C91" s="1127"/>
      <c r="D91" s="1251" t="s">
        <v>2280</v>
      </c>
      <c r="E91" s="1127" t="s">
        <v>2280</v>
      </c>
      <c r="F91" s="1127"/>
      <c r="G91" s="1127"/>
      <c r="H91" s="1175"/>
      <c r="I91" s="1289">
        <f>INDEX(TEMPLATE_NUMBER_POINT_FHD,B91,MATCH(TEMPLATE_SPHERE,TEMPLATE_SPHERE_LIST_FOR_NOTE,0))</f>
        <v>0</v>
      </c>
      <c r="J91" s="1289">
        <f>INDEX(TEMPLATE_DATA_POINT_FHD,B91,MATCH(TEMPLATE_SPHERE,TEMPLATE_SPHERE_LIST_FOR_NOTE,0))</f>
        <v>0</v>
      </c>
      <c r="K91" s="1289">
        <f>INDEX(TEMPLATE_NOTE_POINT_FHD,B91,MATCH(TEMPLATE_SPHERE,TEMPLATE_SPHERE_LIST_FOR_NOTE,0))</f>
        <v>0</v>
      </c>
      <c r="L91" s="1128" t="str">
        <f>IF(I91=0,"",I91)</f>
        <v/>
      </c>
      <c r="M91" s="1128" t="str">
        <f>IF(J91=0,"",J91)</f>
        <v/>
      </c>
      <c r="N91" s="1128" t="str">
        <f>IF(K91=0,"",K91)</f>
        <v/>
      </c>
      <c r="O91" s="1241"/>
      <c r="P91" s="1241" t="s">
        <v>182</v>
      </c>
      <c r="Q91" s="1241" t="s">
        <v>182</v>
      </c>
      <c r="R91" s="1241"/>
      <c r="S91" s="1241"/>
      <c r="T91" s="1127"/>
      <c r="U91" s="1127" t="s">
        <v>2283</v>
      </c>
      <c r="V91" s="1127" t="s">
        <v>2283</v>
      </c>
      <c r="W91" s="1127"/>
      <c r="X91" s="1127"/>
      <c r="Y91" s="1284"/>
      <c r="Z91" s="1130"/>
      <c r="AA91" s="1133"/>
      <c r="AB91" s="1130"/>
      <c r="AC91" s="1130"/>
      <c r="AD91" s="1130"/>
    </row>
    <row customHeight="1" ht="27">
      <c r="A92" s="1129"/>
      <c r="B92" s="1183">
        <v>75</v>
      </c>
      <c r="C92" s="1127"/>
      <c r="D92" s="1251" t="s">
        <v>2281</v>
      </c>
      <c r="E92" s="1127"/>
      <c r="F92" s="1127"/>
      <c r="G92" s="1127"/>
      <c r="H92" s="1175"/>
      <c r="I92" s="1289">
        <f>INDEX(TEMPLATE_NUMBER_POINT_FHD,B92,MATCH(TEMPLATE_SPHERE,TEMPLATE_SPHERE_LIST_FOR_NOTE,0))</f>
        <v>0</v>
      </c>
      <c r="J92" s="1289">
        <f>INDEX(TEMPLATE_DATA_POINT_FHD,B92,MATCH(TEMPLATE_SPHERE,TEMPLATE_SPHERE_LIST_FOR_NOTE,0))</f>
        <v>0</v>
      </c>
      <c r="K92" s="1289">
        <f>INDEX(TEMPLATE_NOTE_POINT_FHD,B92,MATCH(TEMPLATE_SPHERE,TEMPLATE_SPHERE_LIST_FOR_NOTE,0))</f>
        <v>0</v>
      </c>
      <c r="L92" s="1128" t="str">
        <f>IF(I92=0,"",I92)</f>
        <v/>
      </c>
      <c r="M92" s="1128" t="str">
        <f>IF(J92=0,"",J92)</f>
        <v/>
      </c>
      <c r="N92" s="1128" t="str">
        <f>IF(K92=0,"",K92)</f>
        <v/>
      </c>
      <c r="O92" s="1241"/>
      <c r="P92" s="1241" t="s">
        <v>183</v>
      </c>
      <c r="Q92" s="1241"/>
      <c r="R92" s="1241"/>
      <c r="S92" s="1241"/>
      <c r="T92" s="1127"/>
      <c r="U92" s="1127" t="s">
        <v>2284</v>
      </c>
      <c r="V92" s="1127"/>
      <c r="W92" s="1127"/>
      <c r="X92" s="1127"/>
      <c r="Y92" s="1284"/>
      <c r="Z92" s="1130"/>
      <c r="AA92" s="1133" t="s">
        <v>2285</v>
      </c>
      <c r="AB92" s="1130"/>
      <c r="AC92" s="1130"/>
      <c r="AD92" s="1130"/>
    </row>
    <row customHeight="1" ht="27">
      <c r="A93" s="1129"/>
      <c r="B93" s="1183">
        <v>76</v>
      </c>
      <c r="C93" s="1127"/>
      <c r="D93" s="1251"/>
      <c r="E93" s="1127"/>
      <c r="F93" s="1127"/>
      <c r="G93" s="1127"/>
      <c r="H93" s="1175"/>
      <c r="I93" s="1289">
        <f>INDEX(TEMPLATE_NUMBER_POINT_FHD,B93,MATCH(TEMPLATE_SPHERE,TEMPLATE_SPHERE_LIST_FOR_NOTE,0))</f>
        <v>0</v>
      </c>
      <c r="J93" s="1289">
        <f>INDEX(TEMPLATE_DATA_POINT_FHD,B93,MATCH(TEMPLATE_SPHERE,TEMPLATE_SPHERE_LIST_FOR_NOTE,0))</f>
        <v>0</v>
      </c>
      <c r="K93" s="1289">
        <f>INDEX(TEMPLATE_NOTE_POINT_FHD,B93,MATCH(TEMPLATE_SPHERE,TEMPLATE_SPHERE_LIST_FOR_NOTE,0))</f>
        <v>0</v>
      </c>
      <c r="L93" s="1128" t="str">
        <f>IF(I93=0,"",I93)</f>
        <v/>
      </c>
      <c r="M93" s="1128" t="str">
        <f>IF(J93=0,"",J93)</f>
        <v/>
      </c>
      <c r="N93" s="1128" t="str">
        <f>IF(K93=0,"",K93)</f>
        <v/>
      </c>
      <c r="O93" s="1241"/>
      <c r="P93" s="1241" t="s">
        <v>2191</v>
      </c>
      <c r="Q93" s="1241"/>
      <c r="R93" s="1241"/>
      <c r="S93" s="1241"/>
      <c r="T93" s="1127"/>
      <c r="U93" s="1127" t="s">
        <v>2286</v>
      </c>
      <c r="V93" s="1127"/>
      <c r="W93" s="1127"/>
      <c r="X93" s="1127"/>
      <c r="Y93" s="1284"/>
      <c r="Z93" s="1130"/>
      <c r="AA93" s="1133" t="s">
        <v>2287</v>
      </c>
      <c r="AB93" s="1130"/>
      <c r="AC93" s="1130"/>
      <c r="AD93" s="1130"/>
    </row>
    <row customHeight="1" ht="45">
      <c r="A94" s="1129"/>
      <c r="B94" s="1183">
        <v>77</v>
      </c>
      <c r="C94" s="1127"/>
      <c r="D94" s="1251" t="s">
        <v>2282</v>
      </c>
      <c r="E94" s="1127"/>
      <c r="F94" s="1127"/>
      <c r="G94" s="1127"/>
      <c r="H94" s="1175"/>
      <c r="I94" s="1289">
        <f>INDEX(TEMPLATE_NUMBER_POINT_FHD,B94,MATCH(TEMPLATE_SPHERE,TEMPLATE_SPHERE_LIST_FOR_NOTE,0))</f>
        <v>0</v>
      </c>
      <c r="J94" s="1289">
        <f>INDEX(TEMPLATE_DATA_POINT_FHD,B94,MATCH(TEMPLATE_SPHERE,TEMPLATE_SPHERE_LIST_FOR_NOTE,0))</f>
        <v>0</v>
      </c>
      <c r="K94" s="1289">
        <f>INDEX(TEMPLATE_NOTE_POINT_FHD,B94,MATCH(TEMPLATE_SPHERE,TEMPLATE_SPHERE_LIST_FOR_NOTE,0))</f>
        <v>0</v>
      </c>
      <c r="L94" s="1128" t="str">
        <f>IF(I94=0,"",I94)</f>
        <v/>
      </c>
      <c r="M94" s="1128" t="str">
        <f>IF(J94=0,"",J94)</f>
        <v/>
      </c>
      <c r="N94" s="1128" t="str">
        <f>IF(K94=0,"",K94)</f>
        <v/>
      </c>
      <c r="O94" s="1241"/>
      <c r="P94" s="1241" t="s">
        <v>1544</v>
      </c>
      <c r="Q94" s="1241"/>
      <c r="R94" s="1241"/>
      <c r="S94" s="1241"/>
      <c r="T94" s="1127"/>
      <c r="U94" s="1127" t="s">
        <v>2288</v>
      </c>
      <c r="V94" s="1127"/>
      <c r="W94" s="1127"/>
      <c r="X94" s="1127"/>
      <c r="Y94" s="1284"/>
      <c r="Z94" s="1130"/>
      <c r="AA94" s="1133" t="s">
        <v>2289</v>
      </c>
      <c r="AB94" s="1130"/>
      <c r="AC94" s="1130"/>
      <c r="AD94" s="1130"/>
    </row>
    <row customHeight="1" ht="99">
      <c r="A95" s="1129"/>
      <c r="B95" s="1183">
        <v>78</v>
      </c>
      <c r="C95" s="1127" t="s">
        <v>2290</v>
      </c>
      <c r="D95" s="1251"/>
      <c r="E95" s="1127"/>
      <c r="F95" s="1127"/>
      <c r="G95" s="1127"/>
      <c r="H95" s="1175"/>
      <c r="I95" s="1289" t="str">
        <f>INDEX(TEMPLATE_NUMBER_POINT_FHD,B95,MATCH(TEMPLATE_SPHERE,TEMPLATE_SPHERE_LIST_FOR_NOTE,0))</f>
        <v>15</v>
      </c>
      <c r="J95" s="1289"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289">
        <f>INDEX(TEMPLATE_NOTE_POINT_FHD,B95,MATCH(TEMPLATE_SPHERE,TEMPLATE_SPHERE_LIST_FOR_NOTE,0))</f>
        <v>0</v>
      </c>
      <c r="L95" s="1128" t="str">
        <f>IF(I95=0,"",I95)</f>
        <v>15</v>
      </c>
      <c r="M95" s="1128"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128" t="str">
        <f>IF(K95=0,"",K95)</f>
        <v/>
      </c>
      <c r="O95" s="1241" t="s">
        <v>1544</v>
      </c>
      <c r="P95" s="1241"/>
      <c r="Q95" s="1241"/>
      <c r="R95" s="1241"/>
      <c r="S95" s="1241"/>
      <c r="T95" s="1127" t="s">
        <v>2291</v>
      </c>
      <c r="U95" s="1127"/>
      <c r="V95" s="1127"/>
      <c r="W95" s="1127"/>
      <c r="X95" s="1127"/>
      <c r="Y95" s="1284"/>
      <c r="Z95" s="1130"/>
      <c r="AA95" s="1133"/>
      <c r="AB95" s="1130"/>
      <c r="AC95" s="1130"/>
      <c r="AD95" s="1130"/>
    </row>
    <row customHeight="1" ht="99">
      <c r="A96" s="1129"/>
      <c r="B96" s="1183">
        <v>79</v>
      </c>
      <c r="C96" s="1127" t="s">
        <v>1232</v>
      </c>
      <c r="D96" s="1251"/>
      <c r="E96" s="1127"/>
      <c r="F96" s="1127"/>
      <c r="G96" s="1127"/>
      <c r="H96" s="1175"/>
      <c r="I96" s="1289" t="str">
        <f>INDEX(TEMPLATE_NUMBER_POINT_FHD,B96,MATCH(TEMPLATE_SPHERE,TEMPLATE_SPHERE_LIST_FOR_NOTE,0))</f>
        <v>16</v>
      </c>
      <c r="J96" s="1289"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289"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128" t="str">
        <f>IF(I96=0,"",I96)</f>
        <v>16</v>
      </c>
      <c r="M96" s="1128"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128"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241" t="s">
        <v>1550</v>
      </c>
      <c r="P96" s="1241"/>
      <c r="Q96" s="1241"/>
      <c r="R96" s="1241"/>
      <c r="S96" s="1241"/>
      <c r="T96" s="1127" t="s">
        <v>2292</v>
      </c>
      <c r="U96" s="1127"/>
      <c r="V96" s="1127"/>
      <c r="W96" s="1127"/>
      <c r="X96" s="1127"/>
      <c r="Y96" s="1284"/>
      <c r="Z96" s="1130" t="s">
        <v>2293</v>
      </c>
      <c r="AA96" s="1133"/>
      <c r="AB96" s="1130"/>
      <c r="AC96" s="1130"/>
      <c r="AD96" s="1130"/>
    </row>
    <row customHeight="1" ht="63">
      <c r="A97" s="1129"/>
      <c r="B97" s="1183">
        <v>80</v>
      </c>
      <c r="C97" s="1127" t="s">
        <v>2294</v>
      </c>
      <c r="D97" s="1251"/>
      <c r="E97" s="1127"/>
      <c r="F97" s="1127"/>
      <c r="G97" s="1127"/>
      <c r="H97" s="1175"/>
      <c r="I97" s="1289" t="str">
        <f>INDEX(TEMPLATE_NUMBER_POINT_FHD,B97,MATCH(TEMPLATE_SPHERE,TEMPLATE_SPHERE_LIST_FOR_NOTE,0))</f>
        <v>17</v>
      </c>
      <c r="J97" s="1289"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289"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128" t="str">
        <f>IF(I97=0,"",I97)</f>
        <v>17</v>
      </c>
      <c r="M97" s="1128"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128" t="str">
        <f>IF(K97=0,"",K97)</f>
        <v>Регулируемыми организациями указывается информация с по договорам, заключенным в рамках осуществления регулируемой деятельности.</v>
      </c>
      <c r="O97" s="1241" t="s">
        <v>1562</v>
      </c>
      <c r="P97" s="1241"/>
      <c r="Q97" s="1241"/>
      <c r="R97" s="1241"/>
      <c r="S97" s="1241"/>
      <c r="T97" s="1127" t="s">
        <v>2295</v>
      </c>
      <c r="U97" s="1127"/>
      <c r="V97" s="1127"/>
      <c r="W97" s="1127"/>
      <c r="X97" s="1127"/>
      <c r="Y97" s="1284"/>
      <c r="Z97" s="1130" t="s">
        <v>2296</v>
      </c>
      <c r="AA97" s="1133"/>
      <c r="AB97" s="1130"/>
      <c r="AC97" s="1130"/>
      <c r="AD97" s="1130"/>
    </row>
    <row customHeight="1" ht="63">
      <c r="A98" s="1129"/>
      <c r="B98" s="1183">
        <v>81</v>
      </c>
      <c r="C98" s="1127" t="s">
        <v>2297</v>
      </c>
      <c r="D98" s="1251"/>
      <c r="E98" s="1127"/>
      <c r="F98" s="1127"/>
      <c r="G98" s="1127"/>
      <c r="H98" s="1175"/>
      <c r="I98" s="1289" t="str">
        <f>INDEX(TEMPLATE_NUMBER_POINT_FHD,B98,MATCH(TEMPLATE_SPHERE,TEMPLATE_SPHERE_LIST_FOR_NOTE,0))</f>
        <v>18</v>
      </c>
      <c r="J98" s="1289"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289"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128" t="str">
        <f>IF(I98=0,"",I98)</f>
        <v>18</v>
      </c>
      <c r="M98" s="1128"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128" t="str">
        <f>IF(K98=0,"",K98)</f>
        <v>Регулируемыми организациями указывается информация с по договорам, заключенным в рамках осуществления регулируемой деятельности.</v>
      </c>
      <c r="O98" s="1241" t="s">
        <v>1576</v>
      </c>
      <c r="P98" s="1241"/>
      <c r="Q98" s="1241"/>
      <c r="R98" s="1241"/>
      <c r="S98" s="1241"/>
      <c r="T98" s="1127" t="s">
        <v>2298</v>
      </c>
      <c r="U98" s="1127"/>
      <c r="V98" s="1127"/>
      <c r="W98" s="1127"/>
      <c r="X98" s="1127"/>
      <c r="Y98" s="1284"/>
      <c r="Z98" s="1130" t="s">
        <v>2296</v>
      </c>
      <c r="AA98" s="1133"/>
      <c r="AB98" s="1130"/>
      <c r="AC98" s="1130"/>
      <c r="AD98" s="1130"/>
    </row>
    <row customHeight="1" ht="90">
      <c r="A99" s="1129"/>
      <c r="B99" s="1183">
        <v>82</v>
      </c>
      <c r="C99" s="1127" t="s">
        <v>2299</v>
      </c>
      <c r="D99" s="1251"/>
      <c r="E99" s="1127"/>
      <c r="F99" s="1127"/>
      <c r="G99" s="1127"/>
      <c r="H99" s="1175"/>
      <c r="I99" s="1289" t="str">
        <f>INDEX(TEMPLATE_NUMBER_POINT_FHD,B99,MATCH(TEMPLATE_SPHERE,TEMPLATE_SPHERE_LIST_FOR_NOTE,0))</f>
        <v>19</v>
      </c>
      <c r="J99" s="1289"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289" t="str">
        <f>INDEX(TEMPLATE_NOTE_POINT_FHD,B99,MATCH(TEMPLATE_SPHERE,TEMPLATE_SPHERE_LIST_FOR_NOTE,0))</f>
        <v>Указывается ссылка на документ, предварительно загруженный в хранилище файлов ФГИС ЕИАС.</v>
      </c>
      <c r="L99" s="1128" t="str">
        <f>IF(I99=0,"",I99)</f>
        <v>19</v>
      </c>
      <c r="M99" s="1128"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128" t="str">
        <f>IF(K99=0,"",K99)</f>
        <v>Указывается ссылка на документ, предварительно загруженный в хранилище файлов ФГИС ЕИАС.</v>
      </c>
      <c r="O99" s="1241" t="s">
        <v>1588</v>
      </c>
      <c r="P99" s="1241"/>
      <c r="Q99" s="1241"/>
      <c r="R99" s="1241"/>
      <c r="S99" s="1241"/>
      <c r="T99" s="1127" t="s">
        <v>2300</v>
      </c>
      <c r="U99" s="1127"/>
      <c r="V99" s="1127"/>
      <c r="W99" s="1127"/>
      <c r="X99" s="1127"/>
      <c r="Y99" s="1284"/>
      <c r="Z99" s="1130" t="s">
        <v>703</v>
      </c>
      <c r="AA99" s="1133"/>
      <c r="AB99" s="1130"/>
      <c r="AC99" s="1130"/>
      <c r="AD99" s="1130"/>
    </row>
    <row customHeight="1" ht="27">
      <c r="A100" s="1129"/>
      <c r="B100" s="1183">
        <v>83</v>
      </c>
      <c r="C100" s="1127"/>
      <c r="D100" s="1251"/>
      <c r="E100" s="1127"/>
      <c r="F100" s="1127"/>
      <c r="G100" s="1127"/>
      <c r="H100" s="1175"/>
      <c r="I100" s="1289" t="str">
        <f>INDEX(TEMPLATE_NUMBER_POINT_FHD,B100,MATCH(TEMPLATE_SPHERE,TEMPLATE_SPHERE_LIST_FOR_NOTE,0))</f>
        <v>19.1</v>
      </c>
      <c r="J100" s="1289" t="str">
        <f>INDEX(TEMPLATE_DATA_POINT_FHD,B100,MATCH(TEMPLATE_SPHERE,TEMPLATE_SPHERE_LIST_FOR_NOTE,0))</f>
        <v>Информация о показателях физического износа объектов теплоснабжения</v>
      </c>
      <c r="K100" s="1289" t="str">
        <f>INDEX(TEMPLATE_NOTE_POINT_FHD,B100,MATCH(TEMPLATE_SPHERE,TEMPLATE_SPHERE_LIST_FOR_NOTE,0))</f>
        <v>Указывается ссылка на документ, предварительно загруженный в хранилище файлов ФГИС ЕИАС.</v>
      </c>
      <c r="L100" s="1128" t="str">
        <f>IF(I100=0,"",I100)</f>
        <v>19.1</v>
      </c>
      <c r="M100" s="1128" t="str">
        <f>IF(J100=0,"",J100)</f>
        <v>Информация о показателях физического износа объектов теплоснабжения</v>
      </c>
      <c r="N100" s="1128" t="str">
        <f>IF(K100=0,"",K100)</f>
        <v>Указывается ссылка на документ, предварительно загруженный в хранилище файлов ФГИС ЕИАС.</v>
      </c>
      <c r="O100" s="1241" t="s">
        <v>2301</v>
      </c>
      <c r="P100" s="1241"/>
      <c r="Q100" s="1241"/>
      <c r="R100" s="1241"/>
      <c r="S100" s="1241"/>
      <c r="T100" s="1127" t="s">
        <v>2302</v>
      </c>
      <c r="U100" s="1127"/>
      <c r="V100" s="1127"/>
      <c r="W100" s="1127"/>
      <c r="X100" s="1127"/>
      <c r="Y100" s="1284"/>
      <c r="Z100" s="1130" t="s">
        <v>703</v>
      </c>
      <c r="AA100" s="1133"/>
      <c r="AB100" s="1130"/>
      <c r="AC100" s="1130"/>
      <c r="AD100" s="1130"/>
    </row>
    <row customHeight="1" ht="27">
      <c r="A101" s="1129"/>
      <c r="B101" s="1183">
        <v>84</v>
      </c>
      <c r="C101" s="1127"/>
      <c r="D101" s="1251"/>
      <c r="E101" s="1127"/>
      <c r="F101" s="1127"/>
      <c r="G101" s="1127"/>
      <c r="H101" s="1175"/>
      <c r="I101" s="1289" t="str">
        <f>INDEX(TEMPLATE_NUMBER_POINT_FHD,B101,MATCH(TEMPLATE_SPHERE,TEMPLATE_SPHERE_LIST_FOR_NOTE,0))</f>
        <v>19.2</v>
      </c>
      <c r="J101" s="1289" t="str">
        <f>INDEX(TEMPLATE_DATA_POINT_FHD,B101,MATCH(TEMPLATE_SPHERE,TEMPLATE_SPHERE_LIST_FOR_NOTE,0))</f>
        <v>Информация о показателях энергетической эффективности объектов теплоснабжения</v>
      </c>
      <c r="K101" s="1289" t="str">
        <f>INDEX(TEMPLATE_NOTE_POINT_FHD,B101,MATCH(TEMPLATE_SPHERE,TEMPLATE_SPHERE_LIST_FOR_NOTE,0))</f>
        <v>Указывается ссылка на документ, предварительно загруженный в хранилище файлов ФГИС ЕИАС.</v>
      </c>
      <c r="L101" s="1128" t="str">
        <f>IF(I101=0,"",I101)</f>
        <v>19.2</v>
      </c>
      <c r="M101" s="1128" t="str">
        <f>IF(J101=0,"",J101)</f>
        <v>Информация о показателях энергетической эффективности объектов теплоснабжения</v>
      </c>
      <c r="N101" s="1128" t="str">
        <f>IF(K101=0,"",K101)</f>
        <v>Указывается ссылка на документ, предварительно загруженный в хранилище файлов ФГИС ЕИАС.</v>
      </c>
      <c r="O101" s="1241" t="s">
        <v>2303</v>
      </c>
      <c r="P101" s="1241"/>
      <c r="Q101" s="1241"/>
      <c r="R101" s="1241"/>
      <c r="S101" s="1241"/>
      <c r="T101" s="1127" t="s">
        <v>2304</v>
      </c>
      <c r="U101" s="1127"/>
      <c r="V101" s="1127"/>
      <c r="W101" s="1127"/>
      <c r="X101" s="1127"/>
      <c r="Y101" s="1284"/>
      <c r="Z101" s="1130" t="s">
        <v>703</v>
      </c>
      <c r="AA101" s="1133"/>
      <c r="AB101" s="1130"/>
      <c r="AC101" s="1130"/>
      <c r="AD101" s="1130"/>
    </row>
    <row customHeight="1" ht="9">
      <c r="A102" s="1129"/>
      <c r="B102" s="1129"/>
      <c r="C102" s="1127"/>
      <c r="D102" s="1127"/>
      <c r="E102" s="1127"/>
      <c r="F102" s="1127"/>
      <c r="G102" s="1127"/>
      <c r="H102" s="1175"/>
      <c r="I102" s="1175"/>
      <c r="J102" s="1175"/>
      <c r="K102" s="1175"/>
      <c r="L102" s="1175"/>
      <c r="M102" s="1127"/>
      <c r="N102" s="1174"/>
      <c r="O102" s="1241"/>
      <c r="P102" s="1241"/>
      <c r="Q102" s="1241"/>
      <c r="R102" s="1241"/>
      <c r="S102" s="1127"/>
      <c r="T102" s="1127"/>
      <c r="U102" s="1127"/>
      <c r="V102" s="1127"/>
      <c r="W102" s="1127"/>
      <c r="X102" s="1127"/>
      <c r="Y102" s="1284"/>
      <c r="Z102" s="1130"/>
      <c r="AA102" s="1133"/>
      <c r="AB102" s="1130"/>
      <c r="AC102" s="1130"/>
      <c r="AD102" s="1130"/>
    </row>
    <row customHeight="1" ht="9">
      <c r="A103" s="1129"/>
      <c r="B103" s="1129"/>
      <c r="C103" s="1127"/>
      <c r="D103" s="1127"/>
      <c r="E103" s="1127"/>
      <c r="F103" s="1127"/>
      <c r="G103" s="1127"/>
      <c r="H103" s="1175"/>
      <c r="I103" s="1175"/>
      <c r="J103" s="1175"/>
      <c r="K103" s="1175"/>
      <c r="L103" s="1175"/>
      <c r="M103" s="1127"/>
      <c r="N103" s="1174"/>
      <c r="O103" s="1241"/>
      <c r="P103" s="1241"/>
      <c r="Q103" s="1241"/>
      <c r="R103" s="1241"/>
      <c r="S103" s="1127"/>
      <c r="T103" s="1127"/>
      <c r="U103" s="1127"/>
      <c r="V103" s="1127"/>
      <c r="W103" s="1127"/>
      <c r="X103" s="1127"/>
      <c r="Y103" s="1284"/>
      <c r="Z103" s="1130"/>
      <c r="AA103" s="1133"/>
      <c r="AB103" s="1130"/>
      <c r="AC103" s="1130"/>
      <c r="AD103" s="1130"/>
    </row>
    <row customHeight="1" ht="9">
      <c r="A104" s="1129"/>
      <c r="B104" s="1129"/>
      <c r="C104" s="1127"/>
      <c r="D104" s="1127"/>
      <c r="E104" s="1127"/>
      <c r="F104" s="1127"/>
      <c r="G104" s="1127"/>
      <c r="H104" s="1175"/>
      <c r="I104" s="1175"/>
      <c r="J104" s="1175"/>
      <c r="K104" s="1175"/>
      <c r="L104" s="1175"/>
      <c r="M104" s="1127"/>
      <c r="N104" s="1174"/>
      <c r="O104" s="1241"/>
      <c r="P104" s="1241"/>
      <c r="Q104" s="1241"/>
      <c r="R104" s="1241"/>
      <c r="S104" s="1127"/>
      <c r="T104" s="1127"/>
      <c r="U104" s="1127"/>
      <c r="V104" s="1127"/>
      <c r="W104" s="1127"/>
      <c r="X104" s="1127"/>
      <c r="Y104" s="1284"/>
      <c r="Z104" s="1130"/>
      <c r="AA104" s="1133"/>
      <c r="AB104" s="1130"/>
      <c r="AC104" s="1130"/>
      <c r="AD104" s="1130"/>
    </row>
    <row customHeight="1" ht="9">
      <c r="A105" s="1129"/>
      <c r="B105" s="1129"/>
      <c r="C105" s="1127"/>
      <c r="D105" s="1127"/>
      <c r="E105" s="1127"/>
      <c r="F105" s="1127"/>
      <c r="G105" s="1127"/>
      <c r="H105" s="1175"/>
      <c r="I105" s="1175"/>
      <c r="J105" s="1175"/>
      <c r="K105" s="1175"/>
      <c r="L105" s="1175"/>
      <c r="M105" s="1127"/>
      <c r="N105" s="1174"/>
      <c r="O105" s="1241"/>
      <c r="P105" s="1241"/>
      <c r="Q105" s="1241"/>
      <c r="R105" s="1241"/>
      <c r="S105" s="1127"/>
      <c r="T105" s="1127"/>
      <c r="U105" s="1127"/>
      <c r="V105" s="1127"/>
      <c r="W105" s="1127"/>
      <c r="X105" s="1127"/>
      <c r="Y105" s="1284"/>
      <c r="Z105" s="1130"/>
      <c r="AA105" s="1133"/>
      <c r="AB105" s="1130"/>
      <c r="AC105" s="1130"/>
      <c r="AD105" s="1130"/>
    </row>
    <row customHeight="1" ht="9">
      <c r="A106" s="1129"/>
      <c r="B106" s="1129"/>
      <c r="C106" s="1127"/>
      <c r="D106" s="1127"/>
      <c r="E106" s="1127"/>
      <c r="F106" s="1127"/>
      <c r="G106" s="1127"/>
      <c r="H106" s="1175"/>
      <c r="I106" s="1175"/>
      <c r="J106" s="1175"/>
      <c r="K106" s="1175"/>
      <c r="L106" s="1175"/>
      <c r="M106" s="1127"/>
      <c r="N106" s="1174"/>
      <c r="O106" s="1241"/>
      <c r="P106" s="1241"/>
      <c r="Q106" s="1241"/>
      <c r="R106" s="1241"/>
      <c r="S106" s="1127"/>
      <c r="T106" s="1127"/>
      <c r="U106" s="1127"/>
      <c r="V106" s="1127"/>
      <c r="W106" s="1127"/>
      <c r="X106" s="1127"/>
      <c r="Y106" s="1284"/>
      <c r="Z106" s="1130"/>
      <c r="AA106" s="1133"/>
      <c r="AB106" s="1130"/>
      <c r="AC106" s="1130"/>
      <c r="AD106" s="1130"/>
    </row>
    <row customHeight="1" ht="9">
      <c r="A107" s="1129"/>
      <c r="B107" s="1129"/>
      <c r="C107" s="1127"/>
      <c r="D107" s="1127"/>
      <c r="E107" s="1127"/>
      <c r="F107" s="1127"/>
      <c r="G107" s="1127"/>
      <c r="H107" s="1175"/>
      <c r="I107" s="1175"/>
      <c r="J107" s="1175"/>
      <c r="K107" s="1175"/>
      <c r="L107" s="1175"/>
      <c r="M107" s="1127"/>
      <c r="N107" s="1174"/>
      <c r="O107" s="1241"/>
      <c r="P107" s="1241"/>
      <c r="Q107" s="1241"/>
      <c r="R107" s="1241"/>
      <c r="S107" s="1127"/>
      <c r="T107" s="1127"/>
      <c r="U107" s="1127"/>
      <c r="V107" s="1127"/>
      <c r="W107" s="1127"/>
      <c r="X107" s="1127"/>
      <c r="Y107" s="1284"/>
      <c r="Z107" s="1130"/>
      <c r="AA107" s="1133"/>
      <c r="AB107" s="1130"/>
      <c r="AC107" s="1130"/>
      <c r="AD107" s="1130"/>
    </row>
    <row customHeight="1" ht="9">
      <c r="A108" s="1129"/>
      <c r="B108" s="1129"/>
      <c r="C108" s="1127"/>
      <c r="D108" s="1127"/>
      <c r="E108" s="1127"/>
      <c r="F108" s="1127"/>
      <c r="G108" s="1127"/>
      <c r="H108" s="1175"/>
      <c r="I108" s="1175"/>
      <c r="J108" s="1175"/>
      <c r="K108" s="1175"/>
      <c r="L108" s="1175"/>
      <c r="M108" s="1127"/>
      <c r="N108" s="1174"/>
      <c r="O108" s="1241"/>
      <c r="P108" s="1241"/>
      <c r="Q108" s="1241"/>
      <c r="R108" s="1241"/>
      <c r="S108" s="1127"/>
      <c r="T108" s="1127"/>
      <c r="U108" s="1127"/>
      <c r="V108" s="1127"/>
      <c r="W108" s="1127"/>
      <c r="X108" s="1127"/>
      <c r="Y108" s="1284"/>
      <c r="Z108" s="1130"/>
      <c r="AA108" s="1133"/>
      <c r="AB108" s="1130"/>
      <c r="AC108" s="1130"/>
      <c r="AD108" s="1130"/>
    </row>
    <row customHeight="1" ht="9">
      <c r="A109" s="1129"/>
      <c r="B109" s="1129"/>
      <c r="C109" s="1127"/>
      <c r="D109" s="1127"/>
      <c r="E109" s="1127"/>
      <c r="F109" s="1127"/>
      <c r="G109" s="1127"/>
      <c r="H109" s="1175"/>
      <c r="I109" s="1175"/>
      <c r="J109" s="1175"/>
      <c r="K109" s="1175"/>
      <c r="L109" s="1175"/>
      <c r="M109" s="1127"/>
      <c r="N109" s="1174"/>
      <c r="O109" s="1241"/>
      <c r="P109" s="1241"/>
      <c r="Q109" s="1241"/>
      <c r="R109" s="1241"/>
      <c r="S109" s="1127"/>
      <c r="T109" s="1127"/>
      <c r="U109" s="1127"/>
      <c r="V109" s="1127"/>
      <c r="W109" s="1127"/>
      <c r="X109" s="1127"/>
      <c r="Y109" s="1284"/>
      <c r="Z109" s="1130"/>
      <c r="AA109" s="1133"/>
      <c r="AB109" s="1130"/>
      <c r="AC109" s="1130"/>
      <c r="AD109" s="1130"/>
    </row>
    <row customHeight="1" ht="9">
      <c r="A110" s="1129"/>
      <c r="B110" s="1129"/>
      <c r="C110" s="1127"/>
      <c r="D110" s="1127"/>
      <c r="E110" s="1127"/>
      <c r="F110" s="1127"/>
      <c r="G110" s="1127"/>
      <c r="H110" s="1175"/>
      <c r="I110" s="1175"/>
      <c r="J110" s="1175"/>
      <c r="K110" s="1175"/>
      <c r="L110" s="1175"/>
      <c r="M110" s="1127"/>
      <c r="N110" s="1174"/>
      <c r="O110" s="1241"/>
      <c r="P110" s="1241"/>
      <c r="Q110" s="1241"/>
      <c r="R110" s="1241"/>
      <c r="S110" s="1127"/>
      <c r="T110" s="1127"/>
      <c r="U110" s="1127"/>
      <c r="V110" s="1127"/>
      <c r="W110" s="1127"/>
      <c r="X110" s="1127"/>
      <c r="Y110" s="1284"/>
      <c r="Z110" s="1130"/>
      <c r="AA110" s="1133"/>
      <c r="AB110" s="1130"/>
      <c r="AC110" s="1130"/>
      <c r="AD110" s="1130"/>
    </row>
    <row customHeight="1" ht="9">
      <c r="A111" s="1129"/>
      <c r="B111" s="1129"/>
      <c r="C111" s="1127"/>
      <c r="D111" s="1127"/>
      <c r="E111" s="1127"/>
      <c r="F111" s="1127"/>
      <c r="G111" s="1127"/>
      <c r="H111" s="1175"/>
      <c r="I111" s="1175"/>
      <c r="J111" s="1175"/>
      <c r="K111" s="1175"/>
      <c r="L111" s="1175"/>
      <c r="M111" s="1127"/>
      <c r="N111" s="1174"/>
      <c r="O111" s="1241"/>
      <c r="P111" s="1241"/>
      <c r="Q111" s="1241"/>
      <c r="R111" s="1241"/>
      <c r="S111" s="1127"/>
      <c r="T111" s="1127"/>
      <c r="U111" s="1127"/>
      <c r="V111" s="1127"/>
      <c r="W111" s="1127"/>
      <c r="X111" s="1127"/>
      <c r="Y111" s="1284"/>
      <c r="Z111" s="1130"/>
      <c r="AA111" s="1133"/>
      <c r="AB111" s="1130"/>
      <c r="AC111" s="1130"/>
      <c r="AD111" s="1130"/>
    </row>
    <row customHeight="1" ht="9">
      <c r="A112" s="1129"/>
      <c r="B112" s="1129"/>
      <c r="C112" s="1127"/>
      <c r="D112" s="1127"/>
      <c r="E112" s="1127"/>
      <c r="F112" s="1127"/>
      <c r="G112" s="1127"/>
      <c r="H112" s="1175"/>
      <c r="I112" s="1175"/>
      <c r="J112" s="1175"/>
      <c r="K112" s="1175"/>
      <c r="L112" s="1175"/>
      <c r="M112" s="1127"/>
      <c r="N112" s="1174"/>
      <c r="O112" s="1241"/>
      <c r="P112" s="1241"/>
      <c r="Q112" s="1241"/>
      <c r="R112" s="1241"/>
      <c r="S112" s="1127"/>
      <c r="T112" s="1127"/>
      <c r="U112" s="1127"/>
      <c r="V112" s="1127"/>
      <c r="W112" s="1127"/>
      <c r="X112" s="1127"/>
      <c r="Y112" s="1284"/>
      <c r="Z112" s="1130"/>
      <c r="AA112" s="1133"/>
      <c r="AB112" s="1130"/>
      <c r="AC112" s="1130"/>
      <c r="AD112" s="1130"/>
    </row>
    <row customHeight="1" ht="9">
      <c r="A113" s="1129"/>
      <c r="B113" s="1129"/>
      <c r="C113" s="1127"/>
      <c r="D113" s="1127"/>
      <c r="E113" s="1127"/>
      <c r="F113" s="1127"/>
      <c r="G113" s="1127"/>
      <c r="H113" s="1175"/>
      <c r="I113" s="1175"/>
      <c r="J113" s="1175"/>
      <c r="K113" s="1175"/>
      <c r="L113" s="1175"/>
      <c r="M113" s="1127"/>
      <c r="N113" s="1174"/>
      <c r="O113" s="1241"/>
      <c r="P113" s="1241"/>
      <c r="Q113" s="1241"/>
      <c r="R113" s="1241"/>
      <c r="S113" s="1127"/>
      <c r="T113" s="1127"/>
      <c r="U113" s="1127"/>
      <c r="V113" s="1127"/>
      <c r="W113" s="1127"/>
      <c r="X113" s="1127"/>
      <c r="Y113" s="1284"/>
      <c r="Z113" s="1130"/>
      <c r="AA113" s="1133"/>
      <c r="AB113" s="1130"/>
      <c r="AC113" s="1130"/>
      <c r="AD113" s="1130"/>
    </row>
    <row customHeight="1" ht="9">
      <c r="A114" s="1129"/>
      <c r="B114" s="1129"/>
      <c r="C114" s="1127"/>
      <c r="D114" s="1127"/>
      <c r="E114" s="1127"/>
      <c r="F114" s="1127"/>
      <c r="G114" s="1127"/>
      <c r="H114" s="1175"/>
      <c r="I114" s="1175"/>
      <c r="J114" s="1175"/>
      <c r="K114" s="1175"/>
      <c r="L114" s="1175"/>
      <c r="M114" s="1127"/>
      <c r="N114" s="1174"/>
      <c r="O114" s="1241"/>
      <c r="P114" s="1241"/>
      <c r="Q114" s="1241"/>
      <c r="R114" s="1241"/>
      <c r="S114" s="1127"/>
      <c r="T114" s="1127"/>
      <c r="U114" s="1127"/>
      <c r="V114" s="1127"/>
      <c r="W114" s="1127"/>
      <c r="X114" s="1127"/>
      <c r="Y114" s="1284"/>
      <c r="Z114" s="1130"/>
      <c r="AA114" s="1133"/>
      <c r="AB114" s="1130"/>
      <c r="AC114" s="1130"/>
      <c r="AD114" s="1130"/>
    </row>
    <row customHeight="1" ht="9">
      <c r="A115" s="1129"/>
      <c r="B115" s="1129"/>
      <c r="C115" s="1127"/>
      <c r="D115" s="1127"/>
      <c r="E115" s="1127"/>
      <c r="F115" s="1127"/>
      <c r="G115" s="1127"/>
      <c r="H115" s="1175"/>
      <c r="I115" s="1175"/>
      <c r="J115" s="1175"/>
      <c r="K115" s="1175"/>
      <c r="L115" s="1175"/>
      <c r="M115" s="1127"/>
      <c r="N115" s="1174"/>
      <c r="O115" s="1241"/>
      <c r="P115" s="1241"/>
      <c r="Q115" s="1241"/>
      <c r="R115" s="1241"/>
      <c r="S115" s="1127"/>
      <c r="T115" s="1127"/>
      <c r="U115" s="1127"/>
      <c r="V115" s="1127"/>
      <c r="W115" s="1127"/>
      <c r="X115" s="1127"/>
      <c r="Y115" s="1284"/>
      <c r="Z115" s="1130"/>
      <c r="AA115" s="1133"/>
      <c r="AB115" s="1130"/>
      <c r="AC115" s="1130"/>
      <c r="AD115" s="1130"/>
    </row>
    <row customHeight="1" ht="9">
      <c r="A116" s="1129"/>
      <c r="B116" s="1129"/>
      <c r="C116" s="1127"/>
      <c r="D116" s="1127"/>
      <c r="E116" s="1127"/>
      <c r="F116" s="1127"/>
      <c r="G116" s="1127"/>
      <c r="H116" s="1175"/>
      <c r="I116" s="1175"/>
      <c r="J116" s="1175"/>
      <c r="K116" s="1175"/>
      <c r="L116" s="1175"/>
      <c r="M116" s="1127"/>
      <c r="N116" s="1174"/>
      <c r="O116" s="1241"/>
      <c r="P116" s="1241"/>
      <c r="Q116" s="1241"/>
      <c r="R116" s="1241"/>
      <c r="S116" s="1127"/>
      <c r="T116" s="1127"/>
      <c r="U116" s="1127"/>
      <c r="V116" s="1127"/>
      <c r="W116" s="1127"/>
      <c r="X116" s="1127"/>
      <c r="Y116" s="1284"/>
      <c r="Z116" s="1130"/>
      <c r="AA116" s="1133"/>
      <c r="AB116" s="1130"/>
      <c r="AC116" s="1130"/>
      <c r="AD116" s="1130"/>
    </row>
    <row customHeight="1" ht="9">
      <c r="A117" s="1129"/>
      <c r="B117" s="1129"/>
      <c r="C117" s="1127"/>
      <c r="D117" s="1127"/>
      <c r="E117" s="1127"/>
      <c r="F117" s="1127"/>
      <c r="G117" s="1127"/>
      <c r="H117" s="1175"/>
      <c r="I117" s="1175"/>
      <c r="J117" s="1175"/>
      <c r="K117" s="1175"/>
      <c r="L117" s="1175"/>
      <c r="M117" s="1127"/>
      <c r="N117" s="1174"/>
      <c r="O117" s="1241"/>
      <c r="P117" s="1241"/>
      <c r="Q117" s="1241"/>
      <c r="R117" s="1241"/>
      <c r="S117" s="1127"/>
      <c r="T117" s="1127"/>
      <c r="U117" s="1127"/>
      <c r="V117" s="1127"/>
      <c r="W117" s="1127"/>
      <c r="X117" s="1127"/>
      <c r="Y117" s="1284"/>
      <c r="Z117" s="1130"/>
      <c r="AA117" s="1133"/>
      <c r="AB117" s="1130"/>
      <c r="AC117" s="1130"/>
      <c r="AD117" s="1130"/>
    </row>
    <row customHeight="1" ht="9">
      <c r="A118" s="1129"/>
      <c r="B118" s="1129"/>
      <c r="C118" s="1127"/>
      <c r="D118" s="1127"/>
      <c r="E118" s="1127"/>
      <c r="F118" s="1127"/>
      <c r="G118" s="1127"/>
      <c r="H118" s="1175"/>
      <c r="I118" s="1175"/>
      <c r="J118" s="1175"/>
      <c r="K118" s="1175"/>
      <c r="L118" s="1175"/>
      <c r="M118" s="1127"/>
      <c r="N118" s="1174"/>
      <c r="O118" s="1241"/>
      <c r="P118" s="1241"/>
      <c r="Q118" s="1241"/>
      <c r="R118" s="1241"/>
      <c r="S118" s="1127"/>
      <c r="T118" s="1127"/>
      <c r="U118" s="1127"/>
      <c r="V118" s="1127"/>
      <c r="W118" s="1127"/>
      <c r="X118" s="1127"/>
      <c r="Y118" s="1284"/>
      <c r="Z118" s="1130"/>
      <c r="AA118" s="1133"/>
      <c r="AB118" s="1130"/>
      <c r="AC118" s="1130"/>
      <c r="AD118" s="1130"/>
    </row>
    <row customHeight="1" ht="9">
      <c r="A119" s="1129"/>
      <c r="B119" s="1129"/>
      <c r="C119" s="1127"/>
      <c r="D119" s="1127"/>
      <c r="E119" s="1127"/>
      <c r="F119" s="1127"/>
      <c r="G119" s="1127"/>
      <c r="H119" s="1175"/>
      <c r="I119" s="1175"/>
      <c r="J119" s="1175"/>
      <c r="K119" s="1175"/>
      <c r="L119" s="1175"/>
      <c r="M119" s="1127"/>
      <c r="N119" s="1174"/>
      <c r="O119" s="1241"/>
      <c r="P119" s="1241"/>
      <c r="Q119" s="1241"/>
      <c r="R119" s="1241"/>
      <c r="S119" s="1127"/>
      <c r="T119" s="1127"/>
      <c r="U119" s="1127"/>
      <c r="V119" s="1127"/>
      <c r="W119" s="1127"/>
      <c r="X119" s="1127"/>
      <c r="Y119" s="1284"/>
      <c r="Z119" s="1130"/>
      <c r="AA119" s="1133"/>
      <c r="AB119" s="1130"/>
      <c r="AC119" s="1130"/>
      <c r="AD119" s="1130"/>
    </row>
    <row customHeight="1" ht="9">
      <c r="A120" s="1129"/>
      <c r="B120" s="1129"/>
      <c r="C120" s="1127"/>
      <c r="D120" s="1127"/>
      <c r="E120" s="1127"/>
      <c r="F120" s="1127"/>
      <c r="G120" s="1127"/>
      <c r="H120" s="1175"/>
      <c r="I120" s="1175"/>
      <c r="J120" s="1175"/>
      <c r="K120" s="1175"/>
      <c r="L120" s="1175"/>
      <c r="M120" s="1127"/>
      <c r="N120" s="1174"/>
      <c r="O120" s="1241"/>
      <c r="P120" s="1241"/>
      <c r="Q120" s="1241"/>
      <c r="R120" s="1241"/>
      <c r="S120" s="1127"/>
      <c r="T120" s="1127"/>
      <c r="U120" s="1127"/>
      <c r="V120" s="1127"/>
      <c r="W120" s="1127"/>
      <c r="X120" s="1127"/>
      <c r="Y120" s="1284"/>
      <c r="Z120" s="1130"/>
      <c r="AA120" s="1133"/>
      <c r="AB120" s="1130"/>
      <c r="AC120" s="1130"/>
      <c r="AD120" s="1130"/>
    </row>
    <row customHeight="1" ht="9">
      <c r="A121" s="1129"/>
      <c r="B121" s="1129"/>
      <c r="C121" s="1127"/>
      <c r="D121" s="1127"/>
      <c r="E121" s="1127"/>
      <c r="F121" s="1127"/>
      <c r="G121" s="1127"/>
      <c r="H121" s="1175"/>
      <c r="I121" s="1175"/>
      <c r="J121" s="1175"/>
      <c r="K121" s="1175"/>
      <c r="L121" s="1175"/>
      <c r="M121" s="1127"/>
      <c r="N121" s="1174"/>
      <c r="O121" s="1241"/>
      <c r="P121" s="1241"/>
      <c r="Q121" s="1241"/>
      <c r="R121" s="1241"/>
      <c r="S121" s="1127"/>
      <c r="T121" s="1127"/>
      <c r="U121" s="1127"/>
      <c r="V121" s="1127"/>
      <c r="W121" s="1127"/>
      <c r="X121" s="1127"/>
      <c r="Y121" s="1284"/>
      <c r="Z121" s="1130"/>
      <c r="AA121" s="1133"/>
      <c r="AB121" s="1130"/>
      <c r="AC121" s="1130"/>
      <c r="AD121" s="1130"/>
    </row>
    <row customHeight="1" ht="9">
      <c r="A122" s="1129"/>
      <c r="B122" s="1129"/>
      <c r="C122" s="1127"/>
      <c r="D122" s="1127"/>
      <c r="E122" s="1127"/>
      <c r="F122" s="1127"/>
      <c r="G122" s="1127"/>
      <c r="H122" s="1175"/>
      <c r="I122" s="1175"/>
      <c r="J122" s="1175"/>
      <c r="K122" s="1175"/>
      <c r="L122" s="1175"/>
      <c r="M122" s="1127"/>
      <c r="N122" s="1174"/>
      <c r="O122" s="1241"/>
      <c r="P122" s="1241"/>
      <c r="Q122" s="1241"/>
      <c r="R122" s="1241"/>
      <c r="S122" s="1127"/>
      <c r="T122" s="1127"/>
      <c r="U122" s="1127"/>
      <c r="V122" s="1127"/>
      <c r="W122" s="1127"/>
      <c r="X122" s="1127"/>
      <c r="Y122" s="1284"/>
      <c r="Z122" s="1130"/>
      <c r="AA122" s="1133"/>
      <c r="AB122" s="1130"/>
      <c r="AC122" s="1130"/>
      <c r="AD122" s="1130"/>
    </row>
    <row customHeight="1" ht="9">
      <c r="A123" s="1129"/>
      <c r="B123" s="1129"/>
      <c r="C123" s="1127"/>
      <c r="D123" s="1127"/>
      <c r="E123" s="1127"/>
      <c r="F123" s="1127"/>
      <c r="G123" s="1127"/>
      <c r="H123" s="1175"/>
      <c r="I123" s="1175"/>
      <c r="J123" s="1175"/>
      <c r="K123" s="1175"/>
      <c r="L123" s="1175"/>
      <c r="M123" s="1127"/>
      <c r="N123" s="1174"/>
      <c r="O123" s="1241"/>
      <c r="P123" s="1241"/>
      <c r="Q123" s="1241"/>
      <c r="R123" s="1241"/>
      <c r="S123" s="1127"/>
      <c r="T123" s="1127"/>
      <c r="U123" s="1127"/>
      <c r="V123" s="1127"/>
      <c r="W123" s="1127"/>
      <c r="X123" s="1127"/>
      <c r="Y123" s="1284"/>
      <c r="Z123" s="1130"/>
      <c r="AA123" s="1133"/>
      <c r="AB123" s="1130"/>
      <c r="AC123" s="1130"/>
      <c r="AD123" s="1130"/>
    </row>
    <row customHeight="1" ht="9">
      <c r="A124" s="1129"/>
      <c r="B124" s="1129"/>
      <c r="C124" s="1127"/>
      <c r="D124" s="1127"/>
      <c r="E124" s="1127"/>
      <c r="F124" s="1127"/>
      <c r="G124" s="1127"/>
      <c r="H124" s="1175"/>
      <c r="I124" s="1175"/>
      <c r="J124" s="1175"/>
      <c r="K124" s="1175"/>
      <c r="L124" s="1175"/>
      <c r="M124" s="1127"/>
      <c r="N124" s="1174"/>
      <c r="O124" s="1241"/>
      <c r="P124" s="1241"/>
      <c r="Q124" s="1241"/>
      <c r="R124" s="1241"/>
      <c r="S124" s="1127"/>
      <c r="T124" s="1127"/>
      <c r="U124" s="1127"/>
      <c r="V124" s="1127"/>
      <c r="W124" s="1127"/>
      <c r="X124" s="1127"/>
      <c r="Y124" s="1284"/>
      <c r="Z124" s="1130"/>
      <c r="AA124" s="1133"/>
      <c r="AB124" s="1130"/>
      <c r="AC124" s="1130"/>
      <c r="AD124" s="1130"/>
    </row>
    <row customHeight="1" ht="9">
      <c r="A125" s="1129"/>
      <c r="B125" s="1129"/>
      <c r="C125" s="1127"/>
      <c r="D125" s="1127"/>
      <c r="E125" s="1127"/>
      <c r="F125" s="1127"/>
      <c r="G125" s="1127"/>
      <c r="H125" s="1175"/>
      <c r="I125" s="1175"/>
      <c r="J125" s="1175"/>
      <c r="K125" s="1175"/>
      <c r="L125" s="1175"/>
      <c r="M125" s="1127"/>
      <c r="N125" s="1174"/>
      <c r="O125" s="1241"/>
      <c r="P125" s="1241"/>
      <c r="Q125" s="1241"/>
      <c r="R125" s="1241"/>
      <c r="S125" s="1127"/>
      <c r="T125" s="1127"/>
      <c r="U125" s="1127"/>
      <c r="V125" s="1127"/>
      <c r="W125" s="1127"/>
      <c r="X125" s="1127"/>
      <c r="Y125" s="1284"/>
      <c r="Z125" s="1130"/>
      <c r="AA125" s="1133"/>
      <c r="AB125" s="1130"/>
      <c r="AC125" s="1130"/>
      <c r="AD125" s="1130"/>
    </row>
    <row customHeight="1" ht="9">
      <c r="A126" s="1129"/>
      <c r="B126" s="1129"/>
      <c r="C126" s="1127"/>
      <c r="D126" s="1127"/>
      <c r="E126" s="1127"/>
      <c r="F126" s="1127"/>
      <c r="G126" s="1127"/>
      <c r="H126" s="1175"/>
      <c r="I126" s="1175"/>
      <c r="J126" s="1175"/>
      <c r="K126" s="1175"/>
      <c r="L126" s="1175"/>
      <c r="M126" s="1127"/>
      <c r="N126" s="1174"/>
      <c r="O126" s="1241"/>
      <c r="P126" s="1241"/>
      <c r="Q126" s="1241"/>
      <c r="R126" s="1241"/>
      <c r="S126" s="1127"/>
      <c r="T126" s="1127"/>
      <c r="U126" s="1127"/>
      <c r="V126" s="1127"/>
      <c r="W126" s="1127"/>
      <c r="X126" s="1127"/>
      <c r="Y126" s="1284"/>
      <c r="Z126" s="1130"/>
      <c r="AA126" s="1133"/>
      <c r="AB126" s="1130"/>
      <c r="AC126" s="1130"/>
      <c r="AD126" s="1130"/>
    </row>
    <row customHeight="1" ht="9">
      <c r="A127" s="1129"/>
      <c r="B127" s="1129"/>
      <c r="C127" s="1127"/>
      <c r="D127" s="1127"/>
      <c r="E127" s="1127"/>
      <c r="F127" s="1127"/>
      <c r="G127" s="1127"/>
      <c r="H127" s="1175"/>
      <c r="I127" s="1175"/>
      <c r="J127" s="1175"/>
      <c r="K127" s="1175"/>
      <c r="L127" s="1175"/>
      <c r="M127" s="1127"/>
      <c r="N127" s="1174"/>
      <c r="O127" s="1241"/>
      <c r="P127" s="1241"/>
      <c r="Q127" s="1241"/>
      <c r="R127" s="1241"/>
      <c r="S127" s="1127"/>
      <c r="T127" s="1127"/>
      <c r="U127" s="1127"/>
      <c r="V127" s="1127"/>
      <c r="W127" s="1127"/>
      <c r="X127" s="1127"/>
      <c r="Y127" s="1284"/>
      <c r="Z127" s="1130"/>
      <c r="AA127" s="1133"/>
      <c r="AB127" s="1130"/>
      <c r="AC127" s="1130"/>
      <c r="AD127" s="1130"/>
    </row>
    <row customHeight="1" ht="9">
      <c r="A128" s="1129"/>
      <c r="B128" s="1129"/>
      <c r="C128" s="1127"/>
      <c r="D128" s="1127"/>
      <c r="E128" s="1127"/>
      <c r="F128" s="1127"/>
      <c r="G128" s="1127"/>
      <c r="H128" s="1175"/>
      <c r="I128" s="1175"/>
      <c r="J128" s="1175"/>
      <c r="K128" s="1175"/>
      <c r="L128" s="1175"/>
      <c r="M128" s="1127"/>
      <c r="N128" s="1174"/>
      <c r="O128" s="1241"/>
      <c r="P128" s="1241"/>
      <c r="Q128" s="1241"/>
      <c r="R128" s="1241"/>
      <c r="S128" s="1127"/>
      <c r="T128" s="1127"/>
      <c r="U128" s="1127"/>
      <c r="V128" s="1127"/>
      <c r="W128" s="1127"/>
      <c r="X128" s="1127"/>
      <c r="Y128" s="1284"/>
      <c r="Z128" s="1130"/>
      <c r="AA128" s="1133"/>
      <c r="AB128" s="1130"/>
      <c r="AC128" s="1130"/>
      <c r="AD128" s="1130"/>
    </row>
    <row customHeight="1" ht="9">
      <c r="A129" s="1129"/>
      <c r="B129" s="1129"/>
      <c r="C129" s="1127"/>
      <c r="D129" s="1127"/>
      <c r="E129" s="1127"/>
      <c r="F129" s="1127"/>
      <c r="G129" s="1127"/>
      <c r="H129" s="1175"/>
      <c r="I129" s="1175"/>
      <c r="J129" s="1175"/>
      <c r="K129" s="1175"/>
      <c r="L129" s="1175"/>
      <c r="M129" s="1127"/>
      <c r="N129" s="1174"/>
      <c r="O129" s="1241"/>
      <c r="P129" s="1241"/>
      <c r="Q129" s="1241"/>
      <c r="R129" s="1241"/>
      <c r="S129" s="1127"/>
      <c r="T129" s="1127"/>
      <c r="U129" s="1127"/>
      <c r="V129" s="1127"/>
      <c r="W129" s="1127"/>
      <c r="X129" s="1127"/>
      <c r="Y129" s="1284"/>
      <c r="Z129" s="1130"/>
      <c r="AA129" s="1133"/>
      <c r="AB129" s="1130"/>
      <c r="AC129" s="1130"/>
      <c r="AD129" s="1130"/>
    </row>
    <row customHeight="1" ht="9">
      <c r="A130" s="1129"/>
      <c r="B130" s="1129"/>
      <c r="C130" s="1127"/>
      <c r="D130" s="1127"/>
      <c r="E130" s="1127"/>
      <c r="F130" s="1127"/>
      <c r="G130" s="1127"/>
      <c r="H130" s="1175"/>
      <c r="I130" s="1175"/>
      <c r="J130" s="1175"/>
      <c r="K130" s="1175"/>
      <c r="L130" s="1175"/>
      <c r="M130" s="1127"/>
      <c r="N130" s="1174"/>
      <c r="O130" s="1243"/>
      <c r="P130" s="1243"/>
      <c r="Q130" s="1243"/>
      <c r="R130" s="1243"/>
      <c r="S130" s="1127"/>
      <c r="T130" s="1127"/>
      <c r="U130" s="1127"/>
      <c r="V130" s="1127"/>
      <c r="W130" s="1127"/>
      <c r="X130" s="1127"/>
      <c r="Y130" s="1284"/>
      <c r="Z130" s="1130"/>
      <c r="AA130" s="1133"/>
      <c r="AB130" s="1130"/>
      <c r="AC130" s="1130"/>
      <c r="AD130" s="1130"/>
    </row>
    <row customHeight="1" ht="9">
      <c r="A131" s="1129"/>
      <c r="B131" s="1129"/>
      <c r="C131" s="1127"/>
      <c r="D131" s="1127"/>
      <c r="E131" s="1127"/>
      <c r="F131" s="1127"/>
      <c r="G131" s="1127"/>
      <c r="H131" s="1175"/>
      <c r="I131" s="1175"/>
      <c r="J131" s="1175"/>
      <c r="K131" s="1175"/>
      <c r="L131" s="1175"/>
      <c r="M131" s="1127"/>
      <c r="N131" s="1174"/>
      <c r="O131" s="1244"/>
      <c r="P131" s="1244"/>
      <c r="Q131" s="1244"/>
      <c r="R131" s="1244"/>
      <c r="S131" s="1127"/>
      <c r="T131" s="1127"/>
      <c r="U131" s="1127"/>
      <c r="V131" s="1127"/>
      <c r="W131" s="1127"/>
      <c r="X131" s="1127"/>
      <c r="Y131" s="1284"/>
      <c r="Z131" s="1130"/>
      <c r="AA131" s="1133"/>
      <c r="AB131" s="1130"/>
      <c r="AC131" s="1130"/>
      <c r="AD131" s="1130"/>
    </row>
    <row customHeight="1" ht="9">
      <c r="A132" s="1129"/>
      <c r="B132" s="1129"/>
      <c r="C132" s="1127"/>
      <c r="D132" s="1127"/>
      <c r="E132" s="1127"/>
      <c r="F132" s="1127"/>
      <c r="G132" s="1127"/>
      <c r="H132" s="1175"/>
      <c r="I132" s="1175"/>
      <c r="J132" s="1175"/>
      <c r="K132" s="1175"/>
      <c r="L132" s="1175"/>
      <c r="M132" s="1127"/>
      <c r="N132" s="1174"/>
      <c r="O132" s="1243"/>
      <c r="P132" s="1243"/>
      <c r="Q132" s="1243"/>
      <c r="R132" s="1243"/>
      <c r="S132" s="1127"/>
      <c r="T132" s="1127"/>
      <c r="U132" s="1127"/>
      <c r="V132" s="1127"/>
      <c r="W132" s="1127"/>
      <c r="X132" s="1127"/>
      <c r="Y132" s="1284"/>
      <c r="Z132" s="1130"/>
      <c r="AA132" s="1133"/>
      <c r="AB132" s="1130"/>
      <c r="AC132" s="1130"/>
      <c r="AD132" s="1130"/>
    </row>
    <row customHeight="1" ht="9">
      <c r="A133" s="1129"/>
      <c r="B133" s="1129"/>
      <c r="C133" s="1127"/>
      <c r="D133" s="1127"/>
      <c r="E133" s="1127"/>
      <c r="F133" s="1127"/>
      <c r="G133" s="1127"/>
      <c r="H133" s="1175"/>
      <c r="I133" s="1175"/>
      <c r="J133" s="1175"/>
      <c r="K133" s="1175"/>
      <c r="L133" s="1175"/>
      <c r="M133" s="1127"/>
      <c r="N133" s="1174"/>
      <c r="O133" s="1244"/>
      <c r="P133" s="1244"/>
      <c r="Q133" s="1244"/>
      <c r="R133" s="1244"/>
      <c r="S133" s="1127"/>
      <c r="T133" s="1127"/>
      <c r="U133" s="1127"/>
      <c r="V133" s="1127"/>
      <c r="W133" s="1127"/>
      <c r="X133" s="1127"/>
      <c r="Y133" s="1284"/>
      <c r="Z133" s="1130"/>
      <c r="AA133" s="1133"/>
      <c r="AB133" s="1130"/>
      <c r="AC133" s="1130"/>
      <c r="AD133" s="1130"/>
    </row>
    <row customHeight="1" ht="9">
      <c r="A134" s="1129"/>
      <c r="B134" s="1129"/>
      <c r="C134" s="1127"/>
      <c r="D134" s="1127"/>
      <c r="E134" s="1127"/>
      <c r="F134" s="1127"/>
      <c r="G134" s="1127"/>
      <c r="H134" s="1175"/>
      <c r="I134" s="1175"/>
      <c r="J134" s="1175"/>
      <c r="K134" s="1175"/>
      <c r="L134" s="1175"/>
      <c r="M134" s="1127"/>
      <c r="N134" s="1174"/>
      <c r="O134" s="1241"/>
      <c r="P134" s="1241"/>
      <c r="Q134" s="1241"/>
      <c r="R134" s="1241"/>
      <c r="S134" s="1127"/>
      <c r="T134" s="1127"/>
      <c r="U134" s="1127"/>
      <c r="V134" s="1127"/>
      <c r="W134" s="1127"/>
      <c r="X134" s="1127"/>
      <c r="Y134" s="1284"/>
      <c r="Z134" s="1130"/>
      <c r="AA134" s="1133"/>
      <c r="AB134" s="1130"/>
      <c r="AC134" s="1130"/>
      <c r="AD134" s="1130"/>
    </row>
    <row customHeight="1" ht="9">
      <c r="A135" s="1129"/>
      <c r="B135" s="1129"/>
      <c r="C135" s="1127"/>
      <c r="D135" s="1127"/>
      <c r="E135" s="1127"/>
      <c r="F135" s="1127"/>
      <c r="G135" s="1127"/>
      <c r="H135" s="1175"/>
      <c r="I135" s="1175"/>
      <c r="J135" s="1175"/>
      <c r="K135" s="1175"/>
      <c r="L135" s="1175"/>
      <c r="M135" s="1127"/>
      <c r="N135" s="1174"/>
      <c r="O135" s="1241"/>
      <c r="P135" s="1241"/>
      <c r="Q135" s="1241"/>
      <c r="R135" s="1241"/>
      <c r="S135" s="1127"/>
      <c r="T135" s="1127"/>
      <c r="U135" s="1127"/>
      <c r="V135" s="1127"/>
      <c r="W135" s="1127"/>
      <c r="X135" s="1127"/>
      <c r="Y135" s="1284"/>
      <c r="Z135" s="1130"/>
      <c r="AA135" s="1133"/>
      <c r="AB135" s="1130"/>
      <c r="AC135" s="1130"/>
      <c r="AD135" s="1130"/>
    </row>
    <row customHeight="1" ht="9">
      <c r="A136" s="1129"/>
      <c r="B136" s="1129"/>
      <c r="C136" s="1127"/>
      <c r="D136" s="1127"/>
      <c r="E136" s="1127"/>
      <c r="F136" s="1127"/>
      <c r="G136" s="1127"/>
      <c r="H136" s="1175"/>
      <c r="I136" s="1175"/>
      <c r="J136" s="1175"/>
      <c r="K136" s="1175"/>
      <c r="L136" s="1175"/>
      <c r="M136" s="1127"/>
      <c r="N136" s="1174"/>
      <c r="O136" s="1241"/>
      <c r="P136" s="1241"/>
      <c r="Q136" s="1241"/>
      <c r="R136" s="1241"/>
      <c r="S136" s="1127"/>
      <c r="T136" s="1127"/>
      <c r="U136" s="1127"/>
      <c r="V136" s="1127"/>
      <c r="W136" s="1127"/>
      <c r="X136" s="1127"/>
      <c r="Y136" s="1284"/>
      <c r="Z136" s="1130"/>
      <c r="AA136" s="1133"/>
      <c r="AB136" s="1130"/>
      <c r="AC136" s="1130"/>
      <c r="AD136" s="1130"/>
    </row>
    <row customHeight="1" ht="9">
      <c r="A137" s="1129"/>
      <c r="B137" s="1129"/>
      <c r="C137" s="1127"/>
      <c r="D137" s="1127"/>
      <c r="E137" s="1127"/>
      <c r="F137" s="1127"/>
      <c r="G137" s="1127"/>
      <c r="H137" s="1175"/>
      <c r="I137" s="1175"/>
      <c r="J137" s="1175"/>
      <c r="K137" s="1175"/>
      <c r="L137" s="1175"/>
      <c r="M137" s="1127"/>
      <c r="N137" s="1174"/>
      <c r="O137" s="1245"/>
      <c r="P137" s="1245"/>
      <c r="Q137" s="1245"/>
      <c r="R137" s="1245"/>
      <c r="S137" s="1127"/>
      <c r="T137" s="1127"/>
      <c r="U137" s="1127"/>
      <c r="V137" s="1127"/>
      <c r="W137" s="1127"/>
      <c r="X137" s="1127"/>
      <c r="Y137" s="1284"/>
      <c r="Z137" s="1130"/>
      <c r="AA137" s="1133"/>
      <c r="AB137" s="1130"/>
      <c r="AC137" s="1130"/>
      <c r="AD137" s="1130"/>
    </row>
    <row customHeight="1" ht="9">
      <c r="A138" s="1129"/>
      <c r="B138" s="1129"/>
      <c r="C138" s="1127"/>
      <c r="D138" s="1127"/>
      <c r="E138" s="1127"/>
      <c r="F138" s="1127"/>
      <c r="G138" s="1127"/>
      <c r="H138" s="1175"/>
      <c r="I138" s="1175"/>
      <c r="J138" s="1175"/>
      <c r="K138" s="1175"/>
      <c r="L138" s="1175"/>
      <c r="M138" s="1127"/>
      <c r="N138" s="1174"/>
      <c r="O138" s="1242"/>
      <c r="P138" s="1242"/>
      <c r="Q138" s="1242"/>
      <c r="R138" s="1242"/>
      <c r="S138" s="1127"/>
      <c r="T138" s="1127"/>
      <c r="U138" s="1127"/>
      <c r="V138" s="1127"/>
      <c r="W138" s="1127"/>
      <c r="X138" s="1127"/>
      <c r="Y138" s="1284"/>
      <c r="Z138" s="1130"/>
      <c r="AA138" s="1133"/>
      <c r="AB138" s="1130"/>
      <c r="AC138" s="1130"/>
      <c r="AD138" s="1130"/>
    </row>
    <row customHeight="1" ht="9">
      <c r="A139" s="1129"/>
      <c r="B139" s="1129"/>
      <c r="C139" s="1127"/>
      <c r="D139" s="1127"/>
      <c r="E139" s="1127"/>
      <c r="F139" s="1127"/>
      <c r="G139" s="1127"/>
      <c r="H139" s="1175"/>
      <c r="I139" s="1175"/>
      <c r="J139" s="1175"/>
      <c r="K139" s="1175"/>
      <c r="L139" s="1175"/>
      <c r="M139" s="1127"/>
      <c r="N139" s="1174"/>
      <c r="O139" s="1127"/>
      <c r="P139" s="1127"/>
      <c r="Q139" s="1127"/>
      <c r="R139" s="1127"/>
      <c r="S139" s="1127"/>
      <c r="T139" s="1127"/>
      <c r="U139" s="1127"/>
      <c r="V139" s="1127"/>
      <c r="W139" s="1127"/>
      <c r="X139" s="1127"/>
      <c r="Y139" s="1284"/>
      <c r="Z139" s="1130"/>
      <c r="AA139" s="1133"/>
      <c r="AB139" s="1130"/>
      <c r="AC139" s="1130"/>
      <c r="AD139" s="1130"/>
    </row>
    <row customHeight="1" ht="9">
      <c r="A140" s="1129"/>
      <c r="B140" s="1129"/>
      <c r="C140" s="1127"/>
      <c r="D140" s="1127"/>
      <c r="E140" s="1127"/>
      <c r="F140" s="1127"/>
      <c r="G140" s="1127"/>
      <c r="H140" s="1175"/>
      <c r="I140" s="1175"/>
      <c r="J140" s="1175"/>
      <c r="K140" s="1175"/>
      <c r="L140" s="1175"/>
      <c r="M140" s="1127"/>
      <c r="N140" s="1174"/>
      <c r="O140" s="1127"/>
      <c r="P140" s="1127"/>
      <c r="Q140" s="1127"/>
      <c r="R140" s="1127"/>
      <c r="S140" s="1127"/>
      <c r="T140" s="1127"/>
      <c r="U140" s="1127"/>
      <c r="V140" s="1127"/>
      <c r="W140" s="1127"/>
      <c r="X140" s="1127"/>
      <c r="Y140" s="1284"/>
      <c r="Z140" s="1130"/>
      <c r="AA140" s="1133"/>
      <c r="AB140" s="1130"/>
      <c r="AC140" s="1130"/>
      <c r="AD140" s="1130"/>
    </row>
    <row customHeight="1" ht="9">
      <c r="A141" s="1129"/>
      <c r="B141" s="1129"/>
      <c r="C141" s="1127"/>
      <c r="D141" s="1127"/>
      <c r="E141" s="1127"/>
      <c r="F141" s="1127"/>
      <c r="G141" s="1127"/>
      <c r="H141" s="1175"/>
      <c r="I141" s="1175"/>
      <c r="J141" s="1175"/>
      <c r="K141" s="1175"/>
      <c r="L141" s="1175"/>
      <c r="M141" s="1127"/>
      <c r="N141" s="1174"/>
      <c r="O141" s="1127"/>
      <c r="P141" s="1127"/>
      <c r="Q141" s="1127"/>
      <c r="R141" s="1127"/>
      <c r="S141" s="1127"/>
      <c r="T141" s="1127"/>
      <c r="U141" s="1127"/>
      <c r="V141" s="1127"/>
      <c r="W141" s="1127"/>
      <c r="X141" s="1127"/>
      <c r="Y141" s="1284"/>
      <c r="Z141" s="1130"/>
      <c r="AA141" s="1133"/>
      <c r="AB141" s="1130"/>
      <c r="AC141" s="1130"/>
      <c r="AD141" s="1130"/>
    </row>
    <row customHeight="1" ht="9">
      <c r="A142" s="1129"/>
      <c r="B142" s="1129"/>
      <c r="C142" s="1127"/>
      <c r="D142" s="1127"/>
      <c r="E142" s="1127"/>
      <c r="F142" s="1127"/>
      <c r="G142" s="1127"/>
      <c r="H142" s="1175"/>
      <c r="I142" s="1175"/>
      <c r="J142" s="1175"/>
      <c r="K142" s="1175"/>
      <c r="L142" s="1175"/>
      <c r="M142" s="1127"/>
      <c r="N142" s="1174"/>
      <c r="O142" s="1127"/>
      <c r="P142" s="1127"/>
      <c r="Q142" s="1127"/>
      <c r="R142" s="1127"/>
      <c r="S142" s="1127"/>
      <c r="T142" s="1127"/>
      <c r="U142" s="1127"/>
      <c r="V142" s="1127"/>
      <c r="W142" s="1127"/>
      <c r="X142" s="1127"/>
      <c r="Y142" s="1284"/>
      <c r="Z142" s="1130"/>
      <c r="AA142" s="1133"/>
      <c r="AB142" s="1130"/>
      <c r="AC142" s="1130"/>
      <c r="AD142" s="1130"/>
    </row>
    <row customHeight="1" ht="9">
      <c r="A143" s="1129"/>
      <c r="B143" s="1129"/>
      <c r="C143" s="1127"/>
      <c r="D143" s="1127"/>
      <c r="E143" s="1127"/>
      <c r="F143" s="1127"/>
      <c r="G143" s="1127"/>
      <c r="H143" s="1175"/>
      <c r="I143" s="1175"/>
      <c r="J143" s="1175"/>
      <c r="K143" s="1175"/>
      <c r="L143" s="1175"/>
      <c r="M143" s="1127"/>
      <c r="N143" s="1174"/>
      <c r="O143" s="1127"/>
      <c r="P143" s="1127"/>
      <c r="Q143" s="1127"/>
      <c r="R143" s="1127"/>
      <c r="S143" s="1127"/>
      <c r="T143" s="1127"/>
      <c r="U143" s="1127"/>
      <c r="V143" s="1127"/>
      <c r="W143" s="1127"/>
      <c r="X143" s="1127"/>
      <c r="Y143" s="1284"/>
      <c r="Z143" s="1130"/>
      <c r="AA143" s="1133"/>
      <c r="AB143" s="1130"/>
      <c r="AC143" s="1130"/>
      <c r="AD143" s="1130"/>
    </row>
    <row customHeight="1" ht="9">
      <c r="A144" s="1129"/>
      <c r="B144" s="1129"/>
      <c r="C144" s="1127"/>
      <c r="D144" s="1127"/>
      <c r="E144" s="1127"/>
      <c r="F144" s="1127"/>
      <c r="G144" s="1127"/>
      <c r="H144" s="1175"/>
      <c r="I144" s="1175"/>
      <c r="J144" s="1175"/>
      <c r="K144" s="1175"/>
      <c r="L144" s="1175"/>
      <c r="M144" s="1127"/>
      <c r="N144" s="1174"/>
      <c r="O144" s="1127"/>
      <c r="P144" s="1127"/>
      <c r="Q144" s="1127"/>
      <c r="R144" s="1127"/>
      <c r="S144" s="1127"/>
      <c r="T144" s="1127"/>
      <c r="U144" s="1127"/>
      <c r="V144" s="1127"/>
      <c r="W144" s="1127"/>
      <c r="X144" s="1127"/>
      <c r="Y144" s="1284"/>
      <c r="Z144" s="1130"/>
      <c r="AA144" s="1133"/>
      <c r="AB144" s="1130"/>
      <c r="AC144" s="1130"/>
      <c r="AD144" s="1130"/>
    </row>
    <row customHeight="1" ht="9">
      <c r="A145" s="1129"/>
      <c r="B145" s="1129"/>
      <c r="C145" s="1127"/>
      <c r="D145" s="1127"/>
      <c r="E145" s="1127"/>
      <c r="F145" s="1127"/>
      <c r="G145" s="1127"/>
      <c r="H145" s="1175"/>
      <c r="I145" s="1175"/>
      <c r="J145" s="1175"/>
      <c r="K145" s="1175"/>
      <c r="L145" s="1175"/>
      <c r="M145" s="1127"/>
      <c r="N145" s="1174"/>
      <c r="O145" s="1127"/>
      <c r="P145" s="1127"/>
      <c r="Q145" s="1127"/>
      <c r="R145" s="1127"/>
      <c r="S145" s="1127"/>
      <c r="T145" s="1127"/>
      <c r="U145" s="1127"/>
      <c r="V145" s="1127"/>
      <c r="W145" s="1127"/>
      <c r="X145" s="1127"/>
      <c r="Y145" s="1284"/>
      <c r="Z145" s="1130"/>
      <c r="AA145" s="1133"/>
      <c r="AB145" s="1130"/>
      <c r="AC145" s="1130"/>
      <c r="AD145" s="1130"/>
    </row>
    <row customHeight="1" ht="9">
      <c r="A146" s="1129"/>
      <c r="B146" s="1129"/>
      <c r="C146" s="1127"/>
      <c r="D146" s="1127"/>
      <c r="E146" s="1127"/>
      <c r="F146" s="1127"/>
      <c r="G146" s="1127"/>
      <c r="H146" s="1175"/>
      <c r="I146" s="1175"/>
      <c r="J146" s="1175"/>
      <c r="K146" s="1175"/>
      <c r="L146" s="1175"/>
      <c r="M146" s="1127"/>
      <c r="N146" s="1174"/>
      <c r="O146" s="1127"/>
      <c r="P146" s="1127"/>
      <c r="Q146" s="1127"/>
      <c r="R146" s="1127"/>
      <c r="S146" s="1127"/>
      <c r="T146" s="1127"/>
      <c r="U146" s="1127"/>
      <c r="V146" s="1127"/>
      <c r="W146" s="1127"/>
      <c r="X146" s="1127"/>
      <c r="Y146" s="1284"/>
      <c r="Z146" s="1130"/>
      <c r="AA146" s="1133"/>
      <c r="AB146" s="1130"/>
      <c r="AC146" s="1130"/>
      <c r="AD146" s="1130"/>
    </row>
    <row customHeight="1" ht="9">
      <c r="A147" s="1129"/>
      <c r="B147" s="1129"/>
      <c r="C147" s="1129"/>
      <c r="D147" s="1129"/>
      <c r="E147" s="1129"/>
      <c r="F147" s="1129"/>
      <c r="G147" s="1129"/>
      <c r="H147" s="1129"/>
      <c r="I147" s="1129"/>
      <c r="J147" s="1129"/>
      <c r="K147" s="1129"/>
      <c r="L147" s="1129"/>
      <c r="M147" s="1129"/>
      <c r="N147" s="1129"/>
      <c r="O147" s="1129"/>
      <c r="P147" s="1129"/>
      <c r="Q147" s="1129"/>
      <c r="R147" s="1129"/>
      <c r="S147" s="1129"/>
      <c r="T147" s="1129"/>
      <c r="U147" s="1129"/>
      <c r="V147" s="1129"/>
      <c r="W147" s="1129"/>
      <c r="X147" s="1129"/>
      <c r="Y147" s="1129"/>
      <c r="Z147" s="1129"/>
      <c r="AA147" s="1129"/>
      <c r="AB147" s="1129"/>
      <c r="AC147" s="1129"/>
      <c r="AD147" s="1129"/>
    </row>
    <row customHeight="1" ht="90">
      <c r="A148" s="1129" t="s">
        <v>1741</v>
      </c>
      <c r="B148" s="1129"/>
      <c r="C148" s="1127" t="s">
        <v>2305</v>
      </c>
      <c r="D148" s="1127" t="s">
        <v>1644</v>
      </c>
      <c r="E148" s="1127" t="s">
        <v>1743</v>
      </c>
      <c r="F148" s="1127" t="s">
        <v>2306</v>
      </c>
      <c r="G148" s="1127"/>
      <c r="H148" s="1127"/>
      <c r="I148" s="1247"/>
      <c r="J148" s="1247"/>
      <c r="K148" s="1247"/>
      <c r="L148" s="1247"/>
      <c r="M148" s="117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132"/>
      <c r="O148" s="1127"/>
      <c r="P148" s="1128"/>
      <c r="Q148" s="1128"/>
      <c r="R148" s="1128"/>
      <c r="S148" s="1127"/>
      <c r="T148" s="1127" t="s">
        <v>2307</v>
      </c>
      <c r="U148" s="112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128"/>
      <c r="W148" s="1128"/>
      <c r="X148" s="1127" t="s">
        <v>2308</v>
      </c>
      <c r="Y148" s="1284"/>
      <c r="Z148" s="1130"/>
      <c r="AA148" s="1133"/>
      <c r="AB148" s="1130"/>
      <c r="AC148" s="1130"/>
      <c r="AD148" s="1130"/>
    </row>
    <row customHeight="1" ht="9">
      <c r="A149" s="1129"/>
      <c r="B149" s="1129"/>
      <c r="C149" s="1129"/>
      <c r="D149" s="1129"/>
      <c r="E149" s="1129"/>
      <c r="F149" s="1129"/>
      <c r="G149" s="1129"/>
      <c r="H149" s="1129"/>
      <c r="I149" s="1129"/>
      <c r="J149" s="1129"/>
      <c r="K149" s="1129"/>
      <c r="L149" s="1129"/>
      <c r="M149" s="1129"/>
      <c r="N149" s="1129"/>
      <c r="O149" s="1129"/>
      <c r="P149" s="1129"/>
      <c r="Q149" s="1129"/>
      <c r="R149" s="1129"/>
      <c r="S149" s="1129"/>
      <c r="T149" s="1129"/>
      <c r="U149" s="1129"/>
      <c r="V149" s="1129"/>
      <c r="W149" s="1129"/>
      <c r="X149" s="1129"/>
      <c r="Y149" s="1129"/>
      <c r="Z149" s="1129"/>
      <c r="AA149" s="1129"/>
      <c r="AB149" s="1129"/>
      <c r="AC149" s="1129"/>
      <c r="AD149" s="1129"/>
    </row>
    <row customHeight="1" ht="9">
      <c r="A150" s="1129" t="s">
        <v>1745</v>
      </c>
      <c r="B150" s="1129"/>
      <c r="C150" s="1127"/>
      <c r="D150" s="1127"/>
      <c r="E150" s="1127"/>
      <c r="F150" s="1127"/>
      <c r="G150" s="1127"/>
      <c r="H150" s="1127"/>
      <c r="I150" s="1127"/>
      <c r="J150" s="1127"/>
      <c r="K150" s="1127"/>
      <c r="L150" s="1127"/>
      <c r="M150" s="1127"/>
      <c r="N150" s="1127"/>
      <c r="O150" s="1127"/>
      <c r="P150" s="1127"/>
      <c r="Q150" s="1127"/>
      <c r="R150" s="1127"/>
      <c r="S150" s="1127"/>
      <c r="T150" s="1127"/>
      <c r="U150" s="1127"/>
      <c r="V150" s="1127"/>
      <c r="W150" s="1127"/>
      <c r="X150" s="1127"/>
      <c r="Y150" s="1284"/>
      <c r="Z150" s="1130"/>
      <c r="AA150" s="1133"/>
      <c r="AB150" s="1130"/>
      <c r="AC150" s="1130"/>
      <c r="AD150" s="1130"/>
    </row>
    <row customHeight="1" ht="9">
      <c r="A151" s="1129"/>
      <c r="B151" s="1129"/>
      <c r="C151" s="1129"/>
      <c r="D151" s="1129"/>
      <c r="E151" s="1129"/>
      <c r="F151" s="1129"/>
      <c r="G151" s="1129"/>
      <c r="H151" s="1129"/>
      <c r="I151" s="1129"/>
      <c r="J151" s="1129"/>
      <c r="K151" s="1129"/>
      <c r="L151" s="1129"/>
      <c r="M151" s="1129"/>
      <c r="N151" s="1129"/>
      <c r="O151" s="1129"/>
      <c r="P151" s="1129"/>
      <c r="Q151" s="1129"/>
      <c r="R151" s="1129"/>
      <c r="S151" s="1129"/>
      <c r="T151" s="1129"/>
      <c r="U151" s="1129"/>
      <c r="V151" s="1129"/>
      <c r="W151" s="1129"/>
      <c r="X151" s="1129"/>
      <c r="Y151" s="1129"/>
      <c r="Z151" s="1129"/>
      <c r="AA151" s="1129"/>
      <c r="AB151" s="1129"/>
      <c r="AC151" s="1129"/>
      <c r="AD151" s="1129"/>
    </row>
    <row customHeight="1" ht="9">
      <c r="A152" s="1129" t="s">
        <v>1748</v>
      </c>
      <c r="B152" s="1129"/>
      <c r="C152" s="1127"/>
      <c r="D152" s="1127"/>
      <c r="E152" s="1127"/>
      <c r="F152" s="1127"/>
      <c r="G152" s="1127"/>
      <c r="H152" s="1127"/>
      <c r="I152" s="1127"/>
      <c r="J152" s="1127"/>
      <c r="K152" s="1127"/>
      <c r="L152" s="1127"/>
      <c r="M152" s="1127"/>
      <c r="N152" s="1127"/>
      <c r="O152" s="1127"/>
      <c r="P152" s="1127"/>
      <c r="Q152" s="1127"/>
      <c r="R152" s="1127"/>
      <c r="S152" s="1127"/>
      <c r="T152" s="1127"/>
      <c r="U152" s="1127"/>
      <c r="V152" s="1127"/>
      <c r="W152" s="1127"/>
      <c r="X152" s="1127"/>
      <c r="Y152" s="1284"/>
      <c r="Z152" s="1130"/>
      <c r="AA152" s="1133"/>
      <c r="AB152" s="1130"/>
      <c r="AC152" s="1130"/>
      <c r="AD152" s="1130"/>
    </row>
    <row customHeight="1" ht="9">
      <c r="A153" s="1129"/>
      <c r="B153" s="1129"/>
      <c r="C153" s="1129"/>
      <c r="D153" s="1129"/>
      <c r="E153" s="1129"/>
      <c r="F153" s="1129"/>
      <c r="G153" s="1129"/>
      <c r="H153" s="1129"/>
      <c r="I153" s="1129"/>
      <c r="J153" s="1129"/>
      <c r="K153" s="1129"/>
      <c r="L153" s="1129"/>
      <c r="M153" s="1129"/>
      <c r="N153" s="1129"/>
      <c r="O153" s="1129"/>
      <c r="P153" s="1129"/>
      <c r="Q153" s="1129"/>
      <c r="R153" s="1129"/>
      <c r="S153" s="1129"/>
      <c r="T153" s="1129"/>
      <c r="U153" s="1129"/>
      <c r="V153" s="1129"/>
      <c r="W153" s="1129"/>
      <c r="X153" s="1129"/>
      <c r="Y153" s="1129"/>
      <c r="Z153" s="1129"/>
      <c r="AA153" s="1129"/>
      <c r="AB153" s="1129"/>
      <c r="AC153" s="1129"/>
      <c r="AD153" s="1129"/>
    </row>
    <row customHeight="1" ht="9">
      <c r="A154" s="1129" t="s">
        <v>1753</v>
      </c>
      <c r="B154" s="1129"/>
      <c r="C154" s="1127"/>
      <c r="D154" s="1127"/>
      <c r="E154" s="1127"/>
      <c r="F154" s="1127"/>
      <c r="G154" s="1127"/>
      <c r="H154" s="1127"/>
      <c r="I154" s="1127"/>
      <c r="J154" s="1127"/>
      <c r="K154" s="1127"/>
      <c r="L154" s="1127"/>
      <c r="M154" s="1127"/>
      <c r="N154" s="1127"/>
      <c r="O154" s="1127"/>
      <c r="P154" s="1127"/>
      <c r="Q154" s="1127"/>
      <c r="R154" s="1127"/>
      <c r="S154" s="1127"/>
      <c r="T154" s="1127"/>
      <c r="U154" s="1127"/>
      <c r="V154" s="1127"/>
      <c r="W154" s="1127"/>
      <c r="X154" s="1127"/>
      <c r="Y154" s="1284"/>
      <c r="Z154" s="1130"/>
      <c r="AA154" s="1133"/>
      <c r="AB154" s="1130"/>
      <c r="AC154" s="1130"/>
      <c r="AD154" s="1130"/>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FA2FE8-A9A5-E53A-2073-199ADD8D13E1}"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30620" width="10.57421875" hidden="1"/>
    <col min="2" max="2" style="30620" width="11.00390625" hidden="1" customWidth="1"/>
    <col min="3" max="3" style="30620" width="10.57421875" hidden="1"/>
    <col min="4" max="4" style="30620" width="11.8515625" hidden="1" customWidth="1"/>
    <col min="5" max="5" style="30620" width="12.28125" hidden="1" customWidth="1"/>
    <col min="6" max="8" style="31503" width="12.28125" hidden="1" customWidth="1"/>
    <col min="9" max="9" style="31504" width="3.00390625" customWidth="1"/>
    <col min="10" max="11" style="31505" width="3.00390625" customWidth="1"/>
    <col min="12" max="12" style="31506" width="12.00390625" customWidth="1"/>
    <col min="13" max="13" style="30541" width="31.00390625" customWidth="1"/>
    <col min="14" max="14" style="30541" width="1.00390625" customWidth="1"/>
    <col min="15" max="18" style="30541" width="24.00390625" customWidth="1"/>
    <col min="19" max="19" style="30541" width="11.00390625" customWidth="1"/>
    <col min="20" max="20" style="30541" width="3.7109375" customWidth="1"/>
    <col min="21" max="21" style="30541" width="11.00390625" customWidth="1"/>
    <col min="22" max="22" style="30541" width="8.57421875" customWidth="1"/>
    <col min="23" max="23" style="30541" width="4.00390625" customWidth="1"/>
    <col min="24" max="24" style="30541" width="115.00390625" customWidth="1"/>
    <col min="25" max="29" style="30621" width="10.00390625" customWidth="1"/>
    <col min="30" max="30" style="30541" width="10.57421875" hidden="1"/>
  </cols>
  <sheetData>
    <row customHeight="1" ht="22.5" hidden="1">
      <c r="R1" s="611"/>
      <c r="S1" s="611"/>
      <c r="AD1" s="1439" t="s">
        <v>14</v>
      </c>
    </row>
    <row customHeight="1" ht="14.25" hidden="1">
      <c r="V2" s="611"/>
      <c r="AD2" s="1439">
        <v>0</v>
      </c>
    </row>
    <row customHeight="1" ht="14.25" hidden="1">
      <c r="AD3" s="1439">
        <v>0</v>
      </c>
    </row>
    <row customHeight="1" ht="14.699999999999998">
      <c r="J4" s="660"/>
      <c r="K4" s="660"/>
      <c r="L4" s="1559"/>
      <c r="M4" s="647"/>
      <c r="N4" s="647"/>
      <c r="O4" s="793"/>
      <c r="P4" s="793"/>
      <c r="Q4" s="793"/>
      <c r="R4" s="793"/>
      <c r="S4" s="793"/>
      <c r="T4" s="793"/>
      <c r="U4" s="793"/>
      <c r="V4" s="793"/>
      <c r="AD4" s="1439">
        <v>14</v>
      </c>
    </row>
    <row customHeight="1" ht="67.2">
      <c r="J5" s="660"/>
      <c r="K5" s="660"/>
      <c r="L5" s="2887" t="s">
        <v>2309</v>
      </c>
      <c r="M5" s="2887"/>
      <c r="N5" s="2887"/>
      <c r="O5" s="2887"/>
      <c r="P5" s="2887"/>
      <c r="Q5" s="2887"/>
      <c r="R5" s="2887"/>
      <c r="S5" s="2887"/>
      <c r="T5" s="2887"/>
      <c r="U5" s="2887"/>
      <c r="V5" s="1527"/>
      <c r="AD5" s="1439">
        <v>64</v>
      </c>
    </row>
    <row customHeight="1" ht="14.699999999999998">
      <c r="J6" s="660"/>
      <c r="K6" s="660"/>
      <c r="L6" s="2888" t="str">
        <f>IF(org=0,"Не определено",org)</f>
        <v>АО "ДГК"</v>
      </c>
      <c r="M6" s="2888"/>
      <c r="N6" s="2888"/>
      <c r="O6" s="2888"/>
      <c r="P6" s="2888"/>
      <c r="Q6" s="2888"/>
      <c r="R6" s="2888"/>
      <c r="S6" s="2888"/>
      <c r="T6" s="2888"/>
      <c r="U6" s="2888"/>
      <c r="V6" s="1527"/>
      <c r="AD6" s="1439">
        <v>14</v>
      </c>
    </row>
    <row customHeight="1" ht="14.699999999999998">
      <c r="J7" s="660"/>
      <c r="K7" s="660"/>
      <c r="L7" s="1559"/>
      <c r="M7" s="647"/>
      <c r="N7" s="647"/>
      <c r="O7" s="606"/>
      <c r="P7" s="606"/>
      <c r="Q7" s="606"/>
      <c r="R7" s="606"/>
      <c r="S7" s="606"/>
      <c r="T7" s="606"/>
      <c r="U7" s="606"/>
      <c r="V7" s="606"/>
      <c r="W7" s="793"/>
      <c r="AD7" s="1439">
        <v>14</v>
      </c>
    </row>
    <row s="30764" customFormat="1" customHeight="1" ht="48.29999999999999">
      <c r="A8" s="1652"/>
      <c r="B8" s="1652"/>
      <c r="C8" s="1652"/>
      <c r="D8" s="1652"/>
      <c r="E8" s="1652"/>
      <c r="F8" s="1652"/>
      <c r="G8" s="1652"/>
      <c r="H8" s="1652"/>
      <c r="L8" s="1560"/>
      <c r="M8" s="579" t="s">
        <v>42</v>
      </c>
      <c r="N8" s="588"/>
      <c r="O8" s="2535" t="str">
        <f>IF(TITLE_NAME_OR_PR_CHANGE="",IF(TITLE_NAME_OR_PR="","",TITLE_NAME_OR_PR),TITLE_NAME_OR_PR_CHANGE)</f>
        <v>Комитет по ценам и тарифам Правительства Хабаровского края</v>
      </c>
      <c r="P8" s="2535"/>
      <c r="Q8" s="2535"/>
      <c r="R8" s="2535"/>
      <c r="S8" s="2535"/>
      <c r="T8" s="2535"/>
      <c r="U8" s="2535"/>
      <c r="V8" s="610"/>
      <c r="W8" s="610"/>
      <c r="X8" s="564"/>
      <c r="Y8" s="652"/>
      <c r="Z8" s="652"/>
      <c r="AA8" s="652"/>
      <c r="AB8" s="652"/>
      <c r="AC8" s="652"/>
      <c r="AD8" s="702">
        <v>46</v>
      </c>
    </row>
    <row s="30764" customFormat="1" customHeight="1" ht="24">
      <c r="A9" s="1652"/>
      <c r="B9" s="1652"/>
      <c r="C9" s="1652"/>
      <c r="D9" s="1652"/>
      <c r="E9" s="1652"/>
      <c r="F9" s="1652"/>
      <c r="G9" s="1652"/>
      <c r="H9" s="1652"/>
      <c r="L9" s="1560"/>
      <c r="M9" s="579" t="s">
        <v>480</v>
      </c>
      <c r="N9" s="588"/>
      <c r="O9" s="2535" t="str">
        <f>IF(TITLE_DATE_CHANGE_PERIOD="",IF(TITLE_DATE_PR="","",TITLE_DATE_PR),TITLE_DATE_CHANGE_PERIOD)</f>
        <v>45839</v>
      </c>
      <c r="P9" s="2535"/>
      <c r="Q9" s="2535"/>
      <c r="R9" s="2535"/>
      <c r="S9" s="2535"/>
      <c r="T9" s="2535"/>
      <c r="U9" s="2535"/>
      <c r="V9" s="610"/>
      <c r="W9" s="610"/>
      <c r="X9" s="564"/>
      <c r="Y9" s="652"/>
      <c r="Z9" s="652"/>
      <c r="AA9" s="652"/>
      <c r="AB9" s="652"/>
      <c r="AC9" s="652"/>
      <c r="AD9" s="702">
        <v>23</v>
      </c>
    </row>
    <row s="30764" customFormat="1" customHeight="1" ht="24">
      <c r="A10" s="1652"/>
      <c r="B10" s="1652"/>
      <c r="C10" s="1652"/>
      <c r="D10" s="1652"/>
      <c r="E10" s="1652"/>
      <c r="F10" s="1652"/>
      <c r="G10" s="1652"/>
      <c r="H10" s="1652"/>
      <c r="L10" s="1534"/>
      <c r="M10" s="579" t="s">
        <v>481</v>
      </c>
      <c r="N10" s="588"/>
      <c r="O10" s="2535" t="str">
        <f>IF(TITLE_NUMBER_PR_CHANGE="",IF(TITLE_NUMBER_PR="","",TITLE_NUMBER_PR),TITLE_NUMBER_PR_CHANGE)</f>
        <v>№ 40/8</v>
      </c>
      <c r="P10" s="2535"/>
      <c r="Q10" s="2535"/>
      <c r="R10" s="2535"/>
      <c r="S10" s="2535"/>
      <c r="T10" s="2535"/>
      <c r="U10" s="2535"/>
      <c r="V10" s="610"/>
      <c r="W10" s="610"/>
      <c r="X10" s="564"/>
      <c r="Y10" s="652"/>
      <c r="Z10" s="652"/>
      <c r="AA10" s="652"/>
      <c r="AB10" s="652"/>
      <c r="AC10" s="652"/>
      <c r="AD10" s="702">
        <v>23</v>
      </c>
    </row>
    <row s="30764" customFormat="1" customHeight="1" ht="24">
      <c r="A11" s="1652"/>
      <c r="B11" s="1652"/>
      <c r="C11" s="1652"/>
      <c r="D11" s="1652"/>
      <c r="E11" s="1652"/>
      <c r="F11" s="1652"/>
      <c r="G11" s="1652"/>
      <c r="H11" s="1652"/>
      <c r="L11" s="1534"/>
      <c r="M11" s="579" t="s">
        <v>44</v>
      </c>
      <c r="N11" s="588"/>
      <c r="O11" s="2535" t="str">
        <f>IF(TITLE_IST_PUB_CHANGE="",IF(TITLE_IST_PUB="","",TITLE_IST_PUB),TITLE_IST_PUB_CHANGE)</f>
        <v>Официальный интернет - портал нормативных правовых актов Хабаровского края https://laws.khv.gov.ru/</v>
      </c>
      <c r="P11" s="2535"/>
      <c r="Q11" s="2535"/>
      <c r="R11" s="2535"/>
      <c r="S11" s="2535"/>
      <c r="T11" s="2535"/>
      <c r="U11" s="2535"/>
      <c r="V11" s="610"/>
      <c r="W11" s="610"/>
      <c r="X11" s="564"/>
      <c r="Y11" s="652"/>
      <c r="Z11" s="652"/>
      <c r="AA11" s="652"/>
      <c r="AB11" s="652"/>
      <c r="AC11" s="652"/>
      <c r="AD11" s="702">
        <v>23</v>
      </c>
    </row>
    <row s="30764" customFormat="1" customHeight="1" ht="11.25" hidden="1">
      <c r="A12" s="1652"/>
      <c r="B12" s="1652"/>
      <c r="C12" s="1652"/>
      <c r="D12" s="1652"/>
      <c r="E12" s="1652"/>
      <c r="F12" s="1652"/>
      <c r="G12" s="1652"/>
      <c r="H12" s="1652"/>
      <c r="L12" s="2889"/>
      <c r="M12" s="2889"/>
      <c r="N12" s="1571"/>
      <c r="O12" s="610"/>
      <c r="P12" s="610"/>
      <c r="Q12" s="610"/>
      <c r="R12" s="610"/>
      <c r="S12" s="610"/>
      <c r="T12" s="610"/>
      <c r="U12" s="610"/>
      <c r="V12" s="562" t="s">
        <v>484</v>
      </c>
      <c r="Y12" s="652"/>
      <c r="Z12" s="652"/>
      <c r="AA12" s="652"/>
      <c r="AB12" s="652"/>
      <c r="AC12" s="652"/>
      <c r="AD12" s="702">
        <v>0</v>
      </c>
    </row>
    <row customHeight="1" ht="14.699999999999998">
      <c r="J13" s="660"/>
      <c r="K13" s="660"/>
      <c r="L13" s="1559"/>
      <c r="M13" s="647"/>
      <c r="N13" s="1528"/>
      <c r="O13" s="2536"/>
      <c r="P13" s="2536"/>
      <c r="Q13" s="2536"/>
      <c r="R13" s="2536"/>
      <c r="S13" s="2536"/>
      <c r="T13" s="2536"/>
      <c r="U13" s="2536"/>
      <c r="V13" s="2536"/>
      <c r="AD13" s="1439">
        <v>14</v>
      </c>
    </row>
    <row customHeight="1" ht="14.699999999999998">
      <c r="J14" s="660"/>
      <c r="K14" s="660"/>
      <c r="L14" s="2411" t="s">
        <v>360</v>
      </c>
      <c r="M14" s="2411"/>
      <c r="N14" s="2411"/>
      <c r="O14" s="2411"/>
      <c r="P14" s="2411"/>
      <c r="Q14" s="2411"/>
      <c r="R14" s="2411"/>
      <c r="S14" s="2411"/>
      <c r="T14" s="2411"/>
      <c r="U14" s="2411"/>
      <c r="V14" s="2411"/>
      <c r="W14" s="2411"/>
      <c r="X14" s="2411" t="s">
        <v>361</v>
      </c>
      <c r="AD14" s="1439">
        <v>14</v>
      </c>
    </row>
    <row customHeight="1" ht="14.699999999999998">
      <c r="J15" s="660"/>
      <c r="K15" s="660"/>
      <c r="L15" s="2557" t="s">
        <v>91</v>
      </c>
      <c r="M15" s="2493" t="s">
        <v>485</v>
      </c>
      <c r="N15" s="585"/>
      <c r="O15" s="2558" t="s">
        <v>2310</v>
      </c>
      <c r="P15" s="2559"/>
      <c r="Q15" s="2559"/>
      <c r="R15" s="2559"/>
      <c r="S15" s="2559"/>
      <c r="T15" s="2559"/>
      <c r="U15" s="2560"/>
      <c r="V15" s="2561" t="s">
        <v>487</v>
      </c>
      <c r="W15" s="2564" t="s">
        <v>1229</v>
      </c>
      <c r="X15" s="2411"/>
      <c r="AD15" s="1439">
        <v>14</v>
      </c>
    </row>
    <row customHeight="1" ht="35.699999999999996">
      <c r="J16" s="660"/>
      <c r="K16" s="660"/>
      <c r="L16" s="2557"/>
      <c r="M16" s="2493"/>
      <c r="N16" s="1315"/>
      <c r="O16" s="2544" t="s">
        <v>490</v>
      </c>
      <c r="P16" s="2544" t="s">
        <v>491</v>
      </c>
      <c r="Q16" s="2546" t="s">
        <v>492</v>
      </c>
      <c r="R16" s="2547"/>
      <c r="S16" s="2546" t="s">
        <v>505</v>
      </c>
      <c r="T16" s="2553"/>
      <c r="U16" s="2547"/>
      <c r="V16" s="2562"/>
      <c r="W16" s="2565"/>
      <c r="X16" s="2411"/>
      <c r="AD16" s="1439">
        <v>34</v>
      </c>
    </row>
    <row customHeight="1" ht="35.699999999999996">
      <c r="A17" s="1654" t="s">
        <v>164</v>
      </c>
      <c r="B17" s="1654" t="s">
        <v>165</v>
      </c>
      <c r="C17" s="1654" t="s">
        <v>166</v>
      </c>
      <c r="D17" s="1654" t="s">
        <v>167</v>
      </c>
      <c r="E17" s="1654"/>
      <c r="J17" s="660"/>
      <c r="K17" s="660"/>
      <c r="L17" s="2557"/>
      <c r="M17" s="2493"/>
      <c r="N17" s="586"/>
      <c r="O17" s="2545"/>
      <c r="P17" s="2545"/>
      <c r="Q17" s="1506" t="s">
        <v>501</v>
      </c>
      <c r="R17" s="1506" t="s">
        <v>502</v>
      </c>
      <c r="S17" s="1576" t="s">
        <v>503</v>
      </c>
      <c r="T17" s="2554" t="s">
        <v>504</v>
      </c>
      <c r="U17" s="2555"/>
      <c r="V17" s="2563"/>
      <c r="W17" s="2566"/>
      <c r="X17" s="2411"/>
      <c r="AD17" s="1439">
        <v>34</v>
      </c>
    </row>
    <row s="31261" customFormat="1" customHeight="1" ht="11.549999999999999">
      <c r="A18" s="1654"/>
      <c r="B18" s="1654"/>
      <c r="C18" s="1654"/>
      <c r="D18" s="1654"/>
      <c r="E18" s="1654"/>
      <c r="F18" s="1646"/>
      <c r="G18" s="1646"/>
      <c r="H18" s="1646"/>
      <c r="I18" s="1530"/>
      <c r="J18" s="1531"/>
      <c r="K18" s="1538">
        <v>1</v>
      </c>
      <c r="L18" s="1561" t="s">
        <v>141</v>
      </c>
      <c r="M18" s="1539" t="s">
        <v>105</v>
      </c>
      <c r="N18" s="1529" t="str">
        <f>OFFSET(N18,0,-1)</f>
        <v>2</v>
      </c>
      <c r="O18" s="1573">
        <f>OFFSET(O18,0,-1)+1</f>
        <v>3</v>
      </c>
      <c r="P18" s="1573"/>
      <c r="Q18" s="1573">
        <f>OFFSET(Q18,0,-1)+1</f>
        <v>1</v>
      </c>
      <c r="R18" s="1573">
        <f>OFFSET(R18,0,-1)+1</f>
        <v>2</v>
      </c>
      <c r="S18" s="1573">
        <f>OFFSET(S18,0,-1)+1</f>
        <v>3</v>
      </c>
      <c r="T18" s="2556">
        <f>OFFSET(T18,0,-1)+1</f>
        <v>4</v>
      </c>
      <c r="U18" s="2556"/>
      <c r="V18" s="1573">
        <f>OFFSET(V18,0,-2)+1</f>
        <v>5</v>
      </c>
      <c r="W18" s="1529">
        <f>OFFSET(W18,0,-1)</f>
        <v>5</v>
      </c>
      <c r="X18" s="1573">
        <f>OFFSET(X18,0,-1)+1</f>
        <v>6</v>
      </c>
      <c r="Y18" s="795"/>
      <c r="Z18" s="795"/>
      <c r="AA18" s="795"/>
      <c r="AB18" s="795"/>
      <c r="AC18" s="795"/>
      <c r="AD18" s="780">
        <v>11</v>
      </c>
    </row>
    <row customHeight="1" ht="21">
      <c r="A19" s="1647" t="s">
        <v>198</v>
      </c>
      <c r="B19" s="1647" t="s">
        <v>199</v>
      </c>
      <c r="C19" s="1647" t="s">
        <v>200</v>
      </c>
      <c r="D19" s="1647" t="s">
        <v>201</v>
      </c>
      <c r="E19" s="1647"/>
      <c r="F19" s="1649"/>
      <c r="G19" s="1649"/>
      <c r="H19" s="1649"/>
      <c r="I19" s="645"/>
      <c r="J19" s="644"/>
      <c r="K19" s="639"/>
      <c r="L19" s="1577">
        <f>INDEX(PT_DIFFERENTIATION_NUM_NTAR,MATCH(A19,PT_DIFFERENTIATION_NTAR_ID,0))</f>
        <v>0</v>
      </c>
      <c r="M19" s="582" t="s">
        <v>153</v>
      </c>
      <c r="N19" s="584"/>
      <c r="O19" s="2890" t="str">
        <f>INDEX(PT_DIFFERENTIATION_NTAR,MATCH(A19,PT_DIFFERENTIATION_NTAR_ID,0))</f>
        <v/>
      </c>
      <c r="P19" s="2890"/>
      <c r="Q19" s="2890"/>
      <c r="R19" s="2890"/>
      <c r="S19" s="2890"/>
      <c r="T19" s="2890"/>
      <c r="U19" s="2890"/>
      <c r="V19" s="2890"/>
      <c r="W19" s="2890"/>
      <c r="X19" s="1542" t="s">
        <v>456</v>
      </c>
      <c r="Z19" s="784"/>
      <c r="AA19" s="784" t="str">
        <f>IF(M19="","",M19)</f>
        <v>Наименование тарифа</v>
      </c>
      <c r="AB19" s="784"/>
      <c r="AC19" s="784"/>
      <c r="AD19" s="1439">
        <v>20</v>
      </c>
    </row>
    <row customHeight="1" ht="21">
      <c r="A20" s="1647" t="s">
        <v>198</v>
      </c>
      <c r="B20" s="1647" t="s">
        <v>199</v>
      </c>
      <c r="C20" s="1647" t="s">
        <v>200</v>
      </c>
      <c r="D20" s="1647" t="s">
        <v>201</v>
      </c>
      <c r="E20" s="1647"/>
      <c r="F20" s="1649"/>
      <c r="G20" s="1649"/>
      <c r="H20" s="1649"/>
      <c r="I20" s="1574"/>
      <c r="J20" s="636"/>
      <c r="K20" s="637"/>
      <c r="L20" s="1577" t="str">
        <f>INDEX(PT_DIFFERENTIATION_NUM_TER,MATCH(B19,PT_DIFFERENTIATION_TER_ID,0))</f>
        <v>.</v>
      </c>
      <c r="M20" s="592" t="s">
        <v>457</v>
      </c>
      <c r="N20" s="584"/>
      <c r="O20" s="2890" t="str">
        <f>INDEX(PT_DIFFERENTIATION_TER,MATCH(B19,PT_DIFFERENTIATION_TER_ID,0))</f>
        <v/>
      </c>
      <c r="P20" s="2890"/>
      <c r="Q20" s="2890"/>
      <c r="R20" s="2890"/>
      <c r="S20" s="2890"/>
      <c r="T20" s="2890"/>
      <c r="U20" s="2890"/>
      <c r="V20" s="2890"/>
      <c r="W20" s="2890"/>
      <c r="X20" s="1542" t="s">
        <v>458</v>
      </c>
      <c r="Z20" s="784"/>
      <c r="AA20" s="784" t="str">
        <f>IF(M20="","",M20)</f>
        <v>Территория действия тарифа</v>
      </c>
      <c r="AB20" s="784"/>
      <c r="AC20" s="784"/>
      <c r="AD20" s="1439">
        <v>20</v>
      </c>
    </row>
    <row customHeight="1" ht="24">
      <c r="A21" s="1647" t="s">
        <v>198</v>
      </c>
      <c r="B21" s="1647" t="s">
        <v>199</v>
      </c>
      <c r="C21" s="1647" t="s">
        <v>200</v>
      </c>
      <c r="D21" s="1647" t="s">
        <v>201</v>
      </c>
      <c r="E21" s="1647"/>
      <c r="F21" s="1649"/>
      <c r="G21" s="1649"/>
      <c r="H21" s="1649"/>
      <c r="I21" s="638"/>
      <c r="J21" s="636"/>
      <c r="K21" s="637"/>
      <c r="L21" s="1577" t="str">
        <f>INDEX(PT_DIFFERENTIATION_NUM_CS,MATCH(C19,PT_DIFFERENTIATION_CS_ID,0))</f>
        <v>..</v>
      </c>
      <c r="M21" s="593" t="s">
        <v>459</v>
      </c>
      <c r="N21" s="584"/>
      <c r="O21" s="2890" t="str">
        <f>INDEX(PT_DIFFERENTIATION_CS,MATCH(C19,PT_DIFFERENTIATION_CS_ID,0))</f>
        <v/>
      </c>
      <c r="P21" s="2890"/>
      <c r="Q21" s="2890"/>
      <c r="R21" s="2890"/>
      <c r="S21" s="2890"/>
      <c r="T21" s="2890"/>
      <c r="U21" s="2890"/>
      <c r="V21" s="2890"/>
      <c r="W21" s="2890"/>
      <c r="X21" s="1542" t="s">
        <v>460</v>
      </c>
      <c r="Z21" s="784"/>
      <c r="AA21" s="784" t="str">
        <f>IF(M21="","",M21)</f>
        <v>Наименование системы теплоснабжения </v>
      </c>
      <c r="AB21" s="784"/>
      <c r="AC21" s="784"/>
      <c r="AD21" s="1439">
        <v>23</v>
      </c>
    </row>
    <row customHeight="1" ht="21">
      <c r="A22" s="1647" t="s">
        <v>198</v>
      </c>
      <c r="B22" s="1647" t="s">
        <v>199</v>
      </c>
      <c r="C22" s="1647" t="s">
        <v>200</v>
      </c>
      <c r="D22" s="1647" t="s">
        <v>201</v>
      </c>
      <c r="E22" s="1647"/>
      <c r="F22" s="1649"/>
      <c r="G22" s="1649"/>
      <c r="H22" s="1649"/>
      <c r="I22" s="638"/>
      <c r="J22" s="636"/>
      <c r="K22" s="637"/>
      <c r="L22" s="1577" t="str">
        <f>INDEX(PT_DIFFERENTIATION_NUM_IST_TE,MATCH(D19,PT_DIFFERENTIATION_IST_TE_ID,0))</f>
        <v>...</v>
      </c>
      <c r="M22" s="594" t="s">
        <v>461</v>
      </c>
      <c r="N22" s="584"/>
      <c r="O22" s="2890" t="str">
        <f>INDEX(PT_DIFFERENTIATION_IST_TE,MATCH(D19,PT_DIFFERENTIATION_IST_TE_ID,0))</f>
        <v/>
      </c>
      <c r="P22" s="2890"/>
      <c r="Q22" s="2890"/>
      <c r="R22" s="2890"/>
      <c r="S22" s="2890"/>
      <c r="T22" s="2890"/>
      <c r="U22" s="2890"/>
      <c r="V22" s="2890"/>
      <c r="W22" s="2890"/>
      <c r="X22" s="1542" t="s">
        <v>462</v>
      </c>
      <c r="Z22" s="784"/>
      <c r="AA22" s="784" t="str">
        <f>IF(M22="","",M22)</f>
        <v>Источник тепловой энергии  </v>
      </c>
      <c r="AB22" s="784"/>
      <c r="AC22" s="784"/>
      <c r="AD22" s="1439">
        <v>20</v>
      </c>
    </row>
    <row customHeight="1" ht="96.75">
      <c r="A23" s="1647" t="s">
        <v>198</v>
      </c>
      <c r="B23" s="1647" t="s">
        <v>199</v>
      </c>
      <c r="C23" s="1647" t="s">
        <v>200</v>
      </c>
      <c r="D23" s="1647" t="s">
        <v>201</v>
      </c>
      <c r="E23" s="1647"/>
      <c r="F23" s="2891" t="str">
        <f>L22&amp;".1"</f>
        <v>....1</v>
      </c>
      <c r="I23" s="2541">
        <v>1</v>
      </c>
      <c r="J23" s="1575"/>
      <c r="K23" s="640"/>
      <c r="L23" s="1577" t="str">
        <f>$F$23</f>
        <v>....1</v>
      </c>
      <c r="M23" s="569" t="s">
        <v>464</v>
      </c>
      <c r="N23" s="584"/>
      <c r="O23" s="2589"/>
      <c r="P23" s="2589"/>
      <c r="Q23" s="2589"/>
      <c r="R23" s="2589"/>
      <c r="S23" s="2589"/>
      <c r="T23" s="2589"/>
      <c r="U23" s="2589"/>
      <c r="V23" s="2589"/>
      <c r="W23" s="2589"/>
      <c r="X23" s="1542" t="s">
        <v>465</v>
      </c>
      <c r="Z23" s="784"/>
      <c r="AA23" s="784" t="str">
        <f>IF(M23="","",M23)</f>
        <v>Схема подключения теплопотребляющей установки к коллектору источника тепловой энергии</v>
      </c>
      <c r="AB23" s="784"/>
      <c r="AC23" s="784"/>
      <c r="AD23" s="1439">
        <v>92</v>
      </c>
    </row>
    <row customHeight="1" ht="86.25">
      <c r="A24" s="1647" t="s">
        <v>198</v>
      </c>
      <c r="B24" s="1647" t="s">
        <v>199</v>
      </c>
      <c r="C24" s="1647" t="s">
        <v>200</v>
      </c>
      <c r="D24" s="1647" t="s">
        <v>201</v>
      </c>
      <c r="E24" s="1647"/>
      <c r="F24" s="2891"/>
      <c r="G24" s="2501" t="str">
        <f>F23&amp;".1"</f>
        <v>....1.1</v>
      </c>
      <c r="I24" s="2541"/>
      <c r="J24" s="2541">
        <v>1</v>
      </c>
      <c r="K24" s="641"/>
      <c r="L24" s="1577" t="str">
        <f>$G$24</f>
        <v>....1.1</v>
      </c>
      <c r="M24" s="570" t="s">
        <v>467</v>
      </c>
      <c r="N24" s="584"/>
      <c r="O24" s="2529"/>
      <c r="P24" s="2530"/>
      <c r="Q24" s="2530"/>
      <c r="R24" s="2530"/>
      <c r="S24" s="2530"/>
      <c r="T24" s="2530"/>
      <c r="U24" s="2530"/>
      <c r="V24" s="2530"/>
      <c r="W24" s="2531"/>
      <c r="X24" s="1542" t="s">
        <v>468</v>
      </c>
      <c r="Z24" s="784"/>
      <c r="AA24" s="784" t="str">
        <f>IF(M24="","",M24)</f>
        <v>Группа потребителей</v>
      </c>
      <c r="AB24" s="784"/>
      <c r="AC24" s="784"/>
      <c r="AD24" s="1439">
        <v>82</v>
      </c>
    </row>
    <row customHeight="1" ht="11.549999999999999">
      <c r="A25" s="1647" t="s">
        <v>198</v>
      </c>
      <c r="B25" s="1647" t="s">
        <v>199</v>
      </c>
      <c r="C25" s="1647" t="s">
        <v>200</v>
      </c>
      <c r="D25" s="1647" t="s">
        <v>201</v>
      </c>
      <c r="E25" s="1647"/>
      <c r="F25" s="2891"/>
      <c r="G25" s="2501"/>
      <c r="H25" s="2501" t="str">
        <f>G24&amp;".1"</f>
        <v>....1.1.1</v>
      </c>
      <c r="I25" s="2541"/>
      <c r="J25" s="2541"/>
      <c r="K25" s="641">
        <v>1</v>
      </c>
      <c r="L25" s="1577" t="str">
        <f>$H$25</f>
        <v>....1.1.1</v>
      </c>
      <c r="M25" s="1631"/>
      <c r="N25" s="584"/>
      <c r="O25" s="1035"/>
      <c r="P25" s="609"/>
      <c r="Q25" s="1035"/>
      <c r="R25" s="1541"/>
      <c r="S25" s="2886"/>
      <c r="T25" s="2391" t="s">
        <v>64</v>
      </c>
      <c r="U25" s="2886"/>
      <c r="V25" s="2391" t="s">
        <v>19</v>
      </c>
      <c r="W25" s="609"/>
      <c r="X25" s="2537" t="s">
        <v>470</v>
      </c>
      <c r="Y25" s="795">
        <f>STRCHECKDATE(O26:W26)</f>
      </c>
      <c r="Z25" s="784"/>
      <c r="AA25" s="784" t="str">
        <f>IF(M25="","",M25)</f>
        <v/>
      </c>
      <c r="AB25" s="784"/>
      <c r="AC25" s="784"/>
      <c r="AD25" s="1439">
        <v>11</v>
      </c>
    </row>
    <row customHeight="1" ht="11.549999999999999">
      <c r="A26" s="1647" t="s">
        <v>198</v>
      </c>
      <c r="B26" s="1647" t="s">
        <v>199</v>
      </c>
      <c r="C26" s="1647" t="s">
        <v>200</v>
      </c>
      <c r="D26" s="1647" t="s">
        <v>201</v>
      </c>
      <c r="E26" s="1647"/>
      <c r="F26" s="2891"/>
      <c r="G26" s="2501"/>
      <c r="H26" s="2501"/>
      <c r="I26" s="2541"/>
      <c r="J26" s="2541"/>
      <c r="K26" s="641"/>
      <c r="L26" s="1578"/>
      <c r="M26" s="584"/>
      <c r="N26" s="584"/>
      <c r="O26" s="609"/>
      <c r="P26" s="609"/>
      <c r="Q26" s="609"/>
      <c r="R26" s="612" t="str">
        <f>S25&amp;"-"&amp;U25</f>
        <v>-</v>
      </c>
      <c r="S26" s="2550"/>
      <c r="T26" s="2391"/>
      <c r="U26" s="2550"/>
      <c r="V26" s="2391"/>
      <c r="W26" s="609"/>
      <c r="X26" s="2538"/>
      <c r="Z26" s="784"/>
      <c r="AA26" s="784" t="str">
        <f>IF(M26="","",M26)</f>
        <v/>
      </c>
      <c r="AB26" s="784"/>
      <c r="AC26" s="784"/>
      <c r="AD26" s="1439">
        <v>11</v>
      </c>
    </row>
    <row customHeight="1" ht="15.75">
      <c r="A27" s="1647" t="s">
        <v>198</v>
      </c>
      <c r="B27" s="1647" t="s">
        <v>199</v>
      </c>
      <c r="C27" s="1647" t="s">
        <v>200</v>
      </c>
      <c r="D27" s="1647" t="s">
        <v>201</v>
      </c>
      <c r="E27" s="1647"/>
      <c r="F27" s="2891"/>
      <c r="G27" s="2501"/>
      <c r="I27" s="2541"/>
      <c r="J27" s="2541"/>
      <c r="K27" s="640"/>
      <c r="L27" s="1562"/>
      <c r="M27" s="572" t="s">
        <v>471</v>
      </c>
      <c r="N27" s="651"/>
      <c r="O27" s="651"/>
      <c r="P27" s="651"/>
      <c r="Q27" s="651"/>
      <c r="R27" s="651"/>
      <c r="S27" s="651"/>
      <c r="T27" s="651"/>
      <c r="U27" s="651"/>
      <c r="V27" s="651"/>
      <c r="W27" s="608"/>
      <c r="X27" s="2539"/>
      <c r="Z27" s="784"/>
      <c r="AA27" s="784" t="str">
        <f>IF(M27="","",M27)</f>
        <v>Добавить вид теплоносителя (параметры теплоносителя)</v>
      </c>
      <c r="AB27" s="784"/>
      <c r="AC27" s="784"/>
      <c r="AD27" s="1439">
        <v>15</v>
      </c>
    </row>
    <row customHeight="1" ht="15.75">
      <c r="A28" s="1647" t="s">
        <v>198</v>
      </c>
      <c r="B28" s="1647" t="s">
        <v>199</v>
      </c>
      <c r="C28" s="1647" t="s">
        <v>200</v>
      </c>
      <c r="D28" s="1647" t="s">
        <v>201</v>
      </c>
      <c r="E28" s="1647"/>
      <c r="F28" s="2891"/>
      <c r="I28" s="2541"/>
      <c r="J28" s="1575"/>
      <c r="K28" s="640"/>
      <c r="L28" s="1562"/>
      <c r="M28" s="571" t="s">
        <v>472</v>
      </c>
      <c r="N28" s="651"/>
      <c r="O28" s="651"/>
      <c r="P28" s="651"/>
      <c r="Q28" s="651"/>
      <c r="R28" s="651"/>
      <c r="S28" s="651"/>
      <c r="T28" s="651"/>
      <c r="U28" s="651"/>
      <c r="V28" s="650"/>
      <c r="W28" s="651"/>
      <c r="X28" s="587"/>
      <c r="Z28" s="784"/>
      <c r="AA28" s="784" t="str">
        <f>IF(M28="","",M28)</f>
        <v>Добавить группу потребителей</v>
      </c>
      <c r="AB28" s="784"/>
      <c r="AC28" s="784"/>
      <c r="AD28" s="1439">
        <v>15</v>
      </c>
    </row>
    <row customHeight="1" ht="14.699999999999998">
      <c r="A29" s="1647" t="s">
        <v>198</v>
      </c>
      <c r="B29" s="1647" t="s">
        <v>199</v>
      </c>
      <c r="C29" s="1647" t="s">
        <v>200</v>
      </c>
      <c r="D29" s="1647" t="s">
        <v>201</v>
      </c>
      <c r="E29" s="1647"/>
      <c r="F29" s="1649"/>
      <c r="G29" s="1649"/>
      <c r="H29" s="821"/>
      <c r="I29" s="644"/>
      <c r="J29" s="659"/>
      <c r="K29" s="639"/>
      <c r="L29" s="1562"/>
      <c r="M29" s="649" t="s">
        <v>473</v>
      </c>
      <c r="N29" s="651"/>
      <c r="O29" s="651"/>
      <c r="P29" s="651"/>
      <c r="Q29" s="651"/>
      <c r="R29" s="651"/>
      <c r="S29" s="651"/>
      <c r="T29" s="651"/>
      <c r="U29" s="651"/>
      <c r="V29" s="650"/>
      <c r="W29" s="651"/>
      <c r="X29" s="587"/>
      <c r="Z29" s="784"/>
      <c r="AA29" s="784" t="str">
        <f>IF(M29="","",M29)</f>
        <v>Добавить схему подключения</v>
      </c>
      <c r="AB29" s="784"/>
      <c r="AC29" s="784"/>
      <c r="AD29" s="1439">
        <v>14</v>
      </c>
    </row>
    <row customHeight="1" ht="14.699999999999998">
      <c r="A30" s="1647" t="s">
        <v>198</v>
      </c>
      <c r="B30" s="1647" t="s">
        <v>199</v>
      </c>
      <c r="C30" s="1647" t="s">
        <v>200</v>
      </c>
      <c r="D30" s="1647"/>
      <c r="E30" s="1647" t="s">
        <v>658</v>
      </c>
      <c r="F30" s="1649"/>
      <c r="G30" s="1649"/>
      <c r="H30" s="821"/>
      <c r="I30" s="644"/>
      <c r="J30" s="659"/>
      <c r="K30" s="639"/>
      <c r="L30" s="1563"/>
      <c r="M30" s="1552"/>
      <c r="N30" s="1553"/>
      <c r="O30" s="1553"/>
      <c r="P30" s="1553"/>
      <c r="Q30" s="1553"/>
      <c r="R30" s="1553"/>
      <c r="S30" s="1553"/>
      <c r="T30" s="1553"/>
      <c r="U30" s="1553"/>
      <c r="V30" s="1554"/>
      <c r="W30" s="1553"/>
      <c r="X30" s="1555"/>
      <c r="Z30" s="784"/>
      <c r="AA30" s="784" t="str">
        <f>IF(M30="","",M30)</f>
        <v/>
      </c>
      <c r="AB30" s="784"/>
      <c r="AC30" s="784"/>
      <c r="AD30" s="1439">
        <v>14</v>
      </c>
    </row>
    <row customHeight="1" ht="14.699999999999998">
      <c r="A31" s="1647" t="s">
        <v>198</v>
      </c>
      <c r="B31" s="1647" t="s">
        <v>199</v>
      </c>
      <c r="C31" s="1647"/>
      <c r="D31" s="1647"/>
      <c r="E31" s="1647" t="s">
        <v>2311</v>
      </c>
      <c r="F31" s="1801"/>
      <c r="G31" s="1801"/>
      <c r="H31" s="821"/>
      <c r="I31" s="642"/>
      <c r="J31" s="659"/>
      <c r="K31" s="643"/>
      <c r="L31" s="1563"/>
      <c r="M31" s="1556"/>
      <c r="N31" s="1553"/>
      <c r="O31" s="1553"/>
      <c r="P31" s="1553"/>
      <c r="Q31" s="1553"/>
      <c r="R31" s="1553"/>
      <c r="S31" s="1553"/>
      <c r="T31" s="1553"/>
      <c r="U31" s="1553"/>
      <c r="V31" s="1554"/>
      <c r="W31" s="1553"/>
      <c r="X31" s="1555"/>
      <c r="Z31" s="784"/>
      <c r="AA31" s="784" t="str">
        <f>IF(M31="","",M31)</f>
        <v/>
      </c>
      <c r="AB31" s="784"/>
      <c r="AC31" s="784"/>
      <c r="AD31" s="1439">
        <v>14</v>
      </c>
    </row>
    <row customHeight="1" ht="14.699999999999998">
      <c r="A32" s="1647" t="s">
        <v>2312</v>
      </c>
      <c r="B32" s="1647"/>
      <c r="C32" s="1647"/>
      <c r="D32" s="1647"/>
      <c r="E32" s="1647" t="s">
        <v>136</v>
      </c>
      <c r="F32" s="1801"/>
      <c r="G32" s="1801"/>
      <c r="H32" s="821"/>
      <c r="I32" s="644"/>
      <c r="J32" s="659"/>
      <c r="K32" s="639"/>
      <c r="L32" s="1563"/>
      <c r="M32" s="1557"/>
      <c r="N32" s="1553"/>
      <c r="O32" s="1553"/>
      <c r="P32" s="1553"/>
      <c r="Q32" s="1553"/>
      <c r="R32" s="1553"/>
      <c r="S32" s="1553"/>
      <c r="T32" s="1553"/>
      <c r="U32" s="1553"/>
      <c r="V32" s="1554"/>
      <c r="W32" s="1553"/>
      <c r="X32" s="1555"/>
      <c r="Z32" s="784"/>
      <c r="AA32" s="784" t="str">
        <f>IF(M32="","",M32)</f>
        <v/>
      </c>
      <c r="AB32" s="784"/>
      <c r="AC32" s="784"/>
      <c r="AD32" s="1439">
        <v>14</v>
      </c>
    </row>
    <row s="30681" customFormat="1" customHeight="1" ht="11.549999999999999">
      <c r="A33" s="1647"/>
      <c r="B33" s="1647"/>
      <c r="C33" s="1647"/>
      <c r="D33" s="1647"/>
      <c r="E33" s="1647" t="s">
        <v>239</v>
      </c>
      <c r="F33" s="1802"/>
      <c r="G33" s="1803"/>
      <c r="H33" s="821"/>
      <c r="L33" s="1564"/>
      <c r="M33" s="1558"/>
      <c r="N33" s="1553"/>
      <c r="O33" s="1553"/>
      <c r="P33" s="1553"/>
      <c r="Q33" s="1553"/>
      <c r="R33" s="1553"/>
      <c r="S33" s="1553"/>
      <c r="T33" s="1553"/>
      <c r="U33" s="1553"/>
      <c r="V33" s="1554"/>
      <c r="W33" s="1553"/>
      <c r="X33" s="1555"/>
      <c r="Y33" s="663"/>
      <c r="Z33" s="663"/>
      <c r="AA33" s="663"/>
      <c r="AB33" s="663"/>
      <c r="AC33" s="663"/>
      <c r="AD33" s="657">
        <v>11</v>
      </c>
    </row>
    <row customHeight="1" ht="11.549999999999999">
      <c r="F34" s="1444"/>
      <c r="G34" s="1444"/>
      <c r="H34" s="821"/>
      <c r="I34" s="1439"/>
      <c r="J34" s="1439"/>
      <c r="K34" s="1439"/>
      <c r="Y34" s="1439"/>
      <c r="Z34" s="1439"/>
      <c r="AA34" s="1439"/>
      <c r="AB34" s="1439"/>
      <c r="AC34" s="1439"/>
      <c r="AD34" s="1439">
        <v>11</v>
      </c>
    </row>
    <row customHeight="1" ht="28.5">
      <c r="H35" s="821"/>
      <c r="L35" s="1572" t="s">
        <v>875</v>
      </c>
      <c r="M35" s="2569" t="s">
        <v>2313</v>
      </c>
      <c r="N35" s="2569"/>
      <c r="O35" s="2569"/>
      <c r="P35" s="2569"/>
      <c r="Q35" s="2569"/>
      <c r="R35" s="2569"/>
      <c r="S35" s="2569"/>
      <c r="T35" s="2569"/>
      <c r="U35" s="2569"/>
      <c r="V35" s="2569"/>
      <c r="W35" s="2569"/>
      <c r="X35" s="2569"/>
      <c r="AD35" s="1439">
        <v>27</v>
      </c>
    </row>
    <row customHeight="1" ht="109.19999999999999">
      <c r="H36" s="821"/>
      <c r="I36" s="1587"/>
      <c r="M36" s="2569" t="s">
        <v>2314</v>
      </c>
      <c r="N36" s="2569"/>
      <c r="O36" s="2569"/>
      <c r="P36" s="2569"/>
      <c r="Q36" s="2569"/>
      <c r="R36" s="2569"/>
      <c r="S36" s="2569"/>
      <c r="T36" s="2569"/>
      <c r="U36" s="2569"/>
      <c r="V36" s="2569"/>
      <c r="W36" s="2569"/>
      <c r="X36" s="2569"/>
      <c r="AD36" s="1439">
        <v>104</v>
      </c>
    </row>
    <row customHeight="1" ht="14.699999999999998">
      <c r="H37" s="821"/>
      <c r="AD37" s="1439">
        <v>14</v>
      </c>
    </row>
    <row customHeight="1" ht="14.699999999999998">
      <c r="H38" s="821"/>
      <c r="AD38" s="1439">
        <v>14</v>
      </c>
    </row>
    <row customHeight="1" ht="14.699999999999998">
      <c r="H39" s="821"/>
      <c r="AD39" s="1439">
        <v>14</v>
      </c>
    </row>
    <row customHeight="1" ht="14.699999999999998">
      <c r="H40" s="821"/>
      <c r="AD40" s="1439">
        <v>14</v>
      </c>
    </row>
    <row customHeight="1" ht="22.5" hidden="1">
      <c r="A41" s="1444" t="s">
        <v>85</v>
      </c>
      <c r="B41" s="1444">
        <v>0</v>
      </c>
      <c r="C41" s="1444">
        <v>0</v>
      </c>
      <c r="D41" s="1444">
        <v>0</v>
      </c>
      <c r="E41" s="1444">
        <v>0</v>
      </c>
      <c r="F41" s="1646">
        <v>0</v>
      </c>
      <c r="G41" s="1646">
        <v>0</v>
      </c>
      <c r="H41" s="1646">
        <v>0</v>
      </c>
      <c r="I41" s="1570">
        <v>3</v>
      </c>
      <c r="J41" s="628">
        <v>3</v>
      </c>
      <c r="K41" s="628">
        <v>3</v>
      </c>
      <c r="L41" s="865">
        <v>12</v>
      </c>
      <c r="M41" s="1439">
        <v>31</v>
      </c>
      <c r="N41" s="1439">
        <v>1</v>
      </c>
      <c r="O41" s="1439">
        <v>24</v>
      </c>
      <c r="P41" s="1439">
        <v>24</v>
      </c>
      <c r="Q41" s="1439">
        <v>24</v>
      </c>
      <c r="R41" s="1439">
        <v>24</v>
      </c>
      <c r="S41" s="1439">
        <v>11</v>
      </c>
      <c r="T41" s="1439">
        <v>3</v>
      </c>
      <c r="U41" s="1439">
        <v>11</v>
      </c>
      <c r="V41" s="1439">
        <v>8</v>
      </c>
      <c r="W41" s="1439">
        <v>4</v>
      </c>
      <c r="X41" s="1439">
        <v>115</v>
      </c>
      <c r="Y41" s="795">
        <v>10</v>
      </c>
      <c r="Z41" s="795">
        <v>10</v>
      </c>
      <c r="AA41" s="795">
        <v>10</v>
      </c>
      <c r="AB41" s="795">
        <v>10</v>
      </c>
      <c r="AC41" s="795">
        <v>10</v>
      </c>
      <c r="AD41" s="1439">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A0E5BA-A956-39D1-6A79-61A4FC639383}"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B05275-4B8C-65C3-811E-23F15725A53B}"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934CCD-A563-1B0B-7F9B-1BEC11F664B5}"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794D57-9EE2-C461-DADC-C67CDDF41BD9}"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1B2E04-FF3A-E0AA-1806-7E56286A0549}"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14CD5E-91A1-60EB-8873-ECA2C80B9187}"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31216" width="15.00390625" hidden="1" customWidth="1"/>
    <col min="2" max="2" style="31173" width="15.00390625" hidden="1" customWidth="1"/>
    <col min="3" max="3" style="31217" width="3.00390625" customWidth="1"/>
    <col min="4" max="4" style="31218" width="6.00390625" customWidth="1"/>
    <col min="5" max="5" style="31217" width="52.00390625" customWidth="1"/>
    <col min="6" max="6" style="31217" width="48.00390625" customWidth="1"/>
    <col min="7" max="7" style="31217" width="121.00390625" customWidth="1"/>
    <col min="8" max="8" style="31217" width="8.00390625" customWidth="1"/>
    <col min="9" max="9" style="31217" width="64.00390625" customWidth="1"/>
    <col min="10" max="10" style="31217" width="9.140625" hidden="1"/>
  </cols>
  <sheetData>
    <row customHeight="1" ht="11.25" hidden="1">
      <c r="A1" s="1970" t="s">
        <v>359</v>
      </c>
      <c r="J1" s="739" t="s">
        <v>14</v>
      </c>
    </row>
    <row customHeight="1" ht="11.25" hidden="1">
      <c r="J2" s="739">
        <v>0</v>
      </c>
    </row>
    <row s="31131" customFormat="1" customHeight="1" ht="11.549999999999999">
      <c r="A3" s="1970"/>
      <c r="B3" s="785"/>
      <c r="D3" s="762"/>
      <c r="J3" s="761">
        <v>11</v>
      </c>
    </row>
    <row customHeight="1" ht="27.299999999999997">
      <c r="D4" s="244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42"/>
      <c r="F4" s="2443"/>
      <c r="I4" s="999"/>
      <c r="J4" s="739">
        <v>26</v>
      </c>
    </row>
    <row customHeight="1" ht="18">
      <c r="D5" s="2460" t="str">
        <f>IF(org=0,"Не определено",org)</f>
        <v>АО "ДГК"</v>
      </c>
      <c r="E5" s="2460"/>
      <c r="F5" s="2460"/>
      <c r="I5" s="999"/>
      <c r="J5" s="739">
        <v>17</v>
      </c>
    </row>
    <row s="31131" customFormat="1" customHeight="1" ht="11.549999999999999">
      <c r="A6" s="1970"/>
      <c r="B6" s="785"/>
      <c r="D6" s="998"/>
      <c r="E6" s="998"/>
      <c r="F6" s="1036"/>
      <c r="G6" s="998"/>
      <c r="J6" s="761">
        <v>11</v>
      </c>
    </row>
    <row customHeight="1" ht="11.25" hidden="1">
      <c r="A7" s="741"/>
      <c r="B7" s="786"/>
      <c r="C7" s="741"/>
      <c r="D7" s="747"/>
      <c r="E7" s="2491"/>
      <c r="F7" s="2491"/>
      <c r="J7" s="739">
        <v>0</v>
      </c>
    </row>
    <row customHeight="1" ht="11.549999999999999">
      <c r="A8" s="741"/>
      <c r="B8" s="786"/>
      <c r="C8" s="741"/>
      <c r="D8" s="2488" t="s">
        <v>360</v>
      </c>
      <c r="E8" s="2489"/>
      <c r="F8" s="2489"/>
      <c r="G8" s="2492" t="s">
        <v>361</v>
      </c>
      <c r="J8" s="739">
        <v>11</v>
      </c>
    </row>
    <row customHeight="1" ht="11.549999999999999">
      <c r="A9" s="741"/>
      <c r="B9" s="786"/>
      <c r="C9" s="741"/>
      <c r="D9" s="756" t="s">
        <v>91</v>
      </c>
      <c r="E9" s="730" t="s">
        <v>362</v>
      </c>
      <c r="F9" s="730" t="s">
        <v>363</v>
      </c>
      <c r="G9" s="2493"/>
      <c r="J9" s="739">
        <v>11</v>
      </c>
    </row>
    <row customHeight="1" ht="12" hidden="1">
      <c r="A10" s="741"/>
      <c r="B10" s="786"/>
      <c r="C10" s="741"/>
      <c r="D10" s="748"/>
      <c r="E10" s="748"/>
      <c r="F10" s="748"/>
      <c r="G10" s="748"/>
      <c r="J10" s="739">
        <v>0</v>
      </c>
    </row>
    <row customHeight="1" ht="22.5" hidden="1">
      <c r="A11" s="741"/>
      <c r="B11" s="786"/>
      <c r="C11" s="741"/>
      <c r="D11" s="1293" t="s">
        <v>141</v>
      </c>
      <c r="E11" s="1296" t="s">
        <v>364</v>
      </c>
      <c r="F11" s="1295" t="str">
        <f>IF(region_name="","",region_name)</f>
        <v>Хабаровский край</v>
      </c>
      <c r="G11" s="1296" t="s">
        <v>365</v>
      </c>
      <c r="H11" s="759"/>
      <c r="J11" s="739">
        <v>0</v>
      </c>
    </row>
    <row customHeight="1" ht="22.5" hidden="1">
      <c r="A12" s="741"/>
      <c r="B12" s="786"/>
      <c r="C12" s="741"/>
      <c r="D12" s="729" t="s">
        <v>141</v>
      </c>
      <c r="E12" s="72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727" t="s">
        <v>366</v>
      </c>
      <c r="G12" s="758"/>
      <c r="H12" s="759"/>
      <c r="J12" s="739">
        <v>0</v>
      </c>
    </row>
    <row customHeight="1" ht="23.25">
      <c r="A13" s="741"/>
      <c r="B13" s="786"/>
      <c r="C13" s="741"/>
      <c r="D13" s="729" t="s">
        <v>141</v>
      </c>
      <c r="E13" s="726" t="str">
        <f>"Наименование юридического лица"&amp;IF(TEMPLATE_SPHERE="TKO"," (индивидуального предпринимателя)","")</f>
        <v>Наименование юридического лица</v>
      </c>
      <c r="F13" s="725"/>
      <c r="G13" s="72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759"/>
      <c r="J13" s="739">
        <v>22</v>
      </c>
    </row>
    <row customHeight="1" ht="22.5" hidden="1">
      <c r="A14" s="741"/>
      <c r="B14" s="786"/>
      <c r="C14" s="741"/>
      <c r="D14" s="1293" t="s">
        <v>367</v>
      </c>
      <c r="E14" s="1294" t="s">
        <v>368</v>
      </c>
      <c r="F14" s="1295" t="str">
        <f>IF(inn="","",inn)</f>
        <v>1434031363</v>
      </c>
      <c r="G14" s="1296" t="s">
        <v>369</v>
      </c>
      <c r="H14" s="759"/>
      <c r="J14" s="739">
        <v>0</v>
      </c>
    </row>
    <row customHeight="1" ht="22.5" hidden="1">
      <c r="A15" s="741"/>
      <c r="B15" s="786"/>
      <c r="C15" s="741"/>
      <c r="D15" s="1293" t="s">
        <v>370</v>
      </c>
      <c r="E15" s="1294" t="s">
        <v>371</v>
      </c>
      <c r="F15" s="1295" t="str">
        <f>IF(kpp="","",kpp)</f>
        <v>272101001</v>
      </c>
      <c r="G15" s="1296" t="s">
        <v>372</v>
      </c>
      <c r="H15" s="759"/>
      <c r="J15" s="739">
        <v>0</v>
      </c>
    </row>
    <row customHeight="1" ht="39">
      <c r="A16" s="741"/>
      <c r="B16" s="786"/>
      <c r="C16" s="741"/>
      <c r="D16" s="729" t="s">
        <v>105</v>
      </c>
      <c r="E16" s="72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725"/>
      <c r="G16" s="72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759"/>
      <c r="J16" s="739">
        <v>37</v>
      </c>
    </row>
    <row customHeight="1" ht="23.25">
      <c r="A17" s="741"/>
      <c r="B17" s="786"/>
      <c r="C17" s="741"/>
      <c r="D17" s="729" t="s">
        <v>93</v>
      </c>
      <c r="E17" s="726" t="str">
        <f>"Дата присвоения ОГРН"&amp;IF(TEMPLATE_SPHERE="TKO",""," (ОГРНИП)")</f>
        <v>Дата присвоения ОГРН (ОГРНИП)</v>
      </c>
      <c r="F17" s="2016" t="s">
        <v>28</v>
      </c>
      <c r="G17" s="728" t="str">
        <f>"Дата присвоения ОГРН"&amp;IF(TEMPLATE_SPHERE="TKO",""," (ОГРНИП)")&amp;" указывается в виде «ДД.ММ.ГГГГ»."</f>
        <v>Дата присвоения ОГРН (ОГРНИП) указывается в виде «ДД.ММ.ГГГГ».</v>
      </c>
      <c r="H17" s="759"/>
      <c r="J17" s="739">
        <v>22</v>
      </c>
    </row>
    <row customHeight="1" ht="71.25">
      <c r="A18" s="741"/>
      <c r="B18" s="786"/>
      <c r="C18" s="741"/>
      <c r="D18" s="729" t="s">
        <v>94</v>
      </c>
      <c r="E18" s="72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725"/>
      <c r="G18" s="758"/>
      <c r="H18" s="759"/>
      <c r="J18" s="739">
        <v>68</v>
      </c>
    </row>
    <row customHeight="1" ht="22.5" hidden="1">
      <c r="A19" s="2486" t="s">
        <v>373</v>
      </c>
      <c r="B19" s="786"/>
      <c r="C19" s="2497"/>
      <c r="D19" s="729" t="str">
        <f>A19</f>
        <v>5.1</v>
      </c>
      <c r="E19" s="726" t="s">
        <v>374</v>
      </c>
      <c r="F19" s="727" t="s">
        <v>366</v>
      </c>
      <c r="G19" s="728" t="s">
        <v>375</v>
      </c>
      <c r="H19" s="759"/>
      <c r="I19" s="1136"/>
      <c r="J19" s="739">
        <v>0</v>
      </c>
    </row>
    <row customHeight="1" ht="24" hidden="1">
      <c r="A20" s="2486"/>
      <c r="B20" s="786"/>
      <c r="C20" s="2497"/>
      <c r="D20" s="724" t="str">
        <f>D19&amp;".1"</f>
        <v>5.1.1</v>
      </c>
      <c r="E20" s="723" t="s">
        <v>376</v>
      </c>
      <c r="F20" s="1165" t="s">
        <v>28</v>
      </c>
      <c r="G20" s="758"/>
      <c r="H20" s="759"/>
      <c r="I20" s="1136"/>
      <c r="J20" s="739">
        <v>0</v>
      </c>
    </row>
    <row customHeight="1" ht="22.5" hidden="1">
      <c r="A21" s="2486"/>
      <c r="B21" s="786"/>
      <c r="C21" s="2497"/>
      <c r="D21" s="724" t="str">
        <f>D19&amp;".2"</f>
        <v>5.1.2</v>
      </c>
      <c r="E21" s="723" t="s">
        <v>377</v>
      </c>
      <c r="F21" s="2017" t="s">
        <v>28</v>
      </c>
      <c r="G21" s="728" t="s">
        <v>378</v>
      </c>
      <c r="H21" s="759"/>
      <c r="I21" s="1136"/>
      <c r="J21" s="739">
        <v>0</v>
      </c>
    </row>
    <row customHeight="1" ht="22.5" hidden="1">
      <c r="A22" s="2486"/>
      <c r="B22" s="786"/>
      <c r="C22" s="2497"/>
      <c r="D22" s="724" t="str">
        <f>D19&amp;".3"</f>
        <v>5.1.3</v>
      </c>
      <c r="E22" s="723" t="s">
        <v>379</v>
      </c>
      <c r="F22" s="1165" t="s">
        <v>28</v>
      </c>
      <c r="G22" s="758"/>
      <c r="H22" s="759"/>
      <c r="I22" s="1136"/>
      <c r="J22" s="739">
        <v>0</v>
      </c>
    </row>
    <row customHeight="1" ht="22.5" hidden="1">
      <c r="A23" s="2486"/>
      <c r="B23" s="786"/>
      <c r="C23" s="2497"/>
      <c r="D23" s="724" t="str">
        <f>D19&amp;".4"</f>
        <v>5.1.4</v>
      </c>
      <c r="E23" s="723" t="s">
        <v>380</v>
      </c>
      <c r="F23" s="1165" t="s">
        <v>28</v>
      </c>
      <c r="G23" s="728" t="s">
        <v>381</v>
      </c>
      <c r="H23" s="759"/>
      <c r="I23" s="1136"/>
      <c r="J23" s="739">
        <v>0</v>
      </c>
    </row>
    <row customHeight="1" ht="22.5" hidden="1">
      <c r="A24" s="2262"/>
      <c r="B24" s="786"/>
      <c r="C24" s="776"/>
      <c r="D24" s="751"/>
      <c r="E24" s="1452" t="s">
        <v>382</v>
      </c>
      <c r="F24" s="752"/>
      <c r="G24" s="753"/>
      <c r="H24" s="759"/>
      <c r="I24" s="1136"/>
      <c r="J24" s="739">
        <v>0</v>
      </c>
    </row>
    <row s="31173" customFormat="1" customHeight="1" ht="24.75" hidden="1">
      <c r="A25" s="741"/>
      <c r="B25" s="786"/>
      <c r="C25" s="786"/>
      <c r="D25" s="1290" t="s">
        <v>93</v>
      </c>
      <c r="E25" s="1292" t="s">
        <v>383</v>
      </c>
      <c r="F25" s="1297" t="s">
        <v>366</v>
      </c>
      <c r="G25" s="1292"/>
      <c r="J25" s="785">
        <v>0</v>
      </c>
    </row>
    <row s="31173" customFormat="1" customHeight="1" ht="11.25" hidden="1">
      <c r="A26" s="741"/>
      <c r="B26" s="786"/>
      <c r="C26" s="786"/>
      <c r="D26" s="1290" t="s">
        <v>384</v>
      </c>
      <c r="E26" s="1291" t="s">
        <v>385</v>
      </c>
      <c r="F26" s="1297" t="s">
        <v>366</v>
      </c>
      <c r="G26" s="1292"/>
      <c r="J26" s="785">
        <v>0</v>
      </c>
    </row>
    <row s="31173" customFormat="1" customHeight="1" ht="11.25" hidden="1">
      <c r="A27" s="741"/>
      <c r="B27" s="786"/>
      <c r="C27" s="786"/>
      <c r="D27" s="1290" t="s">
        <v>386</v>
      </c>
      <c r="E27" s="1298" t="s">
        <v>387</v>
      </c>
      <c r="F27" s="1299"/>
      <c r="G27" s="129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785">
        <v>0</v>
      </c>
    </row>
    <row s="31173" customFormat="1" customHeight="1" ht="11.25" hidden="1">
      <c r="A28" s="741"/>
      <c r="B28" s="786"/>
      <c r="C28" s="786"/>
      <c r="D28" s="1290" t="s">
        <v>388</v>
      </c>
      <c r="E28" s="1298" t="s">
        <v>389</v>
      </c>
      <c r="F28" s="1299"/>
      <c r="G28" s="129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785">
        <v>0</v>
      </c>
    </row>
    <row s="31173" customFormat="1" customHeight="1" ht="11.25" hidden="1">
      <c r="A29" s="741"/>
      <c r="B29" s="786"/>
      <c r="C29" s="786"/>
      <c r="D29" s="1290" t="s">
        <v>390</v>
      </c>
      <c r="E29" s="1298" t="s">
        <v>391</v>
      </c>
      <c r="F29" s="1299"/>
      <c r="G29" s="129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785">
        <v>0</v>
      </c>
    </row>
    <row s="31173" customFormat="1" customHeight="1" ht="11.25" hidden="1">
      <c r="A30" s="741"/>
      <c r="B30" s="786"/>
      <c r="C30" s="786"/>
      <c r="D30" s="1290" t="s">
        <v>392</v>
      </c>
      <c r="E30" s="1291" t="s">
        <v>393</v>
      </c>
      <c r="F30" s="1299"/>
      <c r="G30" s="1292"/>
      <c r="J30" s="785">
        <v>0</v>
      </c>
    </row>
    <row s="31173" customFormat="1" customHeight="1" ht="11.25" hidden="1">
      <c r="A31" s="741"/>
      <c r="B31" s="786"/>
      <c r="C31" s="786"/>
      <c r="D31" s="1290" t="s">
        <v>394</v>
      </c>
      <c r="E31" s="1291" t="s">
        <v>395</v>
      </c>
      <c r="F31" s="1299"/>
      <c r="G31" s="1292"/>
      <c r="J31" s="785">
        <v>0</v>
      </c>
    </row>
    <row s="31173" customFormat="1" customHeight="1" ht="11.25" hidden="1">
      <c r="A32" s="741"/>
      <c r="B32" s="786"/>
      <c r="C32" s="786"/>
      <c r="D32" s="1290" t="s">
        <v>396</v>
      </c>
      <c r="E32" s="1291" t="s">
        <v>397</v>
      </c>
      <c r="F32" s="1300"/>
      <c r="G32" s="1292"/>
      <c r="J32" s="785">
        <v>0</v>
      </c>
    </row>
    <row customHeight="1" ht="24">
      <c r="A33" s="741" t="str">
        <f>IF(TEMPLATE_SPHERE="HEAT","6","5")</f>
        <v>6</v>
      </c>
      <c r="B33" s="786"/>
      <c r="C33" s="741"/>
      <c r="D33" s="724" t="str">
        <f>A33</f>
        <v>6</v>
      </c>
      <c r="E33" s="72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727" t="s">
        <v>366</v>
      </c>
      <c r="G33" s="758"/>
      <c r="H33" s="759"/>
      <c r="J33" s="739">
        <v>23</v>
      </c>
    </row>
    <row customHeight="1" ht="23.25">
      <c r="A34" s="741"/>
      <c r="B34" s="786"/>
      <c r="C34" s="741"/>
      <c r="D34" s="724" t="str">
        <f>D33&amp;".1"</f>
        <v>6.1</v>
      </c>
      <c r="E34" s="726" t="str">
        <f>"фамилия"&amp;IF(TEMPLATE_SPHERE&lt;&gt;"HEAT"," руководителя","")</f>
        <v>фамилия</v>
      </c>
      <c r="F34" s="725"/>
      <c r="G34" s="72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759"/>
      <c r="J34" s="739">
        <v>22</v>
      </c>
    </row>
    <row customHeight="1" ht="23.25">
      <c r="A35" s="741"/>
      <c r="B35" s="786"/>
      <c r="C35" s="741"/>
      <c r="D35" s="724" t="str">
        <f>D33&amp;".2"</f>
        <v>6.2</v>
      </c>
      <c r="E35" s="726" t="str">
        <f>"имя"&amp;IF(TEMPLATE_SPHERE&lt;&gt;"HEAT"," руководителя","")</f>
        <v>имя</v>
      </c>
      <c r="F35" s="725"/>
      <c r="G35" s="72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759"/>
      <c r="J35" s="739">
        <v>22</v>
      </c>
    </row>
    <row customHeight="1" ht="24">
      <c r="A36" s="741"/>
      <c r="B36" s="786"/>
      <c r="C36" s="741"/>
      <c r="D36" s="724" t="str">
        <f>D33&amp;".3"</f>
        <v>6.3</v>
      </c>
      <c r="E36" s="726" t="str">
        <f>"отчество"&amp;IF(TEMPLATE_SPHERE&lt;&gt;"HEAT"," руководителя","")</f>
        <v>отчество</v>
      </c>
      <c r="F36" s="982"/>
      <c r="G36" s="72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759"/>
      <c r="J36" s="739">
        <v>23</v>
      </c>
    </row>
    <row customHeight="1" ht="35.699999999999996">
      <c r="A37" s="741"/>
      <c r="B37" s="786"/>
      <c r="C37" s="741"/>
      <c r="D37" s="724">
        <f>D33+1</f>
        <v>7</v>
      </c>
      <c r="E37" s="72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725"/>
      <c r="G37" s="728" t="s">
        <v>398</v>
      </c>
      <c r="H37" s="759"/>
      <c r="J37" s="739">
        <v>34</v>
      </c>
    </row>
    <row customHeight="1" ht="35.699999999999996">
      <c r="A38" s="741"/>
      <c r="B38" s="786"/>
      <c r="C38" s="741"/>
      <c r="D38" s="724">
        <f>D37+1</f>
        <v>8</v>
      </c>
      <c r="E38" s="72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725"/>
      <c r="G38" s="728" t="s">
        <v>398</v>
      </c>
      <c r="H38" s="759"/>
      <c r="J38" s="739">
        <v>34</v>
      </c>
    </row>
    <row customHeight="1" ht="23.25">
      <c r="A39" s="741"/>
      <c r="B39" s="786"/>
      <c r="C39" s="741"/>
      <c r="D39" s="724">
        <f>D38+1</f>
        <v>9</v>
      </c>
      <c r="E39" s="72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727" t="s">
        <v>366</v>
      </c>
      <c r="G39" s="249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759"/>
      <c r="J39" s="739">
        <v>22</v>
      </c>
    </row>
    <row customHeight="1" ht="22.5" hidden="1">
      <c r="A40" s="741"/>
      <c r="B40" s="786"/>
      <c r="C40" s="741"/>
      <c r="D40" s="724" t="str">
        <f>D39&amp;".0"</f>
        <v>9.0</v>
      </c>
      <c r="E40" s="1889"/>
      <c r="F40" s="1165"/>
      <c r="G40" s="2495"/>
      <c r="H40" s="759"/>
      <c r="J40" s="739">
        <v>0</v>
      </c>
    </row>
    <row customHeight="1" ht="23.25">
      <c r="A41" s="741"/>
      <c r="B41" s="741"/>
      <c r="C41" s="1972"/>
      <c r="D41" s="724" t="str">
        <f>D39&amp;".1"</f>
        <v>9.1</v>
      </c>
      <c r="E41" s="1144"/>
      <c r="F41" s="1145"/>
      <c r="G41" s="2495"/>
      <c r="H41" s="759"/>
      <c r="J41" s="739">
        <v>22</v>
      </c>
    </row>
    <row customHeight="1" ht="15.75">
      <c r="A42" s="741"/>
      <c r="B42" s="786"/>
      <c r="C42" s="741"/>
      <c r="D42" s="751"/>
      <c r="E42" s="699" t="s">
        <v>399</v>
      </c>
      <c r="F42" s="753"/>
      <c r="G42" s="2496"/>
      <c r="H42" s="760"/>
      <c r="J42" s="739">
        <v>15</v>
      </c>
    </row>
    <row customHeight="1" ht="27.299999999999997">
      <c r="A43" s="741"/>
      <c r="B43" s="786"/>
      <c r="C43" s="741"/>
      <c r="D43" s="724">
        <f>D39+1</f>
        <v>10</v>
      </c>
      <c r="E43" s="72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146"/>
      <c r="G43" s="72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759"/>
      <c r="J43" s="739">
        <v>26</v>
      </c>
    </row>
    <row customHeight="1" ht="23.25">
      <c r="A44" s="741"/>
      <c r="B44" s="786"/>
      <c r="C44" s="741"/>
      <c r="D44" s="724">
        <f>D43+1</f>
        <v>11</v>
      </c>
      <c r="E44" s="72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662"/>
      <c r="G44" s="758" t="s">
        <v>400</v>
      </c>
      <c r="H44" s="759"/>
      <c r="J44" s="739">
        <v>22</v>
      </c>
    </row>
    <row customHeight="1" ht="23.25">
      <c r="A45" s="741"/>
      <c r="B45" s="786"/>
      <c r="C45" s="741"/>
      <c r="D45" s="724">
        <f>D44+1</f>
        <v>12</v>
      </c>
      <c r="E45" s="722" t="s">
        <v>401</v>
      </c>
      <c r="F45" s="727" t="s">
        <v>366</v>
      </c>
      <c r="G45" s="721" t="str">
        <f>IF(TEMPLATE_SPHERE="TKO","Указывается режим работы организации.","")</f>
        <v/>
      </c>
      <c r="H45" s="759"/>
      <c r="J45" s="739">
        <v>22</v>
      </c>
    </row>
    <row customHeight="1" ht="24">
      <c r="A46" s="741"/>
      <c r="B46" s="786"/>
      <c r="C46" s="741"/>
      <c r="D46" s="724" t="str">
        <f>D45&amp;".1"</f>
        <v>12.1</v>
      </c>
      <c r="E46" s="726" t="str">
        <f>"режим работы регулируемой организации"&amp;IF(TEMPLATE_SPHERE="HEAT",", ЕТО, ТО","")</f>
        <v>режим работы регулируемой организации, ЕТО, ТО</v>
      </c>
      <c r="F46" s="1968"/>
      <c r="G46" s="721" t="s">
        <v>402</v>
      </c>
      <c r="H46" s="759"/>
      <c r="J46" s="739">
        <v>23</v>
      </c>
    </row>
    <row customHeight="1" ht="24">
      <c r="A47" s="2486"/>
      <c r="B47" s="786"/>
      <c r="C47" s="776"/>
      <c r="D47" s="724" t="str">
        <f>D45&amp;".2"</f>
        <v>12.2</v>
      </c>
      <c r="E47" s="726" t="s">
        <v>403</v>
      </c>
      <c r="F47" s="774"/>
      <c r="G47" s="721" t="s">
        <v>404</v>
      </c>
      <c r="H47" s="759"/>
      <c r="J47" s="739">
        <v>23</v>
      </c>
    </row>
    <row customHeight="1" ht="24">
      <c r="A48" s="2486"/>
      <c r="B48" s="786"/>
      <c r="C48" s="776"/>
      <c r="D48" s="724" t="str">
        <f>D45&amp;".3"</f>
        <v>12.3</v>
      </c>
      <c r="E48" s="726" t="s">
        <v>405</v>
      </c>
      <c r="F48" s="774"/>
      <c r="G48" s="721" t="s">
        <v>406</v>
      </c>
      <c r="H48" s="759"/>
      <c r="J48" s="739">
        <v>23</v>
      </c>
    </row>
    <row customHeight="1" ht="24">
      <c r="A49" s="2486"/>
      <c r="B49" s="786"/>
      <c r="C49" s="776"/>
      <c r="D49" s="724" t="str">
        <f>IF(TEMPLATE_SPHERE="TKO",D45&amp;".0",D45&amp;".4")</f>
        <v>12.4</v>
      </c>
      <c r="E49" s="720" t="s">
        <v>407</v>
      </c>
      <c r="F49" s="1969"/>
      <c r="G49" s="2046" t="s">
        <v>408</v>
      </c>
      <c r="H49" s="759"/>
      <c r="J49" s="739">
        <v>23</v>
      </c>
    </row>
    <row customHeight="1" ht="24">
      <c r="A50" s="741"/>
      <c r="B50" s="786"/>
      <c r="C50" s="741"/>
      <c r="D50" s="751"/>
      <c r="E50" s="699" t="s">
        <v>409</v>
      </c>
      <c r="F50" s="752"/>
      <c r="G50" s="2046" t="s">
        <v>410</v>
      </c>
      <c r="H50" s="760"/>
      <c r="J50" s="739">
        <v>23</v>
      </c>
    </row>
    <row customHeight="1" ht="24">
      <c r="A51" s="1142"/>
      <c r="B51" s="786"/>
      <c r="C51" s="776"/>
      <c r="D51" s="724">
        <f>D45+1</f>
        <v>13</v>
      </c>
      <c r="E51" s="812" t="s">
        <v>411</v>
      </c>
      <c r="F51" s="774"/>
      <c r="G51" s="197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759"/>
      <c r="J51" s="739">
        <v>23</v>
      </c>
    </row>
    <row customHeight="1" ht="11.549999999999999">
      <c r="A52" s="741"/>
      <c r="B52" s="786"/>
      <c r="C52" s="741"/>
      <c r="J52" s="739">
        <v>11</v>
      </c>
    </row>
    <row s="31202" customFormat="1" customHeight="1" ht="31.5">
      <c r="A53" s="1971"/>
      <c r="B53" s="787"/>
      <c r="C53" s="2487"/>
      <c r="D53" s="249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90"/>
      <c r="F53" s="2490"/>
      <c r="G53" s="2490"/>
      <c r="H53" s="738"/>
      <c r="I53" s="738"/>
      <c r="J53" s="744">
        <v>30</v>
      </c>
    </row>
    <row s="31202" customFormat="1" customHeight="1" ht="42">
      <c r="A54" s="741"/>
      <c r="B54" s="786"/>
      <c r="C54" s="2487"/>
      <c r="D54" s="249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90"/>
      <c r="F54" s="2490"/>
      <c r="G54" s="2490"/>
      <c r="J54" s="744">
        <v>40</v>
      </c>
    </row>
    <row customHeight="1" ht="11.549999999999999">
      <c r="D55" s="742"/>
      <c r="E55" s="743"/>
      <c r="F55" s="743"/>
      <c r="G55" s="743"/>
      <c r="J55" s="739">
        <v>11</v>
      </c>
    </row>
    <row customHeight="1" ht="28.5">
      <c r="D56" s="745"/>
      <c r="E56" s="742"/>
      <c r="F56" s="754"/>
      <c r="G56" s="754"/>
      <c r="J56" s="739">
        <v>27</v>
      </c>
    </row>
    <row customHeight="1" ht="11.549999999999999">
      <c r="D57" s="742"/>
      <c r="E57" s="742"/>
      <c r="F57" s="743"/>
      <c r="G57" s="743"/>
      <c r="J57" s="739">
        <v>11</v>
      </c>
    </row>
    <row customHeight="1" ht="40.949999999999996">
      <c r="D58" s="746"/>
      <c r="E58" s="755"/>
      <c r="F58" s="755"/>
      <c r="G58" s="755"/>
      <c r="J58" s="739">
        <v>39</v>
      </c>
    </row>
    <row customHeight="1" ht="28.5">
      <c r="D59" s="746"/>
      <c r="E59" s="755"/>
      <c r="F59" s="755"/>
      <c r="G59" s="755"/>
      <c r="J59" s="739">
        <v>27</v>
      </c>
    </row>
    <row customHeight="1" ht="11.25" hidden="1">
      <c r="A60" s="1970" t="s">
        <v>85</v>
      </c>
      <c r="B60" s="785">
        <v>0</v>
      </c>
      <c r="C60" s="739">
        <v>3</v>
      </c>
      <c r="D60" s="740">
        <v>6</v>
      </c>
      <c r="E60" s="739">
        <v>52</v>
      </c>
      <c r="F60" s="739">
        <v>48</v>
      </c>
      <c r="G60" s="739">
        <v>121</v>
      </c>
      <c r="H60" s="739">
        <v>8</v>
      </c>
      <c r="I60" s="739">
        <v>64</v>
      </c>
      <c r="J60" s="739">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F13AB7-E6F8-B60A-C523-BEECF7995276}"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4FACEE-6188-168E-621F-3ADCBAAC609C}"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347AC3-3B78-8D65-CD8B-D309CB44E1CB}"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350"/>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68FCB8-416E-7137-D4AC-5B8DBCA68A99}" mc:Ignorable="x14ac xr xr2 xr3">
  <dimension ref="A1:E8"/>
  <sheetViews>
    <sheetView topLeftCell="A1" showGridLines="0" workbookViewId="0">
      <selection activeCell="A1" sqref="A1"/>
    </sheetView>
  </sheetViews>
  <sheetFormatPr customHeight="1" defaultRowHeight="11.25"/>
  <cols>
    <col min="1" max="1" style="38832" width="10.57421875" customWidth="1"/>
    <col min="2" max="2" style="38832" width="8.7109375" customWidth="1"/>
    <col min="3" max="3" style="38832" width="18.140625" customWidth="1"/>
    <col min="4" max="4" style="38832" width="12.57421875" customWidth="1"/>
  </cols>
  <sheetData>
    <row customHeight="1" ht="11.25">
      <c r="A1" s="2899" t="s">
        <v>2315</v>
      </c>
      <c r="B1" s="2900" t="s">
        <v>2316</v>
      </c>
      <c r="C1" s="2901" t="s">
        <v>2317</v>
      </c>
      <c r="D1" s="2902"/>
      <c r="E1" s="1120" t="s">
        <v>2318</v>
      </c>
    </row>
    <row customHeight="1" ht="11.25">
      <c r="A2" s="2903"/>
      <c r="B2" s="1049" t="s">
        <v>26</v>
      </c>
      <c r="C2" s="1037"/>
      <c r="D2" s="1048"/>
      <c r="E2" s="1120"/>
    </row>
    <row customHeight="1" ht="11.25">
      <c r="A3" s="2904"/>
      <c r="B3" s="2905" t="s">
        <v>33</v>
      </c>
      <c r="C3" s="1037"/>
      <c r="D3" s="1048"/>
      <c r="E3" s="1120"/>
    </row>
    <row customHeight="1" ht="11.25">
      <c r="A4" s="2906"/>
      <c r="B4" s="1050" t="s">
        <v>1741</v>
      </c>
      <c r="C4" s="1037"/>
      <c r="D4" s="1048"/>
      <c r="E4" s="1120"/>
    </row>
    <row customHeight="1" ht="11.25">
      <c r="A5" s="2907"/>
      <c r="B5" s="1050" t="s">
        <v>1735</v>
      </c>
      <c r="C5" s="2908" t="s">
        <v>2082</v>
      </c>
      <c r="D5" s="2909" t="s">
        <v>2319</v>
      </c>
      <c r="E5" s="1120"/>
    </row>
    <row s="30681" customFormat="1" customHeight="1" ht="11.25">
      <c r="A6" s="2910"/>
      <c r="B6" s="1050" t="s">
        <v>1745</v>
      </c>
      <c r="C6" s="1037"/>
      <c r="D6" s="1048"/>
      <c r="E6" s="1120"/>
    </row>
    <row customHeight="1" ht="11.25">
      <c r="A7" s="2911"/>
      <c r="B7" s="1050" t="s">
        <v>1753</v>
      </c>
      <c r="C7" s="1037"/>
      <c r="D7" s="1048"/>
      <c r="E7" s="1120"/>
    </row>
    <row customHeight="1" ht="11.25">
      <c r="A8" s="1040"/>
      <c r="B8" s="1050" t="s">
        <v>1748</v>
      </c>
      <c r="C8" s="1037"/>
      <c r="D8" s="1048"/>
      <c r="E8" s="1120"/>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CE7F61-6A77-4262-10D7-A56113377C9B}"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DA426E-A513-8103-72DF-ED74FD31E858}"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6C50BD-EFBF-1141-9B48-DA7C4D6B79B7}" mc:Ignorable="x14ac xr xr2 xr3">
  <sheetPr>
    <tabColor rgb="FFFFCC99"/>
  </sheetPr>
  <dimension ref="A1:I524"/>
  <sheetViews>
    <sheetView topLeftCell="A1" showGridLines="0" workbookViewId="0">
      <selection activeCell="A1" sqref="A1"/>
    </sheetView>
  </sheetViews>
  <sheetFormatPr defaultColWidth="9.140625" customHeight="1" defaultRowHeight="11.25"/>
  <cols>
    <col min="1" max="2" style="30681" width="9.140625"/>
    <col min="3" max="3" style="30681" width="20.7109375" customWidth="1"/>
    <col min="4" max="4" style="30681" width="25.140625" customWidth="1"/>
    <col min="5" max="9" style="30681" width="9.140625"/>
  </cols>
  <sheetData>
    <row customHeight="1" ht="11.25">
      <c r="A1" s="352" t="s">
        <v>2320</v>
      </c>
      <c r="B1" s="352" t="s">
        <v>2321</v>
      </c>
      <c r="C1" s="352" t="s">
        <v>2322</v>
      </c>
      <c r="D1" s="352" t="s">
        <v>2323</v>
      </c>
      <c r="E1" s="352" t="s">
        <v>2324</v>
      </c>
      <c r="F1" s="352" t="s">
        <v>2325</v>
      </c>
      <c r="G1" s="352" t="s">
        <v>2326</v>
      </c>
      <c r="H1" s="352" t="s">
        <v>2327</v>
      </c>
      <c r="I1" s="352" t="s">
        <v>2328</v>
      </c>
    </row>
    <row customHeight="1" ht="11.25">
      <c r="A2" s="7888" t="s">
        <v>2329</v>
      </c>
      <c r="B2" s="7888" t="s">
        <v>16</v>
      </c>
      <c r="C2" s="7888" t="s">
        <v>2330</v>
      </c>
      <c r="D2" s="7888" t="s">
        <v>2331</v>
      </c>
      <c r="E2" s="7888" t="s">
        <v>2332</v>
      </c>
      <c r="F2" s="7888" t="s">
        <v>2333</v>
      </c>
      <c r="G2" s="7888" t="s">
        <v>2334</v>
      </c>
      <c r="H2" s="7888" t="s">
        <v>28</v>
      </c>
      <c r="I2" s="7888" t="s">
        <v>879</v>
      </c>
    </row>
    <row customHeight="1" ht="11.25">
      <c r="A3" s="7888" t="s">
        <v>2329</v>
      </c>
      <c r="B3" s="7888" t="s">
        <v>16</v>
      </c>
      <c r="C3" s="7888" t="s">
        <v>2335</v>
      </c>
      <c r="D3" s="7888" t="s">
        <v>2336</v>
      </c>
      <c r="E3" s="7888" t="s">
        <v>2337</v>
      </c>
      <c r="F3" s="7888" t="s">
        <v>2338</v>
      </c>
      <c r="G3" s="7888" t="s">
        <v>28</v>
      </c>
      <c r="H3" s="7888" t="s">
        <v>28</v>
      </c>
      <c r="I3" s="7888" t="s">
        <v>879</v>
      </c>
    </row>
    <row customHeight="1" ht="11.25">
      <c r="A4" s="7888" t="s">
        <v>2329</v>
      </c>
      <c r="B4" s="7888" t="s">
        <v>16</v>
      </c>
      <c r="C4" s="7888" t="s">
        <v>13</v>
      </c>
      <c r="D4" s="7888" t="s">
        <v>49</v>
      </c>
      <c r="E4" s="7888" t="s">
        <v>52</v>
      </c>
      <c r="F4" s="7888" t="s">
        <v>54</v>
      </c>
      <c r="G4" s="7888" t="s">
        <v>2339</v>
      </c>
      <c r="H4" s="7888" t="s">
        <v>28</v>
      </c>
      <c r="I4" s="7888" t="s">
        <v>879</v>
      </c>
    </row>
    <row customHeight="1" ht="11.25">
      <c r="A5" s="7888" t="s">
        <v>2329</v>
      </c>
      <c r="B5" s="7888" t="s">
        <v>16</v>
      </c>
      <c r="C5" s="7888" t="s">
        <v>2340</v>
      </c>
      <c r="D5" s="7888" t="s">
        <v>49</v>
      </c>
      <c r="E5" s="7888" t="s">
        <v>52</v>
      </c>
      <c r="F5" s="7888" t="s">
        <v>2341</v>
      </c>
      <c r="G5" s="7888" t="s">
        <v>2339</v>
      </c>
      <c r="H5" s="7888" t="s">
        <v>28</v>
      </c>
      <c r="I5" s="7888" t="s">
        <v>879</v>
      </c>
    </row>
    <row customHeight="1" ht="11.25">
      <c r="A6" s="7888" t="s">
        <v>2329</v>
      </c>
      <c r="B6" s="7888" t="s">
        <v>16</v>
      </c>
      <c r="C6" s="7888" t="s">
        <v>2342</v>
      </c>
      <c r="D6" s="7888" t="s">
        <v>2343</v>
      </c>
      <c r="E6" s="7888" t="s">
        <v>52</v>
      </c>
      <c r="F6" s="7888" t="s">
        <v>2344</v>
      </c>
      <c r="G6" s="7888" t="s">
        <v>28</v>
      </c>
      <c r="H6" s="7888" t="s">
        <v>28</v>
      </c>
      <c r="I6" s="7888" t="s">
        <v>879</v>
      </c>
    </row>
    <row customHeight="1" ht="11.25">
      <c r="A7" s="7888" t="s">
        <v>2329</v>
      </c>
      <c r="B7" s="7888" t="s">
        <v>16</v>
      </c>
      <c r="C7" s="7888" t="s">
        <v>2345</v>
      </c>
      <c r="D7" s="7888" t="s">
        <v>2346</v>
      </c>
      <c r="E7" s="7888" t="s">
        <v>52</v>
      </c>
      <c r="F7" s="7888" t="s">
        <v>2347</v>
      </c>
      <c r="G7" s="7888" t="s">
        <v>28</v>
      </c>
      <c r="H7" s="7888" t="s">
        <v>28</v>
      </c>
      <c r="I7" s="7888" t="s">
        <v>879</v>
      </c>
    </row>
    <row customHeight="1" ht="11.25">
      <c r="A8" s="7888" t="s">
        <v>2329</v>
      </c>
      <c r="B8" s="7888" t="s">
        <v>16</v>
      </c>
      <c r="C8" s="7888" t="s">
        <v>2348</v>
      </c>
      <c r="D8" s="7888" t="s">
        <v>2349</v>
      </c>
      <c r="E8" s="7888" t="s">
        <v>52</v>
      </c>
      <c r="F8" s="7888" t="s">
        <v>2350</v>
      </c>
      <c r="G8" s="7888" t="s">
        <v>28</v>
      </c>
      <c r="H8" s="7888" t="s">
        <v>28</v>
      </c>
      <c r="I8" s="7888" t="s">
        <v>879</v>
      </c>
    </row>
    <row customHeight="1" ht="11.25">
      <c r="A9" s="7888" t="s">
        <v>2329</v>
      </c>
      <c r="B9" s="7888" t="s">
        <v>16</v>
      </c>
      <c r="C9" s="7888" t="s">
        <v>2351</v>
      </c>
      <c r="D9" s="7888" t="s">
        <v>2352</v>
      </c>
      <c r="E9" s="7888" t="s">
        <v>52</v>
      </c>
      <c r="F9" s="7888" t="s">
        <v>2353</v>
      </c>
      <c r="G9" s="7888" t="s">
        <v>28</v>
      </c>
      <c r="H9" s="7888" t="s">
        <v>28</v>
      </c>
      <c r="I9" s="7888" t="s">
        <v>879</v>
      </c>
    </row>
    <row customHeight="1" ht="11.25">
      <c r="A10" s="7888" t="s">
        <v>2329</v>
      </c>
      <c r="B10" s="7888" t="s">
        <v>16</v>
      </c>
      <c r="C10" s="7888" t="s">
        <v>2354</v>
      </c>
      <c r="D10" s="7888" t="s">
        <v>2355</v>
      </c>
      <c r="E10" s="7888" t="s">
        <v>52</v>
      </c>
      <c r="F10" s="7888" t="s">
        <v>2356</v>
      </c>
      <c r="G10" s="7888" t="s">
        <v>28</v>
      </c>
      <c r="H10" s="7888" t="s">
        <v>28</v>
      </c>
      <c r="I10" s="7888" t="s">
        <v>879</v>
      </c>
    </row>
    <row customHeight="1" ht="11.25">
      <c r="A11" s="7888" t="s">
        <v>2329</v>
      </c>
      <c r="B11" s="7888" t="s">
        <v>16</v>
      </c>
      <c r="C11" s="7888" t="s">
        <v>2357</v>
      </c>
      <c r="D11" s="7888" t="s">
        <v>2358</v>
      </c>
      <c r="E11" s="7888" t="s">
        <v>52</v>
      </c>
      <c r="F11" s="7888" t="s">
        <v>2359</v>
      </c>
      <c r="G11" s="7888" t="s">
        <v>28</v>
      </c>
      <c r="H11" s="7888" t="s">
        <v>28</v>
      </c>
      <c r="I11" s="7888" t="s">
        <v>879</v>
      </c>
    </row>
    <row customHeight="1" ht="11.25">
      <c r="A12" s="7888" t="s">
        <v>2329</v>
      </c>
      <c r="B12" s="7888" t="s">
        <v>16</v>
      </c>
      <c r="C12" s="7888" t="s">
        <v>2360</v>
      </c>
      <c r="D12" s="7888" t="s">
        <v>2361</v>
      </c>
      <c r="E12" s="7888" t="s">
        <v>52</v>
      </c>
      <c r="F12" s="7888" t="s">
        <v>2362</v>
      </c>
      <c r="G12" s="7888" t="s">
        <v>28</v>
      </c>
      <c r="H12" s="7888" t="s">
        <v>28</v>
      </c>
      <c r="I12" s="7888" t="s">
        <v>879</v>
      </c>
    </row>
    <row customHeight="1" ht="11.25">
      <c r="A13" s="7888" t="s">
        <v>2329</v>
      </c>
      <c r="B13" s="7888" t="s">
        <v>16</v>
      </c>
      <c r="C13" s="7888" t="s">
        <v>2363</v>
      </c>
      <c r="D13" s="7888" t="s">
        <v>2364</v>
      </c>
      <c r="E13" s="7888" t="s">
        <v>52</v>
      </c>
      <c r="F13" s="7888" t="s">
        <v>2365</v>
      </c>
      <c r="G13" s="7888" t="s">
        <v>28</v>
      </c>
      <c r="H13" s="7888" t="s">
        <v>28</v>
      </c>
      <c r="I13" s="7888" t="s">
        <v>879</v>
      </c>
    </row>
    <row customHeight="1" ht="11.25">
      <c r="A14" s="7888" t="s">
        <v>2329</v>
      </c>
      <c r="B14" s="7888" t="s">
        <v>16</v>
      </c>
      <c r="C14" s="7888" t="s">
        <v>2366</v>
      </c>
      <c r="D14" s="7888" t="s">
        <v>2367</v>
      </c>
      <c r="E14" s="7888" t="s">
        <v>52</v>
      </c>
      <c r="F14" s="7888" t="s">
        <v>2368</v>
      </c>
      <c r="G14" s="7888" t="s">
        <v>28</v>
      </c>
      <c r="H14" s="7888" t="s">
        <v>28</v>
      </c>
      <c r="I14" s="7888" t="s">
        <v>879</v>
      </c>
    </row>
    <row customHeight="1" ht="11.25">
      <c r="A15" s="7888" t="s">
        <v>2329</v>
      </c>
      <c r="B15" s="7888" t="s">
        <v>16</v>
      </c>
      <c r="C15" s="7888" t="s">
        <v>2369</v>
      </c>
      <c r="D15" s="7888" t="s">
        <v>2370</v>
      </c>
      <c r="E15" s="7888" t="s">
        <v>52</v>
      </c>
      <c r="F15" s="7888" t="s">
        <v>2371</v>
      </c>
      <c r="G15" s="7888" t="s">
        <v>28</v>
      </c>
      <c r="H15" s="7888" t="s">
        <v>28</v>
      </c>
      <c r="I15" s="7888" t="s">
        <v>879</v>
      </c>
    </row>
    <row customHeight="1" ht="11.25">
      <c r="A16" s="7888" t="s">
        <v>2329</v>
      </c>
      <c r="B16" s="7888" t="s">
        <v>16</v>
      </c>
      <c r="C16" s="7888" t="s">
        <v>2372</v>
      </c>
      <c r="D16" s="7888" t="s">
        <v>2373</v>
      </c>
      <c r="E16" s="7888" t="s">
        <v>52</v>
      </c>
      <c r="F16" s="7888" t="s">
        <v>2374</v>
      </c>
      <c r="G16" s="7888" t="s">
        <v>28</v>
      </c>
      <c r="H16" s="7888" t="s">
        <v>28</v>
      </c>
      <c r="I16" s="7888" t="s">
        <v>879</v>
      </c>
    </row>
    <row customHeight="1" ht="11.25">
      <c r="A17" s="7888" t="s">
        <v>2329</v>
      </c>
      <c r="B17" s="7888" t="s">
        <v>16</v>
      </c>
      <c r="C17" s="7888" t="s">
        <v>2375</v>
      </c>
      <c r="D17" s="7888" t="s">
        <v>2376</v>
      </c>
      <c r="E17" s="7888" t="s">
        <v>2377</v>
      </c>
      <c r="F17" s="7888" t="s">
        <v>2338</v>
      </c>
      <c r="G17" s="7888" t="s">
        <v>28</v>
      </c>
      <c r="H17" s="7888" t="s">
        <v>28</v>
      </c>
      <c r="I17" s="7888" t="s">
        <v>879</v>
      </c>
    </row>
    <row customHeight="1" ht="11.25">
      <c r="A18" s="7888" t="s">
        <v>2329</v>
      </c>
      <c r="B18" s="7888" t="s">
        <v>16</v>
      </c>
      <c r="C18" s="7888" t="s">
        <v>2378</v>
      </c>
      <c r="D18" s="7888" t="s">
        <v>2379</v>
      </c>
      <c r="E18" s="7888" t="s">
        <v>2380</v>
      </c>
      <c r="F18" s="7888" t="s">
        <v>2381</v>
      </c>
      <c r="G18" s="7888" t="s">
        <v>2382</v>
      </c>
      <c r="H18" s="7888" t="s">
        <v>28</v>
      </c>
      <c r="I18" s="7888" t="s">
        <v>879</v>
      </c>
    </row>
    <row customHeight="1" ht="11.25">
      <c r="A19" s="7888" t="s">
        <v>2329</v>
      </c>
      <c r="B19" s="7888" t="s">
        <v>16</v>
      </c>
      <c r="C19" s="7888" t="s">
        <v>2383</v>
      </c>
      <c r="D19" s="7888" t="s">
        <v>2384</v>
      </c>
      <c r="E19" s="7888" t="s">
        <v>2385</v>
      </c>
      <c r="F19" s="7888" t="s">
        <v>2381</v>
      </c>
      <c r="G19" s="7888" t="s">
        <v>2386</v>
      </c>
      <c r="H19" s="7888" t="s">
        <v>28</v>
      </c>
      <c r="I19" s="7888" t="s">
        <v>879</v>
      </c>
    </row>
    <row customHeight="1" ht="11.25">
      <c r="A20" s="7888" t="s">
        <v>2329</v>
      </c>
      <c r="B20" s="7888" t="s">
        <v>16</v>
      </c>
      <c r="C20" s="7888" t="s">
        <v>2387</v>
      </c>
      <c r="D20" s="7888" t="s">
        <v>2388</v>
      </c>
      <c r="E20" s="7888" t="s">
        <v>2389</v>
      </c>
      <c r="F20" s="7888" t="s">
        <v>2390</v>
      </c>
      <c r="G20" s="7888" t="s">
        <v>28</v>
      </c>
      <c r="H20" s="7888" t="s">
        <v>28</v>
      </c>
      <c r="I20" s="7888" t="s">
        <v>879</v>
      </c>
    </row>
    <row customHeight="1" ht="11.25">
      <c r="A21" s="7888" t="s">
        <v>2329</v>
      </c>
      <c r="B21" s="7888" t="s">
        <v>16</v>
      </c>
      <c r="C21" s="7888" t="s">
        <v>2391</v>
      </c>
      <c r="D21" s="7888" t="s">
        <v>2392</v>
      </c>
      <c r="E21" s="7888" t="s">
        <v>2393</v>
      </c>
      <c r="F21" s="7888" t="s">
        <v>2394</v>
      </c>
      <c r="G21" s="7888" t="s">
        <v>28</v>
      </c>
      <c r="H21" s="7888" t="s">
        <v>28</v>
      </c>
      <c r="I21" s="7888" t="s">
        <v>879</v>
      </c>
    </row>
    <row customHeight="1" ht="11.25">
      <c r="A22" s="7888" t="s">
        <v>2329</v>
      </c>
      <c r="B22" s="7888" t="s">
        <v>16</v>
      </c>
      <c r="C22" s="7888" t="s">
        <v>2395</v>
      </c>
      <c r="D22" s="7888" t="s">
        <v>2396</v>
      </c>
      <c r="E22" s="7888" t="s">
        <v>2397</v>
      </c>
      <c r="F22" s="7888" t="s">
        <v>2381</v>
      </c>
      <c r="G22" s="7888" t="s">
        <v>28</v>
      </c>
      <c r="H22" s="7888" t="s">
        <v>28</v>
      </c>
      <c r="I22" s="7888" t="s">
        <v>879</v>
      </c>
    </row>
    <row customHeight="1" ht="11.25">
      <c r="A23" s="7888" t="s">
        <v>2329</v>
      </c>
      <c r="B23" s="7888" t="s">
        <v>16</v>
      </c>
      <c r="C23" s="7888" t="s">
        <v>2398</v>
      </c>
      <c r="D23" s="7888" t="s">
        <v>2399</v>
      </c>
      <c r="E23" s="7888" t="s">
        <v>2400</v>
      </c>
      <c r="F23" s="7888" t="s">
        <v>54</v>
      </c>
      <c r="G23" s="7888" t="s">
        <v>2401</v>
      </c>
      <c r="H23" s="7888" t="s">
        <v>28</v>
      </c>
      <c r="I23" s="7888" t="s">
        <v>879</v>
      </c>
    </row>
    <row customHeight="1" ht="11.25">
      <c r="A24" s="7888" t="s">
        <v>2329</v>
      </c>
      <c r="B24" s="7888" t="s">
        <v>16</v>
      </c>
      <c r="C24" s="7888" t="s">
        <v>2402</v>
      </c>
      <c r="D24" s="7888" t="s">
        <v>2403</v>
      </c>
      <c r="E24" s="7888" t="s">
        <v>2404</v>
      </c>
      <c r="F24" s="7888" t="s">
        <v>2405</v>
      </c>
      <c r="G24" s="7888" t="s">
        <v>28</v>
      </c>
      <c r="H24" s="7888" t="s">
        <v>2406</v>
      </c>
      <c r="I24" s="7888" t="s">
        <v>879</v>
      </c>
    </row>
    <row customHeight="1" ht="11.25">
      <c r="A25" s="7888" t="s">
        <v>2329</v>
      </c>
      <c r="B25" s="7888" t="s">
        <v>16</v>
      </c>
      <c r="C25" s="7888" t="s">
        <v>2407</v>
      </c>
      <c r="D25" s="7888" t="s">
        <v>2408</v>
      </c>
      <c r="E25" s="7888" t="s">
        <v>2409</v>
      </c>
      <c r="F25" s="7888" t="s">
        <v>2405</v>
      </c>
      <c r="G25" s="7888" t="s">
        <v>28</v>
      </c>
      <c r="H25" s="7888" t="s">
        <v>2410</v>
      </c>
      <c r="I25" s="7888" t="s">
        <v>879</v>
      </c>
    </row>
    <row customHeight="1" ht="11.25">
      <c r="A26" s="7888" t="s">
        <v>2329</v>
      </c>
      <c r="B26" s="7888" t="s">
        <v>16</v>
      </c>
      <c r="C26" s="7888" t="s">
        <v>2411</v>
      </c>
      <c r="D26" s="7888" t="s">
        <v>2412</v>
      </c>
      <c r="E26" s="7888" t="s">
        <v>2413</v>
      </c>
      <c r="F26" s="7888" t="s">
        <v>2405</v>
      </c>
      <c r="G26" s="7888" t="s">
        <v>28</v>
      </c>
      <c r="H26" s="7888" t="s">
        <v>2410</v>
      </c>
      <c r="I26" s="7888" t="s">
        <v>879</v>
      </c>
    </row>
    <row customHeight="1" ht="11.25">
      <c r="A27" s="7888" t="s">
        <v>2329</v>
      </c>
      <c r="B27" s="7888" t="s">
        <v>16</v>
      </c>
      <c r="C27" s="7888" t="s">
        <v>2414</v>
      </c>
      <c r="D27" s="7888" t="s">
        <v>2415</v>
      </c>
      <c r="E27" s="7888" t="s">
        <v>2393</v>
      </c>
      <c r="F27" s="7888" t="s">
        <v>2416</v>
      </c>
      <c r="G27" s="7888" t="s">
        <v>28</v>
      </c>
      <c r="H27" s="7888" t="s">
        <v>28</v>
      </c>
      <c r="I27" s="7888" t="s">
        <v>879</v>
      </c>
    </row>
    <row customHeight="1" ht="11.25">
      <c r="A28" s="7888" t="s">
        <v>2329</v>
      </c>
      <c r="B28" s="7888" t="s">
        <v>16</v>
      </c>
      <c r="C28" s="7888" t="s">
        <v>2417</v>
      </c>
      <c r="D28" s="7888" t="s">
        <v>2418</v>
      </c>
      <c r="E28" s="7888" t="s">
        <v>2419</v>
      </c>
      <c r="F28" s="7888" t="s">
        <v>2420</v>
      </c>
      <c r="G28" s="7888" t="s">
        <v>28</v>
      </c>
      <c r="H28" s="7888" t="s">
        <v>28</v>
      </c>
      <c r="I28" s="7888" t="s">
        <v>879</v>
      </c>
    </row>
    <row customHeight="1" ht="11.25">
      <c r="A29" s="7888" t="s">
        <v>2329</v>
      </c>
      <c r="B29" s="7888" t="s">
        <v>16</v>
      </c>
      <c r="C29" s="7888" t="s">
        <v>2421</v>
      </c>
      <c r="D29" s="7888" t="s">
        <v>2422</v>
      </c>
      <c r="E29" s="7888" t="s">
        <v>2423</v>
      </c>
      <c r="F29" s="7888" t="s">
        <v>2424</v>
      </c>
      <c r="G29" s="7888" t="s">
        <v>28</v>
      </c>
      <c r="H29" s="7888" t="s">
        <v>28</v>
      </c>
      <c r="I29" s="7888" t="s">
        <v>879</v>
      </c>
    </row>
    <row customHeight="1" ht="11.25">
      <c r="A30" s="7888" t="s">
        <v>2329</v>
      </c>
      <c r="B30" s="7888" t="s">
        <v>16</v>
      </c>
      <c r="C30" s="7888" t="s">
        <v>2425</v>
      </c>
      <c r="D30" s="7888" t="s">
        <v>2426</v>
      </c>
      <c r="E30" s="7888" t="s">
        <v>2427</v>
      </c>
      <c r="F30" s="7888" t="s">
        <v>2428</v>
      </c>
      <c r="G30" s="7888" t="s">
        <v>28</v>
      </c>
      <c r="H30" s="7888" t="s">
        <v>28</v>
      </c>
      <c r="I30" s="7888" t="s">
        <v>879</v>
      </c>
    </row>
    <row customHeight="1" ht="11.25">
      <c r="A31" s="7888" t="s">
        <v>2329</v>
      </c>
      <c r="B31" s="7888" t="s">
        <v>16</v>
      </c>
      <c r="C31" s="7888" t="s">
        <v>2429</v>
      </c>
      <c r="D31" s="7888" t="s">
        <v>2430</v>
      </c>
      <c r="E31" s="7888" t="s">
        <v>2431</v>
      </c>
      <c r="F31" s="7888" t="s">
        <v>2432</v>
      </c>
      <c r="G31" s="7888" t="s">
        <v>28</v>
      </c>
      <c r="H31" s="7888" t="s">
        <v>28</v>
      </c>
      <c r="I31" s="7888" t="s">
        <v>879</v>
      </c>
    </row>
    <row customHeight="1" ht="11.25">
      <c r="A32" s="7888" t="s">
        <v>2329</v>
      </c>
      <c r="B32" s="7888" t="s">
        <v>16</v>
      </c>
      <c r="C32" s="7888" t="s">
        <v>2433</v>
      </c>
      <c r="D32" s="7888" t="s">
        <v>2434</v>
      </c>
      <c r="E32" s="7888" t="s">
        <v>2427</v>
      </c>
      <c r="F32" s="7888" t="s">
        <v>2435</v>
      </c>
      <c r="G32" s="7888" t="s">
        <v>28</v>
      </c>
      <c r="H32" s="7888" t="s">
        <v>28</v>
      </c>
      <c r="I32" s="7888" t="s">
        <v>879</v>
      </c>
    </row>
    <row customHeight="1" ht="11.25">
      <c r="A33" s="7888" t="s">
        <v>2329</v>
      </c>
      <c r="B33" s="7888" t="s">
        <v>16</v>
      </c>
      <c r="C33" s="7888" t="s">
        <v>2436</v>
      </c>
      <c r="D33" s="7888" t="s">
        <v>2437</v>
      </c>
      <c r="E33" s="7888" t="s">
        <v>2438</v>
      </c>
      <c r="F33" s="7888" t="s">
        <v>54</v>
      </c>
      <c r="G33" s="7888" t="s">
        <v>2439</v>
      </c>
      <c r="H33" s="7888" t="s">
        <v>28</v>
      </c>
      <c r="I33" s="7888" t="s">
        <v>879</v>
      </c>
    </row>
    <row customHeight="1" ht="11.25">
      <c r="A34" s="7888" t="s">
        <v>2329</v>
      </c>
      <c r="B34" s="7888" t="s">
        <v>16</v>
      </c>
      <c r="C34" s="7888" t="s">
        <v>28</v>
      </c>
      <c r="D34" s="7888" t="s">
        <v>2440</v>
      </c>
      <c r="E34" s="7888" t="s">
        <v>2441</v>
      </c>
      <c r="F34" s="7888" t="s">
        <v>54</v>
      </c>
      <c r="G34" s="7888" t="s">
        <v>28</v>
      </c>
      <c r="H34" s="7888" t="s">
        <v>28</v>
      </c>
      <c r="I34" s="7888" t="s">
        <v>879</v>
      </c>
    </row>
    <row customHeight="1" ht="11.25">
      <c r="A35" s="7888" t="s">
        <v>2329</v>
      </c>
      <c r="B35" s="7888" t="s">
        <v>16</v>
      </c>
      <c r="C35" s="7888" t="s">
        <v>2442</v>
      </c>
      <c r="D35" s="7888" t="s">
        <v>2443</v>
      </c>
      <c r="E35" s="7888" t="s">
        <v>2444</v>
      </c>
      <c r="F35" s="7888" t="s">
        <v>2445</v>
      </c>
      <c r="G35" s="7888" t="s">
        <v>2446</v>
      </c>
      <c r="H35" s="7888" t="s">
        <v>28</v>
      </c>
      <c r="I35" s="7888" t="s">
        <v>879</v>
      </c>
    </row>
    <row customHeight="1" ht="11.25">
      <c r="A36" s="7888" t="s">
        <v>2329</v>
      </c>
      <c r="B36" s="7888" t="s">
        <v>16</v>
      </c>
      <c r="C36" s="7888" t="s">
        <v>2447</v>
      </c>
      <c r="D36" s="7888" t="s">
        <v>2448</v>
      </c>
      <c r="E36" s="7888" t="s">
        <v>2449</v>
      </c>
      <c r="F36" s="7888" t="s">
        <v>2445</v>
      </c>
      <c r="G36" s="7888" t="s">
        <v>28</v>
      </c>
      <c r="H36" s="7888" t="s">
        <v>2450</v>
      </c>
      <c r="I36" s="7888" t="s">
        <v>879</v>
      </c>
    </row>
    <row customHeight="1" ht="11.25">
      <c r="A37" s="7888" t="s">
        <v>2329</v>
      </c>
      <c r="B37" s="7888" t="s">
        <v>16</v>
      </c>
      <c r="C37" s="7888" t="s">
        <v>2451</v>
      </c>
      <c r="D37" s="7888" t="s">
        <v>2452</v>
      </c>
      <c r="E37" s="7888" t="s">
        <v>2453</v>
      </c>
      <c r="F37" s="7888" t="s">
        <v>2454</v>
      </c>
      <c r="G37" s="7888" t="s">
        <v>28</v>
      </c>
      <c r="H37" s="7888" t="s">
        <v>28</v>
      </c>
      <c r="I37" s="7888" t="s">
        <v>879</v>
      </c>
    </row>
    <row customHeight="1" ht="11.25">
      <c r="A38" s="7888" t="s">
        <v>2329</v>
      </c>
      <c r="B38" s="7888" t="s">
        <v>16</v>
      </c>
      <c r="C38" s="7888" t="s">
        <v>2455</v>
      </c>
      <c r="D38" s="7888" t="s">
        <v>2456</v>
      </c>
      <c r="E38" s="7888" t="s">
        <v>2457</v>
      </c>
      <c r="F38" s="7888" t="s">
        <v>2458</v>
      </c>
      <c r="G38" s="7888" t="s">
        <v>2459</v>
      </c>
      <c r="H38" s="7888" t="s">
        <v>28</v>
      </c>
      <c r="I38" s="7888" t="s">
        <v>879</v>
      </c>
    </row>
    <row customHeight="1" ht="11.25">
      <c r="A39" s="7888" t="s">
        <v>2329</v>
      </c>
      <c r="B39" s="7888" t="s">
        <v>16</v>
      </c>
      <c r="C39" s="7888" t="s">
        <v>2460</v>
      </c>
      <c r="D39" s="7888" t="s">
        <v>2461</v>
      </c>
      <c r="E39" s="7888" t="s">
        <v>2462</v>
      </c>
      <c r="F39" s="7888" t="s">
        <v>2463</v>
      </c>
      <c r="G39" s="7888" t="s">
        <v>28</v>
      </c>
      <c r="H39" s="7888" t="s">
        <v>28</v>
      </c>
      <c r="I39" s="7888" t="s">
        <v>879</v>
      </c>
    </row>
    <row customHeight="1" ht="11.25">
      <c r="A40" s="7888" t="s">
        <v>2329</v>
      </c>
      <c r="B40" s="7888" t="s">
        <v>16</v>
      </c>
      <c r="C40" s="7888" t="s">
        <v>2464</v>
      </c>
      <c r="D40" s="7888" t="s">
        <v>2465</v>
      </c>
      <c r="E40" s="7888" t="s">
        <v>2466</v>
      </c>
      <c r="F40" s="7888" t="s">
        <v>2467</v>
      </c>
      <c r="G40" s="7888" t="s">
        <v>2468</v>
      </c>
      <c r="H40" s="7888" t="s">
        <v>28</v>
      </c>
      <c r="I40" s="7888" t="s">
        <v>879</v>
      </c>
    </row>
    <row customHeight="1" ht="11.25">
      <c r="A41" s="7888" t="s">
        <v>2329</v>
      </c>
      <c r="B41" s="7888" t="s">
        <v>16</v>
      </c>
      <c r="C41" s="7888" t="s">
        <v>2469</v>
      </c>
      <c r="D41" s="7888" t="s">
        <v>2470</v>
      </c>
      <c r="E41" s="7888" t="s">
        <v>2471</v>
      </c>
      <c r="F41" s="7888" t="s">
        <v>2390</v>
      </c>
      <c r="G41" s="7888" t="s">
        <v>28</v>
      </c>
      <c r="H41" s="7888" t="s">
        <v>28</v>
      </c>
      <c r="I41" s="7888" t="s">
        <v>879</v>
      </c>
    </row>
    <row customHeight="1" ht="11.25">
      <c r="A42" s="7888" t="s">
        <v>2329</v>
      </c>
      <c r="B42" s="7888" t="s">
        <v>16</v>
      </c>
      <c r="C42" s="7888" t="s">
        <v>2472</v>
      </c>
      <c r="D42" s="7888" t="s">
        <v>2470</v>
      </c>
      <c r="E42" s="7888" t="s">
        <v>2473</v>
      </c>
      <c r="F42" s="7888" t="s">
        <v>2424</v>
      </c>
      <c r="G42" s="7888" t="s">
        <v>2474</v>
      </c>
      <c r="H42" s="7888" t="s">
        <v>28</v>
      </c>
      <c r="I42" s="7888" t="s">
        <v>879</v>
      </c>
    </row>
    <row customHeight="1" ht="11.25">
      <c r="A43" s="7888" t="s">
        <v>2329</v>
      </c>
      <c r="B43" s="7888" t="s">
        <v>16</v>
      </c>
      <c r="C43" s="7888" t="s">
        <v>2475</v>
      </c>
      <c r="D43" s="7888" t="s">
        <v>2476</v>
      </c>
      <c r="E43" s="7888" t="s">
        <v>2477</v>
      </c>
      <c r="F43" s="7888" t="s">
        <v>2478</v>
      </c>
      <c r="G43" s="7888" t="s">
        <v>28</v>
      </c>
      <c r="H43" s="7888" t="s">
        <v>28</v>
      </c>
      <c r="I43" s="7888" t="s">
        <v>879</v>
      </c>
    </row>
    <row customHeight="1" ht="11.25">
      <c r="A44" s="7888" t="s">
        <v>2329</v>
      </c>
      <c r="B44" s="7888" t="s">
        <v>16</v>
      </c>
      <c r="C44" s="7888" t="s">
        <v>2479</v>
      </c>
      <c r="D44" s="7888" t="s">
        <v>2480</v>
      </c>
      <c r="E44" s="7888" t="s">
        <v>2481</v>
      </c>
      <c r="F44" s="7888" t="s">
        <v>2420</v>
      </c>
      <c r="G44" s="7888" t="s">
        <v>2482</v>
      </c>
      <c r="H44" s="7888" t="s">
        <v>28</v>
      </c>
      <c r="I44" s="7888" t="s">
        <v>879</v>
      </c>
    </row>
    <row customHeight="1" ht="11.25">
      <c r="A45" s="7888" t="s">
        <v>2329</v>
      </c>
      <c r="B45" s="7888" t="s">
        <v>16</v>
      </c>
      <c r="C45" s="7888" t="s">
        <v>2483</v>
      </c>
      <c r="D45" s="7888" t="s">
        <v>2484</v>
      </c>
      <c r="E45" s="7888" t="s">
        <v>2485</v>
      </c>
      <c r="F45" s="7888" t="s">
        <v>2467</v>
      </c>
      <c r="G45" s="7888" t="s">
        <v>28</v>
      </c>
      <c r="H45" s="7888" t="s">
        <v>28</v>
      </c>
      <c r="I45" s="7888" t="s">
        <v>879</v>
      </c>
    </row>
    <row customHeight="1" ht="11.25">
      <c r="A46" s="7888" t="s">
        <v>2329</v>
      </c>
      <c r="B46" s="7888" t="s">
        <v>16</v>
      </c>
      <c r="C46" s="7888" t="s">
        <v>2486</v>
      </c>
      <c r="D46" s="7888" t="s">
        <v>2487</v>
      </c>
      <c r="E46" s="7888" t="s">
        <v>2488</v>
      </c>
      <c r="F46" s="7888" t="s">
        <v>2489</v>
      </c>
      <c r="G46" s="7888" t="s">
        <v>28</v>
      </c>
      <c r="H46" s="7888" t="s">
        <v>28</v>
      </c>
      <c r="I46" s="7888" t="s">
        <v>879</v>
      </c>
    </row>
    <row customHeight="1" ht="11.25">
      <c r="A47" s="7888" t="s">
        <v>2329</v>
      </c>
      <c r="B47" s="7888" t="s">
        <v>16</v>
      </c>
      <c r="C47" s="7888" t="s">
        <v>2490</v>
      </c>
      <c r="D47" s="7888" t="s">
        <v>2491</v>
      </c>
      <c r="E47" s="7888" t="s">
        <v>2492</v>
      </c>
      <c r="F47" s="7888" t="s">
        <v>2445</v>
      </c>
      <c r="G47" s="7888" t="s">
        <v>28</v>
      </c>
      <c r="H47" s="7888" t="s">
        <v>28</v>
      </c>
      <c r="I47" s="7888" t="s">
        <v>879</v>
      </c>
    </row>
    <row customHeight="1" ht="11.25">
      <c r="A48" s="7888" t="s">
        <v>2329</v>
      </c>
      <c r="B48" s="7888" t="s">
        <v>16</v>
      </c>
      <c r="C48" s="7888" t="s">
        <v>2493</v>
      </c>
      <c r="D48" s="7888" t="s">
        <v>2494</v>
      </c>
      <c r="E48" s="7888" t="s">
        <v>2495</v>
      </c>
      <c r="F48" s="7888" t="s">
        <v>2496</v>
      </c>
      <c r="G48" s="7888" t="s">
        <v>28</v>
      </c>
      <c r="H48" s="7888" t="s">
        <v>28</v>
      </c>
      <c r="I48" s="7888" t="s">
        <v>879</v>
      </c>
    </row>
    <row customHeight="1" ht="11.25">
      <c r="A49" s="7888" t="s">
        <v>2329</v>
      </c>
      <c r="B49" s="7888" t="s">
        <v>16</v>
      </c>
      <c r="C49" s="7888" t="s">
        <v>2497</v>
      </c>
      <c r="D49" s="7888" t="s">
        <v>2498</v>
      </c>
      <c r="E49" s="7888" t="s">
        <v>2499</v>
      </c>
      <c r="F49" s="7888" t="s">
        <v>2478</v>
      </c>
      <c r="G49" s="7888" t="s">
        <v>2500</v>
      </c>
      <c r="H49" s="7888" t="s">
        <v>28</v>
      </c>
      <c r="I49" s="7888" t="s">
        <v>879</v>
      </c>
    </row>
    <row customHeight="1" ht="11.25">
      <c r="A50" s="7888" t="s">
        <v>2329</v>
      </c>
      <c r="B50" s="7888" t="s">
        <v>16</v>
      </c>
      <c r="C50" s="7888" t="s">
        <v>2501</v>
      </c>
      <c r="D50" s="7888" t="s">
        <v>2502</v>
      </c>
      <c r="E50" s="7888" t="s">
        <v>2503</v>
      </c>
      <c r="F50" s="7888" t="s">
        <v>2504</v>
      </c>
      <c r="G50" s="7888" t="s">
        <v>28</v>
      </c>
      <c r="H50" s="7888" t="s">
        <v>28</v>
      </c>
      <c r="I50" s="7888" t="s">
        <v>879</v>
      </c>
    </row>
    <row customHeight="1" ht="11.25">
      <c r="A51" s="7888" t="s">
        <v>2329</v>
      </c>
      <c r="B51" s="7888" t="s">
        <v>16</v>
      </c>
      <c r="C51" s="7888" t="s">
        <v>2505</v>
      </c>
      <c r="D51" s="7888" t="s">
        <v>2506</v>
      </c>
      <c r="E51" s="7888" t="s">
        <v>2507</v>
      </c>
      <c r="F51" s="7888" t="s">
        <v>2504</v>
      </c>
      <c r="G51" s="7888" t="s">
        <v>2508</v>
      </c>
      <c r="H51" s="7888" t="s">
        <v>28</v>
      </c>
      <c r="I51" s="7888" t="s">
        <v>879</v>
      </c>
    </row>
    <row customHeight="1" ht="11.25">
      <c r="A52" s="7888" t="s">
        <v>2329</v>
      </c>
      <c r="B52" s="7888" t="s">
        <v>16</v>
      </c>
      <c r="C52" s="7888" t="s">
        <v>2509</v>
      </c>
      <c r="D52" s="7888" t="s">
        <v>2510</v>
      </c>
      <c r="E52" s="7888" t="s">
        <v>2511</v>
      </c>
      <c r="F52" s="7888" t="s">
        <v>2478</v>
      </c>
      <c r="G52" s="7888" t="s">
        <v>28</v>
      </c>
      <c r="H52" s="7888" t="s">
        <v>28</v>
      </c>
      <c r="I52" s="7888" t="s">
        <v>879</v>
      </c>
    </row>
    <row customHeight="1" ht="11.25">
      <c r="A53" s="7888" t="s">
        <v>2329</v>
      </c>
      <c r="B53" s="7888" t="s">
        <v>16</v>
      </c>
      <c r="C53" s="7888" t="s">
        <v>2512</v>
      </c>
      <c r="D53" s="7888" t="s">
        <v>2513</v>
      </c>
      <c r="E53" s="7888" t="s">
        <v>2514</v>
      </c>
      <c r="F53" s="7888" t="s">
        <v>2515</v>
      </c>
      <c r="G53" s="7888" t="s">
        <v>2516</v>
      </c>
      <c r="H53" s="7888" t="s">
        <v>28</v>
      </c>
      <c r="I53" s="7888" t="s">
        <v>879</v>
      </c>
    </row>
    <row customHeight="1" ht="11.25">
      <c r="A54" s="7888" t="s">
        <v>2329</v>
      </c>
      <c r="B54" s="7888" t="s">
        <v>16</v>
      </c>
      <c r="C54" s="7888" t="s">
        <v>2517</v>
      </c>
      <c r="D54" s="7888" t="s">
        <v>2518</v>
      </c>
      <c r="E54" s="7888" t="s">
        <v>2519</v>
      </c>
      <c r="F54" s="7888" t="s">
        <v>2515</v>
      </c>
      <c r="G54" s="7888" t="s">
        <v>2520</v>
      </c>
      <c r="H54" s="7888" t="s">
        <v>28</v>
      </c>
      <c r="I54" s="7888" t="s">
        <v>879</v>
      </c>
    </row>
    <row customHeight="1" ht="11.25">
      <c r="A55" s="7888" t="s">
        <v>2329</v>
      </c>
      <c r="B55" s="7888" t="s">
        <v>16</v>
      </c>
      <c r="C55" s="7888" t="s">
        <v>2521</v>
      </c>
      <c r="D55" s="7888" t="s">
        <v>2522</v>
      </c>
      <c r="E55" s="7888" t="s">
        <v>2523</v>
      </c>
      <c r="F55" s="7888" t="s">
        <v>2524</v>
      </c>
      <c r="G55" s="7888" t="s">
        <v>28</v>
      </c>
      <c r="H55" s="7888" t="s">
        <v>28</v>
      </c>
      <c r="I55" s="7888" t="s">
        <v>879</v>
      </c>
    </row>
    <row customHeight="1" ht="11.25">
      <c r="A56" s="7888" t="s">
        <v>2329</v>
      </c>
      <c r="B56" s="7888" t="s">
        <v>16</v>
      </c>
      <c r="C56" s="7888" t="s">
        <v>2525</v>
      </c>
      <c r="D56" s="7888" t="s">
        <v>2526</v>
      </c>
      <c r="E56" s="7888" t="s">
        <v>2527</v>
      </c>
      <c r="F56" s="7888" t="s">
        <v>2515</v>
      </c>
      <c r="G56" s="7888" t="s">
        <v>2528</v>
      </c>
      <c r="H56" s="7888" t="s">
        <v>28</v>
      </c>
      <c r="I56" s="7888" t="s">
        <v>879</v>
      </c>
    </row>
    <row customHeight="1" ht="11.25">
      <c r="A57" s="7888" t="s">
        <v>2329</v>
      </c>
      <c r="B57" s="7888" t="s">
        <v>16</v>
      </c>
      <c r="C57" s="7888" t="s">
        <v>2529</v>
      </c>
      <c r="D57" s="7888" t="s">
        <v>2530</v>
      </c>
      <c r="E57" s="7888" t="s">
        <v>2531</v>
      </c>
      <c r="F57" s="7888" t="s">
        <v>2515</v>
      </c>
      <c r="G57" s="7888" t="s">
        <v>2532</v>
      </c>
      <c r="H57" s="7888" t="s">
        <v>28</v>
      </c>
      <c r="I57" s="7888" t="s">
        <v>879</v>
      </c>
    </row>
    <row customHeight="1" ht="11.25">
      <c r="A58" s="7888" t="s">
        <v>2329</v>
      </c>
      <c r="B58" s="7888" t="s">
        <v>16</v>
      </c>
      <c r="C58" s="7888" t="s">
        <v>2533</v>
      </c>
      <c r="D58" s="7888" t="s">
        <v>2534</v>
      </c>
      <c r="E58" s="7888" t="s">
        <v>2535</v>
      </c>
      <c r="F58" s="7888" t="s">
        <v>2504</v>
      </c>
      <c r="G58" s="7888" t="s">
        <v>2536</v>
      </c>
      <c r="H58" s="7888" t="s">
        <v>28</v>
      </c>
      <c r="I58" s="7888" t="s">
        <v>879</v>
      </c>
    </row>
    <row customHeight="1" ht="11.25">
      <c r="A59" s="7888" t="s">
        <v>2329</v>
      </c>
      <c r="B59" s="7888" t="s">
        <v>16</v>
      </c>
      <c r="C59" s="7888" t="s">
        <v>2537</v>
      </c>
      <c r="D59" s="7888" t="s">
        <v>2538</v>
      </c>
      <c r="E59" s="7888" t="s">
        <v>2539</v>
      </c>
      <c r="F59" s="7888" t="s">
        <v>2504</v>
      </c>
      <c r="G59" s="7888" t="s">
        <v>28</v>
      </c>
      <c r="H59" s="7888" t="s">
        <v>28</v>
      </c>
      <c r="I59" s="7888" t="s">
        <v>879</v>
      </c>
    </row>
    <row customHeight="1" ht="11.25">
      <c r="A60" s="7888" t="s">
        <v>2329</v>
      </c>
      <c r="B60" s="7888" t="s">
        <v>16</v>
      </c>
      <c r="C60" s="7888" t="s">
        <v>2540</v>
      </c>
      <c r="D60" s="7888" t="s">
        <v>2541</v>
      </c>
      <c r="E60" s="7888" t="s">
        <v>2542</v>
      </c>
      <c r="F60" s="7888" t="s">
        <v>2424</v>
      </c>
      <c r="G60" s="7888" t="s">
        <v>28</v>
      </c>
      <c r="H60" s="7888" t="s">
        <v>28</v>
      </c>
      <c r="I60" s="7888" t="s">
        <v>879</v>
      </c>
    </row>
    <row customHeight="1" ht="11.25">
      <c r="A61" s="7888" t="s">
        <v>2329</v>
      </c>
      <c r="B61" s="7888" t="s">
        <v>16</v>
      </c>
      <c r="C61" s="7888" t="s">
        <v>2543</v>
      </c>
      <c r="D61" s="7888" t="s">
        <v>2544</v>
      </c>
      <c r="E61" s="7888" t="s">
        <v>2545</v>
      </c>
      <c r="F61" s="7888" t="s">
        <v>2546</v>
      </c>
      <c r="G61" s="7888" t="s">
        <v>28</v>
      </c>
      <c r="H61" s="7888" t="s">
        <v>28</v>
      </c>
      <c r="I61" s="7888" t="s">
        <v>879</v>
      </c>
    </row>
    <row customHeight="1" ht="11.25">
      <c r="A62" s="7888" t="s">
        <v>2329</v>
      </c>
      <c r="B62" s="7888" t="s">
        <v>16</v>
      </c>
      <c r="C62" s="7888" t="s">
        <v>2547</v>
      </c>
      <c r="D62" s="7888" t="s">
        <v>2548</v>
      </c>
      <c r="E62" s="7888" t="s">
        <v>2549</v>
      </c>
      <c r="F62" s="7888" t="s">
        <v>2467</v>
      </c>
      <c r="G62" s="7888" t="s">
        <v>2550</v>
      </c>
      <c r="H62" s="7888" t="s">
        <v>28</v>
      </c>
      <c r="I62" s="7888" t="s">
        <v>879</v>
      </c>
    </row>
    <row customHeight="1" ht="11.25">
      <c r="A63" s="7888" t="s">
        <v>2329</v>
      </c>
      <c r="B63" s="7888" t="s">
        <v>16</v>
      </c>
      <c r="C63" s="7888" t="s">
        <v>2551</v>
      </c>
      <c r="D63" s="7888" t="s">
        <v>2552</v>
      </c>
      <c r="E63" s="7888" t="s">
        <v>2553</v>
      </c>
      <c r="F63" s="7888" t="s">
        <v>2504</v>
      </c>
      <c r="G63" s="7888" t="s">
        <v>2554</v>
      </c>
      <c r="H63" s="7888" t="s">
        <v>28</v>
      </c>
      <c r="I63" s="7888" t="s">
        <v>879</v>
      </c>
    </row>
    <row customHeight="1" ht="11.25">
      <c r="A64" s="7888" t="s">
        <v>2329</v>
      </c>
      <c r="B64" s="7888" t="s">
        <v>16</v>
      </c>
      <c r="C64" s="7888" t="s">
        <v>2555</v>
      </c>
      <c r="D64" s="7888" t="s">
        <v>2556</v>
      </c>
      <c r="E64" s="7888" t="s">
        <v>2557</v>
      </c>
      <c r="F64" s="7888" t="s">
        <v>2478</v>
      </c>
      <c r="G64" s="7888" t="s">
        <v>28</v>
      </c>
      <c r="H64" s="7888" t="s">
        <v>28</v>
      </c>
      <c r="I64" s="7888" t="s">
        <v>879</v>
      </c>
    </row>
    <row customHeight="1" ht="11.25">
      <c r="A65" s="7888" t="s">
        <v>2329</v>
      </c>
      <c r="B65" s="7888" t="s">
        <v>16</v>
      </c>
      <c r="C65" s="7888" t="s">
        <v>2558</v>
      </c>
      <c r="D65" s="7888" t="s">
        <v>2559</v>
      </c>
      <c r="E65" s="7888" t="s">
        <v>2560</v>
      </c>
      <c r="F65" s="7888" t="s">
        <v>2515</v>
      </c>
      <c r="G65" s="7888" t="s">
        <v>28</v>
      </c>
      <c r="H65" s="7888" t="s">
        <v>28</v>
      </c>
      <c r="I65" s="7888" t="s">
        <v>879</v>
      </c>
    </row>
    <row customHeight="1" ht="11.25">
      <c r="A66" s="7888" t="s">
        <v>2329</v>
      </c>
      <c r="B66" s="7888" t="s">
        <v>16</v>
      </c>
      <c r="C66" s="7888" t="s">
        <v>2561</v>
      </c>
      <c r="D66" s="7888" t="s">
        <v>2562</v>
      </c>
      <c r="E66" s="7888" t="s">
        <v>2563</v>
      </c>
      <c r="F66" s="7888" t="s">
        <v>2546</v>
      </c>
      <c r="G66" s="7888" t="s">
        <v>28</v>
      </c>
      <c r="H66" s="7888" t="s">
        <v>28</v>
      </c>
      <c r="I66" s="7888" t="s">
        <v>879</v>
      </c>
    </row>
    <row customHeight="1" ht="11.25">
      <c r="A67" s="7888" t="s">
        <v>2329</v>
      </c>
      <c r="B67" s="7888" t="s">
        <v>16</v>
      </c>
      <c r="C67" s="7888" t="s">
        <v>2564</v>
      </c>
      <c r="D67" s="7888" t="s">
        <v>2565</v>
      </c>
      <c r="E67" s="7888" t="s">
        <v>2566</v>
      </c>
      <c r="F67" s="7888" t="s">
        <v>2504</v>
      </c>
      <c r="G67" s="7888" t="s">
        <v>2567</v>
      </c>
      <c r="H67" s="7888" t="s">
        <v>28</v>
      </c>
      <c r="I67" s="7888" t="s">
        <v>879</v>
      </c>
    </row>
    <row customHeight="1" ht="11.25">
      <c r="A68" s="7888" t="s">
        <v>2329</v>
      </c>
      <c r="B68" s="7888" t="s">
        <v>16</v>
      </c>
      <c r="C68" s="7888" t="s">
        <v>2568</v>
      </c>
      <c r="D68" s="7888" t="s">
        <v>2569</v>
      </c>
      <c r="E68" s="7888" t="s">
        <v>2570</v>
      </c>
      <c r="F68" s="7888" t="s">
        <v>2478</v>
      </c>
      <c r="G68" s="7888" t="s">
        <v>2571</v>
      </c>
      <c r="H68" s="7888" t="s">
        <v>28</v>
      </c>
      <c r="I68" s="7888" t="s">
        <v>879</v>
      </c>
    </row>
    <row customHeight="1" ht="11.25">
      <c r="A69" s="7888" t="s">
        <v>2329</v>
      </c>
      <c r="B69" s="7888" t="s">
        <v>16</v>
      </c>
      <c r="C69" s="7888" t="s">
        <v>2572</v>
      </c>
      <c r="D69" s="7888" t="s">
        <v>2573</v>
      </c>
      <c r="E69" s="7888" t="s">
        <v>2574</v>
      </c>
      <c r="F69" s="7888" t="s">
        <v>2515</v>
      </c>
      <c r="G69" s="7888" t="s">
        <v>2575</v>
      </c>
      <c r="H69" s="7888" t="s">
        <v>28</v>
      </c>
      <c r="I69" s="7888" t="s">
        <v>879</v>
      </c>
    </row>
    <row customHeight="1" ht="11.25">
      <c r="A70" s="7888" t="s">
        <v>2329</v>
      </c>
      <c r="B70" s="7888" t="s">
        <v>16</v>
      </c>
      <c r="C70" s="7888" t="s">
        <v>2576</v>
      </c>
      <c r="D70" s="7888" t="s">
        <v>2573</v>
      </c>
      <c r="E70" s="7888" t="s">
        <v>2577</v>
      </c>
      <c r="F70" s="7888" t="s">
        <v>2390</v>
      </c>
      <c r="G70" s="7888" t="s">
        <v>2578</v>
      </c>
      <c r="H70" s="7888" t="s">
        <v>28</v>
      </c>
      <c r="I70" s="7888" t="s">
        <v>879</v>
      </c>
    </row>
    <row customHeight="1" ht="11.25">
      <c r="A71" s="7888" t="s">
        <v>2329</v>
      </c>
      <c r="B71" s="7888" t="s">
        <v>16</v>
      </c>
      <c r="C71" s="7888" t="s">
        <v>2579</v>
      </c>
      <c r="D71" s="7888" t="s">
        <v>2580</v>
      </c>
      <c r="E71" s="7888" t="s">
        <v>2581</v>
      </c>
      <c r="F71" s="7888" t="s">
        <v>2496</v>
      </c>
      <c r="G71" s="7888" t="s">
        <v>28</v>
      </c>
      <c r="H71" s="7888" t="s">
        <v>28</v>
      </c>
      <c r="I71" s="7888" t="s">
        <v>879</v>
      </c>
    </row>
    <row customHeight="1" ht="11.25">
      <c r="A72" s="7888" t="s">
        <v>2329</v>
      </c>
      <c r="B72" s="7888" t="s">
        <v>16</v>
      </c>
      <c r="C72" s="7888" t="s">
        <v>2582</v>
      </c>
      <c r="D72" s="7888" t="s">
        <v>2583</v>
      </c>
      <c r="E72" s="7888" t="s">
        <v>2584</v>
      </c>
      <c r="F72" s="7888" t="s">
        <v>2496</v>
      </c>
      <c r="G72" s="7888" t="s">
        <v>2585</v>
      </c>
      <c r="H72" s="7888" t="s">
        <v>28</v>
      </c>
      <c r="I72" s="7888" t="s">
        <v>879</v>
      </c>
    </row>
    <row customHeight="1" ht="11.25">
      <c r="A73" s="7888" t="s">
        <v>2329</v>
      </c>
      <c r="B73" s="7888" t="s">
        <v>16</v>
      </c>
      <c r="C73" s="7888" t="s">
        <v>2586</v>
      </c>
      <c r="D73" s="7888" t="s">
        <v>2587</v>
      </c>
      <c r="E73" s="7888" t="s">
        <v>2588</v>
      </c>
      <c r="F73" s="7888" t="s">
        <v>2458</v>
      </c>
      <c r="G73" s="7888" t="s">
        <v>28</v>
      </c>
      <c r="H73" s="7888" t="s">
        <v>28</v>
      </c>
      <c r="I73" s="7888" t="s">
        <v>879</v>
      </c>
    </row>
    <row customHeight="1" ht="11.25">
      <c r="A74" s="7888" t="s">
        <v>2329</v>
      </c>
      <c r="B74" s="7888" t="s">
        <v>16</v>
      </c>
      <c r="C74" s="7888" t="s">
        <v>2589</v>
      </c>
      <c r="D74" s="7888" t="s">
        <v>2590</v>
      </c>
      <c r="E74" s="7888" t="s">
        <v>2591</v>
      </c>
      <c r="F74" s="7888" t="s">
        <v>2467</v>
      </c>
      <c r="G74" s="7888" t="s">
        <v>2592</v>
      </c>
      <c r="H74" s="7888" t="s">
        <v>28</v>
      </c>
      <c r="I74" s="7888" t="s">
        <v>879</v>
      </c>
    </row>
    <row customHeight="1" ht="11.25">
      <c r="A75" s="7888" t="s">
        <v>2329</v>
      </c>
      <c r="B75" s="7888" t="s">
        <v>16</v>
      </c>
      <c r="C75" s="7888" t="s">
        <v>2593</v>
      </c>
      <c r="D75" s="7888" t="s">
        <v>2594</v>
      </c>
      <c r="E75" s="7888" t="s">
        <v>2595</v>
      </c>
      <c r="F75" s="7888" t="s">
        <v>2467</v>
      </c>
      <c r="G75" s="7888" t="s">
        <v>2596</v>
      </c>
      <c r="H75" s="7888" t="s">
        <v>28</v>
      </c>
      <c r="I75" s="7888" t="s">
        <v>879</v>
      </c>
    </row>
    <row customHeight="1" ht="11.25">
      <c r="A76" s="7888" t="s">
        <v>2329</v>
      </c>
      <c r="B76" s="7888" t="s">
        <v>16</v>
      </c>
      <c r="C76" s="7888" t="s">
        <v>2597</v>
      </c>
      <c r="D76" s="7888" t="s">
        <v>2598</v>
      </c>
      <c r="E76" s="7888" t="s">
        <v>2599</v>
      </c>
      <c r="F76" s="7888" t="s">
        <v>2458</v>
      </c>
      <c r="G76" s="7888" t="s">
        <v>2600</v>
      </c>
      <c r="H76" s="7888" t="s">
        <v>28</v>
      </c>
      <c r="I76" s="7888" t="s">
        <v>879</v>
      </c>
    </row>
    <row customHeight="1" ht="11.25">
      <c r="A77" s="7888" t="s">
        <v>2329</v>
      </c>
      <c r="B77" s="7888" t="s">
        <v>16</v>
      </c>
      <c r="C77" s="7888" t="s">
        <v>2601</v>
      </c>
      <c r="D77" s="7888" t="s">
        <v>2602</v>
      </c>
      <c r="E77" s="7888" t="s">
        <v>2603</v>
      </c>
      <c r="F77" s="7888" t="s">
        <v>2478</v>
      </c>
      <c r="G77" s="7888" t="s">
        <v>2604</v>
      </c>
      <c r="H77" s="7888" t="s">
        <v>28</v>
      </c>
      <c r="I77" s="7888" t="s">
        <v>879</v>
      </c>
    </row>
    <row customHeight="1" ht="11.25">
      <c r="A78" s="7888" t="s">
        <v>2329</v>
      </c>
      <c r="B78" s="7888" t="s">
        <v>16</v>
      </c>
      <c r="C78" s="7888" t="s">
        <v>2605</v>
      </c>
      <c r="D78" s="7888" t="s">
        <v>2606</v>
      </c>
      <c r="E78" s="7888" t="s">
        <v>2607</v>
      </c>
      <c r="F78" s="7888" t="s">
        <v>2338</v>
      </c>
      <c r="G78" s="7888" t="s">
        <v>28</v>
      </c>
      <c r="H78" s="7888" t="s">
        <v>28</v>
      </c>
      <c r="I78" s="7888" t="s">
        <v>879</v>
      </c>
    </row>
    <row customHeight="1" ht="11.25">
      <c r="A79" s="7888" t="s">
        <v>2329</v>
      </c>
      <c r="B79" s="7888" t="s">
        <v>16</v>
      </c>
      <c r="C79" s="7888" t="s">
        <v>2608</v>
      </c>
      <c r="D79" s="7888" t="s">
        <v>2609</v>
      </c>
      <c r="E79" s="7888" t="s">
        <v>2610</v>
      </c>
      <c r="F79" s="7888" t="s">
        <v>2524</v>
      </c>
      <c r="G79" s="7888" t="s">
        <v>28</v>
      </c>
      <c r="H79" s="7888" t="s">
        <v>28</v>
      </c>
      <c r="I79" s="7888" t="s">
        <v>879</v>
      </c>
    </row>
    <row customHeight="1" ht="11.25">
      <c r="A80" s="7888" t="s">
        <v>2329</v>
      </c>
      <c r="B80" s="7888" t="s">
        <v>16</v>
      </c>
      <c r="C80" s="7888" t="s">
        <v>2611</v>
      </c>
      <c r="D80" s="7888" t="s">
        <v>2612</v>
      </c>
      <c r="E80" s="7888" t="s">
        <v>2613</v>
      </c>
      <c r="F80" s="7888" t="s">
        <v>2478</v>
      </c>
      <c r="G80" s="7888" t="s">
        <v>28</v>
      </c>
      <c r="H80" s="7888" t="s">
        <v>28</v>
      </c>
      <c r="I80" s="7888" t="s">
        <v>879</v>
      </c>
    </row>
    <row customHeight="1" ht="11.25">
      <c r="A81" s="7888" t="s">
        <v>2329</v>
      </c>
      <c r="B81" s="7888" t="s">
        <v>16</v>
      </c>
      <c r="C81" s="7888" t="s">
        <v>2614</v>
      </c>
      <c r="D81" s="7888" t="s">
        <v>2615</v>
      </c>
      <c r="E81" s="7888" t="s">
        <v>2616</v>
      </c>
      <c r="F81" s="7888" t="s">
        <v>2390</v>
      </c>
      <c r="G81" s="7888" t="s">
        <v>2617</v>
      </c>
      <c r="H81" s="7888" t="s">
        <v>28</v>
      </c>
      <c r="I81" s="7888" t="s">
        <v>879</v>
      </c>
    </row>
    <row customHeight="1" ht="11.25">
      <c r="A82" s="7888" t="s">
        <v>2329</v>
      </c>
      <c r="B82" s="7888" t="s">
        <v>16</v>
      </c>
      <c r="C82" s="7888" t="s">
        <v>2618</v>
      </c>
      <c r="D82" s="7888" t="s">
        <v>2619</v>
      </c>
      <c r="E82" s="7888" t="s">
        <v>2620</v>
      </c>
      <c r="F82" s="7888" t="s">
        <v>2458</v>
      </c>
      <c r="G82" s="7888" t="s">
        <v>28</v>
      </c>
      <c r="H82" s="7888" t="s">
        <v>28</v>
      </c>
      <c r="I82" s="7888" t="s">
        <v>879</v>
      </c>
    </row>
    <row customHeight="1" ht="11.25">
      <c r="A83" s="7888" t="s">
        <v>2329</v>
      </c>
      <c r="B83" s="7888" t="s">
        <v>16</v>
      </c>
      <c r="C83" s="7888" t="s">
        <v>2621</v>
      </c>
      <c r="D83" s="7888" t="s">
        <v>2622</v>
      </c>
      <c r="E83" s="7888" t="s">
        <v>2623</v>
      </c>
      <c r="F83" s="7888" t="s">
        <v>2504</v>
      </c>
      <c r="G83" s="7888" t="s">
        <v>28</v>
      </c>
      <c r="H83" s="7888" t="s">
        <v>28</v>
      </c>
      <c r="I83" s="7888" t="s">
        <v>879</v>
      </c>
    </row>
    <row customHeight="1" ht="11.25">
      <c r="A84" s="7888" t="s">
        <v>2329</v>
      </c>
      <c r="B84" s="7888" t="s">
        <v>16</v>
      </c>
      <c r="C84" s="7888" t="s">
        <v>2624</v>
      </c>
      <c r="D84" s="7888" t="s">
        <v>2625</v>
      </c>
      <c r="E84" s="7888" t="s">
        <v>2427</v>
      </c>
      <c r="F84" s="7888" t="s">
        <v>2626</v>
      </c>
      <c r="G84" s="7888" t="s">
        <v>28</v>
      </c>
      <c r="H84" s="7888" t="s">
        <v>28</v>
      </c>
      <c r="I84" s="7888" t="s">
        <v>879</v>
      </c>
    </row>
    <row customHeight="1" ht="11.25">
      <c r="A85" s="7888" t="s">
        <v>2329</v>
      </c>
      <c r="B85" s="7888" t="s">
        <v>16</v>
      </c>
      <c r="C85" s="7888" t="s">
        <v>2627</v>
      </c>
      <c r="D85" s="7888" t="s">
        <v>2628</v>
      </c>
      <c r="E85" s="7888" t="s">
        <v>2427</v>
      </c>
      <c r="F85" s="7888" t="s">
        <v>2629</v>
      </c>
      <c r="G85" s="7888" t="s">
        <v>28</v>
      </c>
      <c r="H85" s="7888" t="s">
        <v>28</v>
      </c>
      <c r="I85" s="7888" t="s">
        <v>879</v>
      </c>
    </row>
    <row customHeight="1" ht="11.25">
      <c r="A86" s="7888" t="s">
        <v>2329</v>
      </c>
      <c r="B86" s="7888" t="s">
        <v>16</v>
      </c>
      <c r="C86" s="7888" t="s">
        <v>2630</v>
      </c>
      <c r="D86" s="7888" t="s">
        <v>2631</v>
      </c>
      <c r="E86" s="7888" t="s">
        <v>2632</v>
      </c>
      <c r="F86" s="7888" t="s">
        <v>2633</v>
      </c>
      <c r="G86" s="7888" t="s">
        <v>28</v>
      </c>
      <c r="H86" s="7888" t="s">
        <v>28</v>
      </c>
      <c r="I86" s="7888" t="s">
        <v>879</v>
      </c>
    </row>
    <row customHeight="1" ht="11.25">
      <c r="A87" s="7888" t="s">
        <v>2329</v>
      </c>
      <c r="B87" s="7888" t="s">
        <v>16</v>
      </c>
      <c r="C87" s="7888" t="s">
        <v>2634</v>
      </c>
      <c r="D87" s="7888" t="s">
        <v>2635</v>
      </c>
      <c r="E87" s="7888" t="s">
        <v>2636</v>
      </c>
      <c r="F87" s="7888" t="s">
        <v>2637</v>
      </c>
      <c r="G87" s="7888" t="s">
        <v>2638</v>
      </c>
      <c r="H87" s="7888" t="s">
        <v>28</v>
      </c>
      <c r="I87" s="7888" t="s">
        <v>879</v>
      </c>
    </row>
    <row customHeight="1" ht="11.25">
      <c r="A88" s="7888" t="s">
        <v>2329</v>
      </c>
      <c r="B88" s="7888" t="s">
        <v>16</v>
      </c>
      <c r="C88" s="7888" t="s">
        <v>2639</v>
      </c>
      <c r="D88" s="7888" t="s">
        <v>2640</v>
      </c>
      <c r="E88" s="7888" t="s">
        <v>2641</v>
      </c>
      <c r="F88" s="7888" t="s">
        <v>2390</v>
      </c>
      <c r="G88" s="7888" t="s">
        <v>28</v>
      </c>
      <c r="H88" s="7888" t="s">
        <v>28</v>
      </c>
      <c r="I88" s="7888" t="s">
        <v>879</v>
      </c>
    </row>
    <row customHeight="1" ht="11.25">
      <c r="A89" s="7888" t="s">
        <v>2329</v>
      </c>
      <c r="B89" s="7888" t="s">
        <v>16</v>
      </c>
      <c r="C89" s="7888" t="s">
        <v>2642</v>
      </c>
      <c r="D89" s="7888" t="s">
        <v>2643</v>
      </c>
      <c r="E89" s="7888" t="s">
        <v>2644</v>
      </c>
      <c r="F89" s="7888" t="s">
        <v>2458</v>
      </c>
      <c r="G89" s="7888" t="s">
        <v>28</v>
      </c>
      <c r="H89" s="7888" t="s">
        <v>28</v>
      </c>
      <c r="I89" s="7888" t="s">
        <v>879</v>
      </c>
    </row>
    <row customHeight="1" ht="11.25">
      <c r="A90" s="7888" t="s">
        <v>2329</v>
      </c>
      <c r="B90" s="7888" t="s">
        <v>16</v>
      </c>
      <c r="C90" s="7888" t="s">
        <v>2645</v>
      </c>
      <c r="D90" s="7888" t="s">
        <v>2646</v>
      </c>
      <c r="E90" s="7888" t="s">
        <v>2647</v>
      </c>
      <c r="F90" s="7888" t="s">
        <v>2458</v>
      </c>
      <c r="G90" s="7888" t="s">
        <v>28</v>
      </c>
      <c r="H90" s="7888" t="s">
        <v>28</v>
      </c>
      <c r="I90" s="7888" t="s">
        <v>879</v>
      </c>
    </row>
    <row customHeight="1" ht="11.25">
      <c r="A91" s="7888" t="s">
        <v>2329</v>
      </c>
      <c r="B91" s="7888" t="s">
        <v>16</v>
      </c>
      <c r="C91" s="7888" t="s">
        <v>2648</v>
      </c>
      <c r="D91" s="7888" t="s">
        <v>2649</v>
      </c>
      <c r="E91" s="7888" t="s">
        <v>2650</v>
      </c>
      <c r="F91" s="7888" t="s">
        <v>2445</v>
      </c>
      <c r="G91" s="7888" t="s">
        <v>28</v>
      </c>
      <c r="H91" s="7888" t="s">
        <v>28</v>
      </c>
      <c r="I91" s="7888" t="s">
        <v>879</v>
      </c>
    </row>
    <row customHeight="1" ht="11.25">
      <c r="A92" s="7888" t="s">
        <v>2329</v>
      </c>
      <c r="B92" s="7888" t="s">
        <v>16</v>
      </c>
      <c r="C92" s="7888" t="s">
        <v>2651</v>
      </c>
      <c r="D92" s="7888" t="s">
        <v>2652</v>
      </c>
      <c r="E92" s="7888" t="s">
        <v>2653</v>
      </c>
      <c r="F92" s="7888" t="s">
        <v>54</v>
      </c>
      <c r="G92" s="7888" t="s">
        <v>2654</v>
      </c>
      <c r="H92" s="7888" t="s">
        <v>28</v>
      </c>
      <c r="I92" s="7888" t="s">
        <v>879</v>
      </c>
    </row>
    <row customHeight="1" ht="11.25">
      <c r="A93" s="7888" t="s">
        <v>2329</v>
      </c>
      <c r="B93" s="7888" t="s">
        <v>16</v>
      </c>
      <c r="C93" s="7888" t="s">
        <v>2655</v>
      </c>
      <c r="D93" s="7888" t="s">
        <v>2656</v>
      </c>
      <c r="E93" s="7888" t="s">
        <v>2657</v>
      </c>
      <c r="F93" s="7888" t="s">
        <v>2478</v>
      </c>
      <c r="G93" s="7888" t="s">
        <v>2658</v>
      </c>
      <c r="H93" s="7888" t="s">
        <v>28</v>
      </c>
      <c r="I93" s="7888" t="s">
        <v>879</v>
      </c>
    </row>
    <row customHeight="1" ht="11.25">
      <c r="A94" s="7888" t="s">
        <v>2329</v>
      </c>
      <c r="B94" s="7888" t="s">
        <v>16</v>
      </c>
      <c r="C94" s="7888" t="s">
        <v>2659</v>
      </c>
      <c r="D94" s="7888" t="s">
        <v>2660</v>
      </c>
      <c r="E94" s="7888" t="s">
        <v>2661</v>
      </c>
      <c r="F94" s="7888" t="s">
        <v>2424</v>
      </c>
      <c r="G94" s="7888" t="s">
        <v>28</v>
      </c>
      <c r="H94" s="7888" t="s">
        <v>28</v>
      </c>
      <c r="I94" s="7888" t="s">
        <v>879</v>
      </c>
    </row>
    <row customHeight="1" ht="11.25">
      <c r="A95" s="7888" t="s">
        <v>2329</v>
      </c>
      <c r="B95" s="7888" t="s">
        <v>16</v>
      </c>
      <c r="C95" s="7888" t="s">
        <v>2662</v>
      </c>
      <c r="D95" s="7888" t="s">
        <v>2663</v>
      </c>
      <c r="E95" s="7888" t="s">
        <v>2664</v>
      </c>
      <c r="F95" s="7888" t="s">
        <v>2381</v>
      </c>
      <c r="G95" s="7888" t="s">
        <v>2665</v>
      </c>
      <c r="H95" s="7888" t="s">
        <v>28</v>
      </c>
      <c r="I95" s="7888" t="s">
        <v>879</v>
      </c>
    </row>
    <row customHeight="1" ht="11.25">
      <c r="A96" s="7888" t="s">
        <v>2329</v>
      </c>
      <c r="B96" s="7888" t="s">
        <v>16</v>
      </c>
      <c r="C96" s="7888" t="s">
        <v>2666</v>
      </c>
      <c r="D96" s="7888" t="s">
        <v>2667</v>
      </c>
      <c r="E96" s="7888" t="s">
        <v>2668</v>
      </c>
      <c r="F96" s="7888" t="s">
        <v>2445</v>
      </c>
      <c r="G96" s="7888" t="s">
        <v>28</v>
      </c>
      <c r="H96" s="7888" t="s">
        <v>28</v>
      </c>
      <c r="I96" s="7888" t="s">
        <v>879</v>
      </c>
    </row>
    <row customHeight="1" ht="11.25">
      <c r="A97" s="7888" t="s">
        <v>2329</v>
      </c>
      <c r="B97" s="7888" t="s">
        <v>16</v>
      </c>
      <c r="C97" s="7888" t="s">
        <v>2669</v>
      </c>
      <c r="D97" s="7888" t="s">
        <v>2670</v>
      </c>
      <c r="E97" s="7888" t="s">
        <v>2671</v>
      </c>
      <c r="F97" s="7888" t="s">
        <v>2338</v>
      </c>
      <c r="G97" s="7888" t="s">
        <v>2672</v>
      </c>
      <c r="H97" s="7888" t="s">
        <v>28</v>
      </c>
      <c r="I97" s="7888" t="s">
        <v>879</v>
      </c>
    </row>
    <row customHeight="1" ht="11.25">
      <c r="A98" s="7888" t="s">
        <v>2329</v>
      </c>
      <c r="B98" s="7888" t="s">
        <v>16</v>
      </c>
      <c r="C98" s="7888" t="s">
        <v>2673</v>
      </c>
      <c r="D98" s="7888" t="s">
        <v>2674</v>
      </c>
      <c r="E98" s="7888" t="s">
        <v>2675</v>
      </c>
      <c r="F98" s="7888" t="s">
        <v>2504</v>
      </c>
      <c r="G98" s="7888" t="s">
        <v>28</v>
      </c>
      <c r="H98" s="7888" t="s">
        <v>28</v>
      </c>
      <c r="I98" s="7888" t="s">
        <v>879</v>
      </c>
    </row>
    <row customHeight="1" ht="11.25">
      <c r="A99" s="7888" t="s">
        <v>2329</v>
      </c>
      <c r="B99" s="7888" t="s">
        <v>16</v>
      </c>
      <c r="C99" s="7888" t="s">
        <v>2676</v>
      </c>
      <c r="D99" s="7888" t="s">
        <v>2677</v>
      </c>
      <c r="E99" s="7888" t="s">
        <v>2678</v>
      </c>
      <c r="F99" s="7888" t="s">
        <v>2679</v>
      </c>
      <c r="G99" s="7888" t="s">
        <v>28</v>
      </c>
      <c r="H99" s="7888" t="s">
        <v>28</v>
      </c>
      <c r="I99" s="7888" t="s">
        <v>879</v>
      </c>
    </row>
    <row customHeight="1" ht="11.25">
      <c r="A100" s="7888" t="s">
        <v>2329</v>
      </c>
      <c r="B100" s="7888" t="s">
        <v>16</v>
      </c>
      <c r="C100" s="7888" t="s">
        <v>2680</v>
      </c>
      <c r="D100" s="7888" t="s">
        <v>2681</v>
      </c>
      <c r="E100" s="7888" t="s">
        <v>2682</v>
      </c>
      <c r="F100" s="7888" t="s">
        <v>2496</v>
      </c>
      <c r="G100" s="7888" t="s">
        <v>28</v>
      </c>
      <c r="H100" s="7888" t="s">
        <v>28</v>
      </c>
      <c r="I100" s="7888" t="s">
        <v>879</v>
      </c>
    </row>
    <row customHeight="1" ht="11.25">
      <c r="A101" s="7888" t="s">
        <v>2329</v>
      </c>
      <c r="B101" s="7888" t="s">
        <v>16</v>
      </c>
      <c r="C101" s="7888" t="s">
        <v>2683</v>
      </c>
      <c r="D101" s="7888" t="s">
        <v>2684</v>
      </c>
      <c r="E101" s="7888" t="s">
        <v>2685</v>
      </c>
      <c r="F101" s="7888" t="s">
        <v>2504</v>
      </c>
      <c r="G101" s="7888" t="s">
        <v>2686</v>
      </c>
      <c r="H101" s="7888" t="s">
        <v>28</v>
      </c>
      <c r="I101" s="7888" t="s">
        <v>879</v>
      </c>
    </row>
    <row customHeight="1" ht="11.25">
      <c r="A102" s="7888" t="s">
        <v>2329</v>
      </c>
      <c r="B102" s="7888" t="s">
        <v>16</v>
      </c>
      <c r="C102" s="7888" t="s">
        <v>2687</v>
      </c>
      <c r="D102" s="7888" t="s">
        <v>2688</v>
      </c>
      <c r="E102" s="7888" t="s">
        <v>2689</v>
      </c>
      <c r="F102" s="7888" t="s">
        <v>2478</v>
      </c>
      <c r="G102" s="7888" t="s">
        <v>2690</v>
      </c>
      <c r="H102" s="7888" t="s">
        <v>28</v>
      </c>
      <c r="I102" s="7888" t="s">
        <v>879</v>
      </c>
    </row>
    <row customHeight="1" ht="11.25">
      <c r="A103" s="7888" t="s">
        <v>2329</v>
      </c>
      <c r="B103" s="7888" t="s">
        <v>16</v>
      </c>
      <c r="C103" s="7888" t="s">
        <v>2691</v>
      </c>
      <c r="D103" s="7888" t="s">
        <v>2692</v>
      </c>
      <c r="E103" s="7888" t="s">
        <v>2693</v>
      </c>
      <c r="F103" s="7888" t="s">
        <v>2445</v>
      </c>
      <c r="G103" s="7888" t="s">
        <v>28</v>
      </c>
      <c r="H103" s="7888" t="s">
        <v>28</v>
      </c>
      <c r="I103" s="7888" t="s">
        <v>879</v>
      </c>
    </row>
    <row customHeight="1" ht="11.25">
      <c r="A104" s="7888" t="s">
        <v>2329</v>
      </c>
      <c r="B104" s="7888" t="s">
        <v>16</v>
      </c>
      <c r="C104" s="7888" t="s">
        <v>2694</v>
      </c>
      <c r="D104" s="7888" t="s">
        <v>2695</v>
      </c>
      <c r="E104" s="7888" t="s">
        <v>2696</v>
      </c>
      <c r="F104" s="7888" t="s">
        <v>2445</v>
      </c>
      <c r="G104" s="7888" t="s">
        <v>28</v>
      </c>
      <c r="H104" s="7888" t="s">
        <v>28</v>
      </c>
      <c r="I104" s="7888" t="s">
        <v>879</v>
      </c>
    </row>
    <row customHeight="1" ht="11.25">
      <c r="A105" s="7888" t="s">
        <v>2329</v>
      </c>
      <c r="B105" s="7888" t="s">
        <v>16</v>
      </c>
      <c r="C105" s="7888" t="s">
        <v>2697</v>
      </c>
      <c r="D105" s="7888" t="s">
        <v>2698</v>
      </c>
      <c r="E105" s="7888" t="s">
        <v>2699</v>
      </c>
      <c r="F105" s="7888" t="s">
        <v>2467</v>
      </c>
      <c r="G105" s="7888" t="s">
        <v>2700</v>
      </c>
      <c r="H105" s="7888" t="s">
        <v>28</v>
      </c>
      <c r="I105" s="7888" t="s">
        <v>879</v>
      </c>
    </row>
    <row customHeight="1" ht="11.25">
      <c r="A106" s="7888" t="s">
        <v>2329</v>
      </c>
      <c r="B106" s="7888" t="s">
        <v>16</v>
      </c>
      <c r="C106" s="7888" t="s">
        <v>2701</v>
      </c>
      <c r="D106" s="7888" t="s">
        <v>2702</v>
      </c>
      <c r="E106" s="7888" t="s">
        <v>2703</v>
      </c>
      <c r="F106" s="7888" t="s">
        <v>2338</v>
      </c>
      <c r="G106" s="7888" t="s">
        <v>28</v>
      </c>
      <c r="H106" s="7888" t="s">
        <v>28</v>
      </c>
      <c r="I106" s="7888" t="s">
        <v>879</v>
      </c>
    </row>
    <row customHeight="1" ht="11.25">
      <c r="A107" s="7888" t="s">
        <v>2329</v>
      </c>
      <c r="B107" s="7888" t="s">
        <v>16</v>
      </c>
      <c r="C107" s="7888" t="s">
        <v>2704</v>
      </c>
      <c r="D107" s="7888" t="s">
        <v>2705</v>
      </c>
      <c r="E107" s="7888" t="s">
        <v>2706</v>
      </c>
      <c r="F107" s="7888" t="s">
        <v>2707</v>
      </c>
      <c r="G107" s="7888" t="s">
        <v>28</v>
      </c>
      <c r="H107" s="7888" t="s">
        <v>28</v>
      </c>
      <c r="I107" s="7888" t="s">
        <v>879</v>
      </c>
    </row>
    <row customHeight="1" ht="11.25">
      <c r="A108" s="7888" t="s">
        <v>2329</v>
      </c>
      <c r="B108" s="7888" t="s">
        <v>16</v>
      </c>
      <c r="C108" s="7888" t="s">
        <v>2708</v>
      </c>
      <c r="D108" s="7888" t="s">
        <v>2709</v>
      </c>
      <c r="E108" s="7888" t="s">
        <v>2710</v>
      </c>
      <c r="F108" s="7888" t="s">
        <v>2707</v>
      </c>
      <c r="G108" s="7888" t="s">
        <v>28</v>
      </c>
      <c r="H108" s="7888" t="s">
        <v>28</v>
      </c>
      <c r="I108" s="7888" t="s">
        <v>879</v>
      </c>
    </row>
    <row customHeight="1" ht="11.25">
      <c r="A109" s="7888" t="s">
        <v>2329</v>
      </c>
      <c r="B109" s="7888" t="s">
        <v>16</v>
      </c>
      <c r="C109" s="7888" t="s">
        <v>2711</v>
      </c>
      <c r="D109" s="7888" t="s">
        <v>2712</v>
      </c>
      <c r="E109" s="7888" t="s">
        <v>2713</v>
      </c>
      <c r="F109" s="7888" t="s">
        <v>2381</v>
      </c>
      <c r="G109" s="7888" t="s">
        <v>2714</v>
      </c>
      <c r="H109" s="7888" t="s">
        <v>28</v>
      </c>
      <c r="I109" s="7888" t="s">
        <v>879</v>
      </c>
    </row>
    <row customHeight="1" ht="11.25">
      <c r="A110" s="7888" t="s">
        <v>2329</v>
      </c>
      <c r="B110" s="7888" t="s">
        <v>16</v>
      </c>
      <c r="C110" s="7888" t="s">
        <v>2715</v>
      </c>
      <c r="D110" s="7888" t="s">
        <v>2716</v>
      </c>
      <c r="E110" s="7888" t="s">
        <v>2717</v>
      </c>
      <c r="F110" s="7888" t="s">
        <v>54</v>
      </c>
      <c r="G110" s="7888" t="s">
        <v>28</v>
      </c>
      <c r="H110" s="7888" t="s">
        <v>28</v>
      </c>
      <c r="I110" s="7888" t="s">
        <v>879</v>
      </c>
    </row>
    <row customHeight="1" ht="11.25">
      <c r="A111" s="7888" t="s">
        <v>2329</v>
      </c>
      <c r="B111" s="7888" t="s">
        <v>16</v>
      </c>
      <c r="C111" s="7888" t="s">
        <v>2718</v>
      </c>
      <c r="D111" s="7888" t="s">
        <v>2719</v>
      </c>
      <c r="E111" s="7888" t="s">
        <v>2720</v>
      </c>
      <c r="F111" s="7888" t="s">
        <v>2496</v>
      </c>
      <c r="G111" s="7888" t="s">
        <v>2721</v>
      </c>
      <c r="H111" s="7888" t="s">
        <v>28</v>
      </c>
      <c r="I111" s="7888" t="s">
        <v>879</v>
      </c>
    </row>
    <row customHeight="1" ht="11.25">
      <c r="A112" s="7888" t="s">
        <v>2329</v>
      </c>
      <c r="B112" s="7888" t="s">
        <v>16</v>
      </c>
      <c r="C112" s="7888" t="s">
        <v>2722</v>
      </c>
      <c r="D112" s="7888" t="s">
        <v>2723</v>
      </c>
      <c r="E112" s="7888" t="s">
        <v>2724</v>
      </c>
      <c r="F112" s="7888" t="s">
        <v>2707</v>
      </c>
      <c r="G112" s="7888" t="s">
        <v>2725</v>
      </c>
      <c r="H112" s="7888" t="s">
        <v>28</v>
      </c>
      <c r="I112" s="7888" t="s">
        <v>879</v>
      </c>
    </row>
    <row customHeight="1" ht="11.25">
      <c r="A113" s="7888" t="s">
        <v>2329</v>
      </c>
      <c r="B113" s="7888" t="s">
        <v>16</v>
      </c>
      <c r="C113" s="7888" t="s">
        <v>2726</v>
      </c>
      <c r="D113" s="7888" t="s">
        <v>2727</v>
      </c>
      <c r="E113" s="7888" t="s">
        <v>2728</v>
      </c>
      <c r="F113" s="7888" t="s">
        <v>2504</v>
      </c>
      <c r="G113" s="7888" t="s">
        <v>28</v>
      </c>
      <c r="H113" s="7888" t="s">
        <v>28</v>
      </c>
      <c r="I113" s="7888" t="s">
        <v>879</v>
      </c>
    </row>
    <row customHeight="1" ht="11.25">
      <c r="A114" s="7888" t="s">
        <v>2329</v>
      </c>
      <c r="B114" s="7888" t="s">
        <v>16</v>
      </c>
      <c r="C114" s="7888" t="s">
        <v>2729</v>
      </c>
      <c r="D114" s="7888" t="s">
        <v>2730</v>
      </c>
      <c r="E114" s="7888" t="s">
        <v>2731</v>
      </c>
      <c r="F114" s="7888" t="s">
        <v>2504</v>
      </c>
      <c r="G114" s="7888" t="s">
        <v>2732</v>
      </c>
      <c r="H114" s="7888" t="s">
        <v>28</v>
      </c>
      <c r="I114" s="7888" t="s">
        <v>879</v>
      </c>
    </row>
    <row customHeight="1" ht="11.25">
      <c r="A115" s="7888" t="s">
        <v>2329</v>
      </c>
      <c r="B115" s="7888" t="s">
        <v>16</v>
      </c>
      <c r="C115" s="7888" t="s">
        <v>2733</v>
      </c>
      <c r="D115" s="7888" t="s">
        <v>2734</v>
      </c>
      <c r="E115" s="7888" t="s">
        <v>2735</v>
      </c>
      <c r="F115" s="7888" t="s">
        <v>2504</v>
      </c>
      <c r="G115" s="7888" t="s">
        <v>28</v>
      </c>
      <c r="H115" s="7888" t="s">
        <v>28</v>
      </c>
      <c r="I115" s="7888" t="s">
        <v>879</v>
      </c>
    </row>
    <row customHeight="1" ht="11.25">
      <c r="A116" s="7888" t="s">
        <v>2329</v>
      </c>
      <c r="B116" s="7888" t="s">
        <v>16</v>
      </c>
      <c r="C116" s="7888" t="s">
        <v>2736</v>
      </c>
      <c r="D116" s="7888" t="s">
        <v>2737</v>
      </c>
      <c r="E116" s="7888" t="s">
        <v>2738</v>
      </c>
      <c r="F116" s="7888" t="s">
        <v>2504</v>
      </c>
      <c r="G116" s="7888" t="s">
        <v>28</v>
      </c>
      <c r="H116" s="7888" t="s">
        <v>28</v>
      </c>
      <c r="I116" s="7888" t="s">
        <v>879</v>
      </c>
    </row>
    <row customHeight="1" ht="11.25">
      <c r="A117" s="7888" t="s">
        <v>2329</v>
      </c>
      <c r="B117" s="7888" t="s">
        <v>16</v>
      </c>
      <c r="C117" s="7888" t="s">
        <v>2739</v>
      </c>
      <c r="D117" s="7888" t="s">
        <v>2740</v>
      </c>
      <c r="E117" s="7888" t="s">
        <v>2741</v>
      </c>
      <c r="F117" s="7888" t="s">
        <v>2515</v>
      </c>
      <c r="G117" s="7888" t="s">
        <v>2742</v>
      </c>
      <c r="H117" s="7888" t="s">
        <v>28</v>
      </c>
      <c r="I117" s="7888" t="s">
        <v>879</v>
      </c>
    </row>
    <row customHeight="1" ht="11.25">
      <c r="A118" s="7888" t="s">
        <v>2329</v>
      </c>
      <c r="B118" s="7888" t="s">
        <v>16</v>
      </c>
      <c r="C118" s="7888" t="s">
        <v>2743</v>
      </c>
      <c r="D118" s="7888" t="s">
        <v>2744</v>
      </c>
      <c r="E118" s="7888" t="s">
        <v>2745</v>
      </c>
      <c r="F118" s="7888" t="s">
        <v>2504</v>
      </c>
      <c r="G118" s="7888" t="s">
        <v>28</v>
      </c>
      <c r="H118" s="7888" t="s">
        <v>28</v>
      </c>
      <c r="I118" s="7888" t="s">
        <v>879</v>
      </c>
    </row>
    <row customHeight="1" ht="11.25">
      <c r="A119" s="7888" t="s">
        <v>2329</v>
      </c>
      <c r="B119" s="7888" t="s">
        <v>16</v>
      </c>
      <c r="C119" s="7888" t="s">
        <v>2746</v>
      </c>
      <c r="D119" s="7888" t="s">
        <v>2747</v>
      </c>
      <c r="E119" s="7888" t="s">
        <v>2748</v>
      </c>
      <c r="F119" s="7888" t="s">
        <v>2679</v>
      </c>
      <c r="G119" s="7888" t="s">
        <v>28</v>
      </c>
      <c r="H119" s="7888" t="s">
        <v>28</v>
      </c>
      <c r="I119" s="7888" t="s">
        <v>879</v>
      </c>
    </row>
    <row customHeight="1" ht="11.25">
      <c r="A120" s="7888" t="s">
        <v>2329</v>
      </c>
      <c r="B120" s="7888" t="s">
        <v>16</v>
      </c>
      <c r="C120" s="7888" t="s">
        <v>2749</v>
      </c>
      <c r="D120" s="7888" t="s">
        <v>2750</v>
      </c>
      <c r="E120" s="7888" t="s">
        <v>2751</v>
      </c>
      <c r="F120" s="7888" t="s">
        <v>2679</v>
      </c>
      <c r="G120" s="7888" t="s">
        <v>28</v>
      </c>
      <c r="H120" s="7888" t="s">
        <v>28</v>
      </c>
      <c r="I120" s="7888" t="s">
        <v>879</v>
      </c>
    </row>
    <row customHeight="1" ht="11.25">
      <c r="A121" s="7888" t="s">
        <v>2329</v>
      </c>
      <c r="B121" s="7888" t="s">
        <v>16</v>
      </c>
      <c r="C121" s="7888" t="s">
        <v>2752</v>
      </c>
      <c r="D121" s="7888" t="s">
        <v>2753</v>
      </c>
      <c r="E121" s="7888" t="s">
        <v>2754</v>
      </c>
      <c r="F121" s="7888" t="s">
        <v>2405</v>
      </c>
      <c r="G121" s="7888" t="s">
        <v>28</v>
      </c>
      <c r="H121" s="7888" t="s">
        <v>28</v>
      </c>
      <c r="I121" s="7888" t="s">
        <v>879</v>
      </c>
    </row>
    <row customHeight="1" ht="11.25">
      <c r="A122" s="7888" t="s">
        <v>2329</v>
      </c>
      <c r="B122" s="7888" t="s">
        <v>16</v>
      </c>
      <c r="C122" s="7888" t="s">
        <v>2755</v>
      </c>
      <c r="D122" s="7888" t="s">
        <v>2756</v>
      </c>
      <c r="E122" s="7888" t="s">
        <v>2757</v>
      </c>
      <c r="F122" s="7888" t="s">
        <v>2707</v>
      </c>
      <c r="G122" s="7888" t="s">
        <v>2758</v>
      </c>
      <c r="H122" s="7888" t="s">
        <v>28</v>
      </c>
      <c r="I122" s="7888" t="s">
        <v>879</v>
      </c>
    </row>
    <row customHeight="1" ht="11.25">
      <c r="A123" s="7888" t="s">
        <v>2329</v>
      </c>
      <c r="B123" s="7888" t="s">
        <v>16</v>
      </c>
      <c r="C123" s="7888" t="s">
        <v>2759</v>
      </c>
      <c r="D123" s="7888" t="s">
        <v>2760</v>
      </c>
      <c r="E123" s="7888" t="s">
        <v>2761</v>
      </c>
      <c r="F123" s="7888" t="s">
        <v>2424</v>
      </c>
      <c r="G123" s="7888" t="s">
        <v>28</v>
      </c>
      <c r="H123" s="7888" t="s">
        <v>28</v>
      </c>
      <c r="I123" s="7888" t="s">
        <v>879</v>
      </c>
    </row>
    <row customHeight="1" ht="11.25">
      <c r="A124" s="7888" t="s">
        <v>2329</v>
      </c>
      <c r="B124" s="7888" t="s">
        <v>16</v>
      </c>
      <c r="C124" s="7888" t="s">
        <v>2762</v>
      </c>
      <c r="D124" s="7888" t="s">
        <v>2763</v>
      </c>
      <c r="E124" s="7888" t="s">
        <v>2764</v>
      </c>
      <c r="F124" s="7888" t="s">
        <v>2504</v>
      </c>
      <c r="G124" s="7888" t="s">
        <v>28</v>
      </c>
      <c r="H124" s="7888" t="s">
        <v>28</v>
      </c>
      <c r="I124" s="7888" t="s">
        <v>879</v>
      </c>
    </row>
    <row customHeight="1" ht="11.25">
      <c r="A125" s="7888" t="s">
        <v>2329</v>
      </c>
      <c r="B125" s="7888" t="s">
        <v>16</v>
      </c>
      <c r="C125" s="7888" t="s">
        <v>2765</v>
      </c>
      <c r="D125" s="7888" t="s">
        <v>2766</v>
      </c>
      <c r="E125" s="7888" t="s">
        <v>2767</v>
      </c>
      <c r="F125" s="7888" t="s">
        <v>2504</v>
      </c>
      <c r="G125" s="7888" t="s">
        <v>2768</v>
      </c>
      <c r="H125" s="7888" t="s">
        <v>28</v>
      </c>
      <c r="I125" s="7888" t="s">
        <v>879</v>
      </c>
    </row>
    <row customHeight="1" ht="11.25">
      <c r="A126" s="7888" t="s">
        <v>2329</v>
      </c>
      <c r="B126" s="7888" t="s">
        <v>16</v>
      </c>
      <c r="C126" s="7888" t="s">
        <v>2769</v>
      </c>
      <c r="D126" s="7888" t="s">
        <v>2770</v>
      </c>
      <c r="E126" s="7888" t="s">
        <v>2771</v>
      </c>
      <c r="F126" s="7888" t="s">
        <v>2381</v>
      </c>
      <c r="G126" s="7888" t="s">
        <v>2772</v>
      </c>
      <c r="H126" s="7888" t="s">
        <v>28</v>
      </c>
      <c r="I126" s="7888" t="s">
        <v>879</v>
      </c>
    </row>
    <row customHeight="1" ht="11.25">
      <c r="A127" s="7888" t="s">
        <v>2329</v>
      </c>
      <c r="B127" s="7888" t="s">
        <v>16</v>
      </c>
      <c r="C127" s="7888" t="s">
        <v>2773</v>
      </c>
      <c r="D127" s="7888" t="s">
        <v>2774</v>
      </c>
      <c r="E127" s="7888" t="s">
        <v>2775</v>
      </c>
      <c r="F127" s="7888" t="s">
        <v>2504</v>
      </c>
      <c r="G127" s="7888" t="s">
        <v>28</v>
      </c>
      <c r="H127" s="7888" t="s">
        <v>28</v>
      </c>
      <c r="I127" s="7888" t="s">
        <v>879</v>
      </c>
    </row>
    <row customHeight="1" ht="11.25">
      <c r="A128" s="7888" t="s">
        <v>2329</v>
      </c>
      <c r="B128" s="7888" t="s">
        <v>16</v>
      </c>
      <c r="C128" s="7888" t="s">
        <v>2776</v>
      </c>
      <c r="D128" s="7888" t="s">
        <v>2777</v>
      </c>
      <c r="E128" s="7888" t="s">
        <v>2778</v>
      </c>
      <c r="F128" s="7888" t="s">
        <v>2496</v>
      </c>
      <c r="G128" s="7888" t="s">
        <v>2779</v>
      </c>
      <c r="H128" s="7888" t="s">
        <v>2780</v>
      </c>
      <c r="I128" s="7888" t="s">
        <v>879</v>
      </c>
    </row>
    <row customHeight="1" ht="11.25">
      <c r="A129" s="7888" t="s">
        <v>2329</v>
      </c>
      <c r="B129" s="7888" t="s">
        <v>16</v>
      </c>
      <c r="C129" s="7888" t="s">
        <v>2781</v>
      </c>
      <c r="D129" s="7888" t="s">
        <v>2782</v>
      </c>
      <c r="E129" s="7888" t="s">
        <v>2783</v>
      </c>
      <c r="F129" s="7888" t="s">
        <v>2458</v>
      </c>
      <c r="G129" s="7888" t="s">
        <v>2784</v>
      </c>
      <c r="H129" s="7888" t="s">
        <v>2785</v>
      </c>
      <c r="I129" s="7888" t="s">
        <v>879</v>
      </c>
    </row>
    <row customHeight="1" ht="11.25">
      <c r="A130" s="7888" t="s">
        <v>2329</v>
      </c>
      <c r="B130" s="7888" t="s">
        <v>16</v>
      </c>
      <c r="C130" s="7888" t="s">
        <v>2786</v>
      </c>
      <c r="D130" s="7888" t="s">
        <v>2787</v>
      </c>
      <c r="E130" s="7888" t="s">
        <v>2788</v>
      </c>
      <c r="F130" s="7888" t="s">
        <v>2515</v>
      </c>
      <c r="G130" s="7888" t="s">
        <v>2789</v>
      </c>
      <c r="H130" s="7888" t="s">
        <v>28</v>
      </c>
      <c r="I130" s="7888" t="s">
        <v>879</v>
      </c>
    </row>
    <row customHeight="1" ht="11.25">
      <c r="A131" s="7888" t="s">
        <v>2329</v>
      </c>
      <c r="B131" s="7888" t="s">
        <v>16</v>
      </c>
      <c r="C131" s="7888" t="s">
        <v>2790</v>
      </c>
      <c r="D131" s="7888" t="s">
        <v>2791</v>
      </c>
      <c r="E131" s="7888" t="s">
        <v>2792</v>
      </c>
      <c r="F131" s="7888" t="s">
        <v>2546</v>
      </c>
      <c r="G131" s="7888" t="s">
        <v>2793</v>
      </c>
      <c r="H131" s="7888" t="s">
        <v>28</v>
      </c>
      <c r="I131" s="7888" t="s">
        <v>879</v>
      </c>
    </row>
    <row customHeight="1" ht="11.25">
      <c r="A132" s="7888" t="s">
        <v>2329</v>
      </c>
      <c r="B132" s="7888" t="s">
        <v>16</v>
      </c>
      <c r="C132" s="7888" t="s">
        <v>2794</v>
      </c>
      <c r="D132" s="7888" t="s">
        <v>2795</v>
      </c>
      <c r="E132" s="7888" t="s">
        <v>2796</v>
      </c>
      <c r="F132" s="7888" t="s">
        <v>2797</v>
      </c>
      <c r="G132" s="7888" t="s">
        <v>2798</v>
      </c>
      <c r="H132" s="7888" t="s">
        <v>28</v>
      </c>
      <c r="I132" s="7888" t="s">
        <v>879</v>
      </c>
    </row>
    <row customHeight="1" ht="11.25">
      <c r="A133" s="7888" t="s">
        <v>2329</v>
      </c>
      <c r="B133" s="7888" t="s">
        <v>16</v>
      </c>
      <c r="C133" s="7888" t="s">
        <v>2799</v>
      </c>
      <c r="D133" s="7888" t="s">
        <v>2800</v>
      </c>
      <c r="E133" s="7888" t="s">
        <v>2801</v>
      </c>
      <c r="F133" s="7888" t="s">
        <v>2496</v>
      </c>
      <c r="G133" s="7888" t="s">
        <v>28</v>
      </c>
      <c r="H133" s="7888" t="s">
        <v>28</v>
      </c>
      <c r="I133" s="7888" t="s">
        <v>879</v>
      </c>
    </row>
    <row customHeight="1" ht="11.25">
      <c r="A134" s="7888" t="s">
        <v>2329</v>
      </c>
      <c r="B134" s="7888" t="s">
        <v>16</v>
      </c>
      <c r="C134" s="7888" t="s">
        <v>2802</v>
      </c>
      <c r="D134" s="7888" t="s">
        <v>2803</v>
      </c>
      <c r="E134" s="7888" t="s">
        <v>2804</v>
      </c>
      <c r="F134" s="7888" t="s">
        <v>2381</v>
      </c>
      <c r="G134" s="7888" t="s">
        <v>2805</v>
      </c>
      <c r="H134" s="7888" t="s">
        <v>28</v>
      </c>
      <c r="I134" s="7888" t="s">
        <v>879</v>
      </c>
    </row>
    <row customHeight="1" ht="11.25">
      <c r="A135" s="7888" t="s">
        <v>2329</v>
      </c>
      <c r="B135" s="7888" t="s">
        <v>16</v>
      </c>
      <c r="C135" s="7888" t="s">
        <v>2806</v>
      </c>
      <c r="D135" s="7888" t="s">
        <v>2807</v>
      </c>
      <c r="E135" s="7888" t="s">
        <v>2808</v>
      </c>
      <c r="F135" s="7888" t="s">
        <v>2504</v>
      </c>
      <c r="G135" s="7888" t="s">
        <v>28</v>
      </c>
      <c r="H135" s="7888" t="s">
        <v>28</v>
      </c>
      <c r="I135" s="7888" t="s">
        <v>879</v>
      </c>
    </row>
    <row customHeight="1" ht="11.25">
      <c r="A136" s="7888" t="s">
        <v>2329</v>
      </c>
      <c r="B136" s="7888" t="s">
        <v>16</v>
      </c>
      <c r="C136" s="7888" t="s">
        <v>2809</v>
      </c>
      <c r="D136" s="7888" t="s">
        <v>2810</v>
      </c>
      <c r="E136" s="7888" t="s">
        <v>2811</v>
      </c>
      <c r="F136" s="7888" t="s">
        <v>2445</v>
      </c>
      <c r="G136" s="7888" t="s">
        <v>28</v>
      </c>
      <c r="H136" s="7888" t="s">
        <v>28</v>
      </c>
      <c r="I136" s="7888" t="s">
        <v>879</v>
      </c>
    </row>
    <row customHeight="1" ht="11.25">
      <c r="A137" s="7888" t="s">
        <v>2329</v>
      </c>
      <c r="B137" s="7888" t="s">
        <v>16</v>
      </c>
      <c r="C137" s="7888" t="s">
        <v>2812</v>
      </c>
      <c r="D137" s="7888" t="s">
        <v>2813</v>
      </c>
      <c r="E137" s="7888" t="s">
        <v>2814</v>
      </c>
      <c r="F137" s="7888" t="s">
        <v>2405</v>
      </c>
      <c r="G137" s="7888" t="s">
        <v>28</v>
      </c>
      <c r="H137" s="7888" t="s">
        <v>28</v>
      </c>
      <c r="I137" s="7888" t="s">
        <v>879</v>
      </c>
    </row>
    <row customHeight="1" ht="11.25">
      <c r="A138" s="7888" t="s">
        <v>2329</v>
      </c>
      <c r="B138" s="7888" t="s">
        <v>16</v>
      </c>
      <c r="C138" s="7888" t="s">
        <v>2815</v>
      </c>
      <c r="D138" s="7888" t="s">
        <v>2816</v>
      </c>
      <c r="E138" s="7888" t="s">
        <v>2817</v>
      </c>
      <c r="F138" s="7888" t="s">
        <v>2463</v>
      </c>
      <c r="G138" s="7888" t="s">
        <v>2818</v>
      </c>
      <c r="H138" s="7888" t="s">
        <v>28</v>
      </c>
      <c r="I138" s="7888" t="s">
        <v>879</v>
      </c>
    </row>
    <row customHeight="1" ht="11.25">
      <c r="A139" s="7888" t="s">
        <v>2329</v>
      </c>
      <c r="B139" s="7888" t="s">
        <v>16</v>
      </c>
      <c r="C139" s="7888" t="s">
        <v>2819</v>
      </c>
      <c r="D139" s="7888" t="s">
        <v>2820</v>
      </c>
      <c r="E139" s="7888" t="s">
        <v>2821</v>
      </c>
      <c r="F139" s="7888" t="s">
        <v>2458</v>
      </c>
      <c r="G139" s="7888" t="s">
        <v>2822</v>
      </c>
      <c r="H139" s="7888" t="s">
        <v>2823</v>
      </c>
      <c r="I139" s="7888" t="s">
        <v>879</v>
      </c>
    </row>
    <row customHeight="1" ht="11.25">
      <c r="A140" s="7888" t="s">
        <v>2329</v>
      </c>
      <c r="B140" s="7888" t="s">
        <v>16</v>
      </c>
      <c r="C140" s="7888" t="s">
        <v>2824</v>
      </c>
      <c r="D140" s="7888" t="s">
        <v>2825</v>
      </c>
      <c r="E140" s="7888" t="s">
        <v>2826</v>
      </c>
      <c r="F140" s="7888" t="s">
        <v>2381</v>
      </c>
      <c r="G140" s="7888" t="s">
        <v>2827</v>
      </c>
      <c r="H140" s="7888" t="s">
        <v>28</v>
      </c>
      <c r="I140" s="7888" t="s">
        <v>879</v>
      </c>
    </row>
    <row customHeight="1" ht="11.25">
      <c r="A141" s="7888" t="s">
        <v>2329</v>
      </c>
      <c r="B141" s="7888" t="s">
        <v>16</v>
      </c>
      <c r="C141" s="7888" t="s">
        <v>2828</v>
      </c>
      <c r="D141" s="7888" t="s">
        <v>2829</v>
      </c>
      <c r="E141" s="7888" t="s">
        <v>2830</v>
      </c>
      <c r="F141" s="7888" t="s">
        <v>2679</v>
      </c>
      <c r="G141" s="7888" t="s">
        <v>2831</v>
      </c>
      <c r="H141" s="7888" t="s">
        <v>28</v>
      </c>
      <c r="I141" s="7888" t="s">
        <v>879</v>
      </c>
    </row>
    <row customHeight="1" ht="11.25">
      <c r="A142" s="7888" t="s">
        <v>2329</v>
      </c>
      <c r="B142" s="7888" t="s">
        <v>16</v>
      </c>
      <c r="C142" s="7888" t="s">
        <v>2832</v>
      </c>
      <c r="D142" s="7888" t="s">
        <v>2833</v>
      </c>
      <c r="E142" s="7888" t="s">
        <v>2834</v>
      </c>
      <c r="F142" s="7888" t="s">
        <v>2381</v>
      </c>
      <c r="G142" s="7888" t="s">
        <v>2835</v>
      </c>
      <c r="H142" s="7888" t="s">
        <v>28</v>
      </c>
      <c r="I142" s="7888" t="s">
        <v>879</v>
      </c>
    </row>
    <row customHeight="1" ht="11.25">
      <c r="A143" s="7888" t="s">
        <v>2329</v>
      </c>
      <c r="B143" s="7888" t="s">
        <v>16</v>
      </c>
      <c r="C143" s="7888" t="s">
        <v>2836</v>
      </c>
      <c r="D143" s="7888" t="s">
        <v>2837</v>
      </c>
      <c r="E143" s="7888" t="s">
        <v>2838</v>
      </c>
      <c r="F143" s="7888" t="s">
        <v>2679</v>
      </c>
      <c r="G143" s="7888" t="s">
        <v>2839</v>
      </c>
      <c r="H143" s="7888" t="s">
        <v>28</v>
      </c>
      <c r="I143" s="7888" t="s">
        <v>879</v>
      </c>
    </row>
    <row customHeight="1" ht="11.25">
      <c r="A144" s="7888" t="s">
        <v>2329</v>
      </c>
      <c r="B144" s="7888" t="s">
        <v>16</v>
      </c>
      <c r="C144" s="7888" t="s">
        <v>2840</v>
      </c>
      <c r="D144" s="7888" t="s">
        <v>2841</v>
      </c>
      <c r="E144" s="7888" t="s">
        <v>2842</v>
      </c>
      <c r="F144" s="7888" t="s">
        <v>2467</v>
      </c>
      <c r="G144" s="7888" t="s">
        <v>2843</v>
      </c>
      <c r="H144" s="7888" t="s">
        <v>28</v>
      </c>
      <c r="I144" s="7888" t="s">
        <v>879</v>
      </c>
    </row>
    <row customHeight="1" ht="11.25">
      <c r="A145" s="7888" t="s">
        <v>2329</v>
      </c>
      <c r="B145" s="7888" t="s">
        <v>16</v>
      </c>
      <c r="C145" s="7888" t="s">
        <v>2844</v>
      </c>
      <c r="D145" s="7888" t="s">
        <v>2845</v>
      </c>
      <c r="E145" s="7888" t="s">
        <v>2846</v>
      </c>
      <c r="F145" s="7888" t="s">
        <v>2707</v>
      </c>
      <c r="G145" s="7888" t="s">
        <v>28</v>
      </c>
      <c r="H145" s="7888" t="s">
        <v>28</v>
      </c>
      <c r="I145" s="7888" t="s">
        <v>879</v>
      </c>
    </row>
    <row customHeight="1" ht="11.25">
      <c r="A146" s="7888" t="s">
        <v>2329</v>
      </c>
      <c r="B146" s="7888" t="s">
        <v>16</v>
      </c>
      <c r="C146" s="7888" t="s">
        <v>2847</v>
      </c>
      <c r="D146" s="7888" t="s">
        <v>2848</v>
      </c>
      <c r="E146" s="7888" t="s">
        <v>2849</v>
      </c>
      <c r="F146" s="7888" t="s">
        <v>2707</v>
      </c>
      <c r="G146" s="7888" t="s">
        <v>28</v>
      </c>
      <c r="H146" s="7888" t="s">
        <v>28</v>
      </c>
      <c r="I146" s="7888" t="s">
        <v>879</v>
      </c>
    </row>
    <row customHeight="1" ht="11.25">
      <c r="A147" s="7888" t="s">
        <v>2329</v>
      </c>
      <c r="B147" s="7888" t="s">
        <v>16</v>
      </c>
      <c r="C147" s="7888" t="s">
        <v>2850</v>
      </c>
      <c r="D147" s="7888" t="s">
        <v>2851</v>
      </c>
      <c r="E147" s="7888" t="s">
        <v>2852</v>
      </c>
      <c r="F147" s="7888" t="s">
        <v>2424</v>
      </c>
      <c r="G147" s="7888" t="s">
        <v>2853</v>
      </c>
      <c r="H147" s="7888" t="s">
        <v>28</v>
      </c>
      <c r="I147" s="7888" t="s">
        <v>879</v>
      </c>
    </row>
    <row customHeight="1" ht="11.25">
      <c r="A148" s="7888" t="s">
        <v>2329</v>
      </c>
      <c r="B148" s="7888" t="s">
        <v>16</v>
      </c>
      <c r="C148" s="7888" t="s">
        <v>2854</v>
      </c>
      <c r="D148" s="7888" t="s">
        <v>2855</v>
      </c>
      <c r="E148" s="7888" t="s">
        <v>2856</v>
      </c>
      <c r="F148" s="7888" t="s">
        <v>2478</v>
      </c>
      <c r="G148" s="7888" t="s">
        <v>28</v>
      </c>
      <c r="H148" s="7888" t="s">
        <v>28</v>
      </c>
      <c r="I148" s="7888" t="s">
        <v>879</v>
      </c>
    </row>
    <row customHeight="1" ht="11.25">
      <c r="A149" s="7888" t="s">
        <v>2329</v>
      </c>
      <c r="B149" s="7888" t="s">
        <v>16</v>
      </c>
      <c r="C149" s="7888" t="s">
        <v>2857</v>
      </c>
      <c r="D149" s="7888" t="s">
        <v>2858</v>
      </c>
      <c r="E149" s="7888" t="s">
        <v>2859</v>
      </c>
      <c r="F149" s="7888" t="s">
        <v>2478</v>
      </c>
      <c r="G149" s="7888" t="s">
        <v>28</v>
      </c>
      <c r="H149" s="7888" t="s">
        <v>28</v>
      </c>
      <c r="I149" s="7888" t="s">
        <v>879</v>
      </c>
    </row>
    <row customHeight="1" ht="11.25">
      <c r="A150" s="7888" t="s">
        <v>2329</v>
      </c>
      <c r="B150" s="7888" t="s">
        <v>16</v>
      </c>
      <c r="C150" s="7888" t="s">
        <v>2860</v>
      </c>
      <c r="D150" s="7888" t="s">
        <v>2861</v>
      </c>
      <c r="E150" s="7888" t="s">
        <v>2862</v>
      </c>
      <c r="F150" s="7888" t="s">
        <v>2504</v>
      </c>
      <c r="G150" s="7888" t="s">
        <v>2863</v>
      </c>
      <c r="H150" s="7888" t="s">
        <v>28</v>
      </c>
      <c r="I150" s="7888" t="s">
        <v>879</v>
      </c>
    </row>
    <row customHeight="1" ht="11.25">
      <c r="A151" s="7888" t="s">
        <v>2329</v>
      </c>
      <c r="B151" s="7888" t="s">
        <v>16</v>
      </c>
      <c r="C151" s="7888" t="s">
        <v>2864</v>
      </c>
      <c r="D151" s="7888" t="s">
        <v>2865</v>
      </c>
      <c r="E151" s="7888" t="s">
        <v>2866</v>
      </c>
      <c r="F151" s="7888" t="s">
        <v>54</v>
      </c>
      <c r="G151" s="7888" t="s">
        <v>28</v>
      </c>
      <c r="H151" s="7888" t="s">
        <v>28</v>
      </c>
      <c r="I151" s="7888" t="s">
        <v>879</v>
      </c>
    </row>
    <row customHeight="1" ht="11.25">
      <c r="A152" s="7888" t="s">
        <v>2329</v>
      </c>
      <c r="B152" s="7888" t="s">
        <v>16</v>
      </c>
      <c r="C152" s="7888" t="s">
        <v>2867</v>
      </c>
      <c r="D152" s="7888" t="s">
        <v>2868</v>
      </c>
      <c r="E152" s="7888" t="s">
        <v>2869</v>
      </c>
      <c r="F152" s="7888" t="s">
        <v>2524</v>
      </c>
      <c r="G152" s="7888" t="s">
        <v>2870</v>
      </c>
      <c r="H152" s="7888" t="s">
        <v>28</v>
      </c>
      <c r="I152" s="7888" t="s">
        <v>879</v>
      </c>
    </row>
    <row customHeight="1" ht="11.25">
      <c r="A153" s="7888" t="s">
        <v>2329</v>
      </c>
      <c r="B153" s="7888" t="s">
        <v>16</v>
      </c>
      <c r="C153" s="7888" t="s">
        <v>2871</v>
      </c>
      <c r="D153" s="7888" t="s">
        <v>2872</v>
      </c>
      <c r="E153" s="7888" t="s">
        <v>2873</v>
      </c>
      <c r="F153" s="7888" t="s">
        <v>2458</v>
      </c>
      <c r="G153" s="7888" t="s">
        <v>2874</v>
      </c>
      <c r="H153" s="7888" t="s">
        <v>28</v>
      </c>
      <c r="I153" s="7888" t="s">
        <v>879</v>
      </c>
    </row>
    <row customHeight="1" ht="11.25">
      <c r="A154" s="7888" t="s">
        <v>2329</v>
      </c>
      <c r="B154" s="7888" t="s">
        <v>16</v>
      </c>
      <c r="C154" s="7888" t="s">
        <v>2875</v>
      </c>
      <c r="D154" s="7888" t="s">
        <v>2876</v>
      </c>
      <c r="E154" s="7888" t="s">
        <v>2877</v>
      </c>
      <c r="F154" s="7888" t="s">
        <v>2504</v>
      </c>
      <c r="G154" s="7888" t="s">
        <v>2686</v>
      </c>
      <c r="H154" s="7888" t="s">
        <v>28</v>
      </c>
      <c r="I154" s="7888" t="s">
        <v>879</v>
      </c>
    </row>
    <row customHeight="1" ht="11.25">
      <c r="A155" s="7888" t="s">
        <v>2329</v>
      </c>
      <c r="B155" s="7888" t="s">
        <v>16</v>
      </c>
      <c r="C155" s="7888" t="s">
        <v>2878</v>
      </c>
      <c r="D155" s="7888" t="s">
        <v>2879</v>
      </c>
      <c r="E155" s="7888" t="s">
        <v>2880</v>
      </c>
      <c r="F155" s="7888" t="s">
        <v>2707</v>
      </c>
      <c r="G155" s="7888" t="s">
        <v>28</v>
      </c>
      <c r="H155" s="7888" t="s">
        <v>28</v>
      </c>
      <c r="I155" s="7888" t="s">
        <v>879</v>
      </c>
    </row>
    <row customHeight="1" ht="11.25">
      <c r="A156" s="7888" t="s">
        <v>2329</v>
      </c>
      <c r="B156" s="7888" t="s">
        <v>16</v>
      </c>
      <c r="C156" s="7888" t="s">
        <v>2881</v>
      </c>
      <c r="D156" s="7888" t="s">
        <v>2882</v>
      </c>
      <c r="E156" s="7888" t="s">
        <v>2883</v>
      </c>
      <c r="F156" s="7888" t="s">
        <v>2454</v>
      </c>
      <c r="G156" s="7888" t="s">
        <v>28</v>
      </c>
      <c r="H156" s="7888" t="s">
        <v>28</v>
      </c>
      <c r="I156" s="7888" t="s">
        <v>879</v>
      </c>
    </row>
    <row customHeight="1" ht="11.25">
      <c r="A157" s="7888" t="s">
        <v>2329</v>
      </c>
      <c r="B157" s="7888" t="s">
        <v>16</v>
      </c>
      <c r="C157" s="7888" t="s">
        <v>2884</v>
      </c>
      <c r="D157" s="7888" t="s">
        <v>2885</v>
      </c>
      <c r="E157" s="7888" t="s">
        <v>2886</v>
      </c>
      <c r="F157" s="7888" t="s">
        <v>2637</v>
      </c>
      <c r="G157" s="7888" t="s">
        <v>2887</v>
      </c>
      <c r="H157" s="7888" t="s">
        <v>28</v>
      </c>
      <c r="I157" s="7888" t="s">
        <v>879</v>
      </c>
    </row>
    <row customHeight="1" ht="11.25">
      <c r="A158" s="7888" t="s">
        <v>2329</v>
      </c>
      <c r="B158" s="7888" t="s">
        <v>16</v>
      </c>
      <c r="C158" s="7888" t="s">
        <v>2888</v>
      </c>
      <c r="D158" s="7888" t="s">
        <v>2889</v>
      </c>
      <c r="E158" s="7888" t="s">
        <v>2890</v>
      </c>
      <c r="F158" s="7888" t="s">
        <v>2467</v>
      </c>
      <c r="G158" s="7888" t="s">
        <v>2401</v>
      </c>
      <c r="H158" s="7888" t="s">
        <v>28</v>
      </c>
      <c r="I158" s="7888" t="s">
        <v>879</v>
      </c>
    </row>
    <row customHeight="1" ht="11.25">
      <c r="A159" s="7888" t="s">
        <v>2329</v>
      </c>
      <c r="B159" s="7888" t="s">
        <v>16</v>
      </c>
      <c r="C159" s="7888" t="s">
        <v>2891</v>
      </c>
      <c r="D159" s="7888" t="s">
        <v>2892</v>
      </c>
      <c r="E159" s="7888" t="s">
        <v>2893</v>
      </c>
      <c r="F159" s="7888" t="s">
        <v>2707</v>
      </c>
      <c r="G159" s="7888" t="s">
        <v>28</v>
      </c>
      <c r="H159" s="7888" t="s">
        <v>28</v>
      </c>
      <c r="I159" s="7888" t="s">
        <v>879</v>
      </c>
    </row>
    <row customHeight="1" ht="11.25">
      <c r="A160" s="7888" t="s">
        <v>2329</v>
      </c>
      <c r="B160" s="7888" t="s">
        <v>16</v>
      </c>
      <c r="C160" s="7888" t="s">
        <v>2894</v>
      </c>
      <c r="D160" s="7888" t="s">
        <v>2895</v>
      </c>
      <c r="E160" s="7888" t="s">
        <v>2896</v>
      </c>
      <c r="F160" s="7888" t="s">
        <v>54</v>
      </c>
      <c r="G160" s="7888" t="s">
        <v>2600</v>
      </c>
      <c r="H160" s="7888" t="s">
        <v>28</v>
      </c>
      <c r="I160" s="7888" t="s">
        <v>879</v>
      </c>
    </row>
    <row customHeight="1" ht="11.25">
      <c r="A161" s="7888" t="s">
        <v>2329</v>
      </c>
      <c r="B161" s="7888" t="s">
        <v>16</v>
      </c>
      <c r="C161" s="7888" t="s">
        <v>2897</v>
      </c>
      <c r="D161" s="7888" t="s">
        <v>2898</v>
      </c>
      <c r="E161" s="7888" t="s">
        <v>2899</v>
      </c>
      <c r="F161" s="7888" t="s">
        <v>54</v>
      </c>
      <c r="G161" s="7888" t="s">
        <v>2900</v>
      </c>
      <c r="H161" s="7888" t="s">
        <v>28</v>
      </c>
      <c r="I161" s="7888" t="s">
        <v>879</v>
      </c>
    </row>
    <row customHeight="1" ht="11.25">
      <c r="A162" s="7888" t="s">
        <v>2329</v>
      </c>
      <c r="B162" s="7888" t="s">
        <v>16</v>
      </c>
      <c r="C162" s="7888" t="s">
        <v>2901</v>
      </c>
      <c r="D162" s="7888" t="s">
        <v>2902</v>
      </c>
      <c r="E162" s="7888" t="s">
        <v>2903</v>
      </c>
      <c r="F162" s="7888" t="s">
        <v>2405</v>
      </c>
      <c r="G162" s="7888" t="s">
        <v>2904</v>
      </c>
      <c r="H162" s="7888" t="s">
        <v>28</v>
      </c>
      <c r="I162" s="7888" t="s">
        <v>879</v>
      </c>
    </row>
    <row customHeight="1" ht="11.25">
      <c r="A163" s="7888" t="s">
        <v>2329</v>
      </c>
      <c r="B163" s="7888" t="s">
        <v>16</v>
      </c>
      <c r="C163" s="7888" t="s">
        <v>2905</v>
      </c>
      <c r="D163" s="7888" t="s">
        <v>2906</v>
      </c>
      <c r="E163" s="7888" t="s">
        <v>2907</v>
      </c>
      <c r="F163" s="7888" t="s">
        <v>2496</v>
      </c>
      <c r="G163" s="7888" t="s">
        <v>28</v>
      </c>
      <c r="H163" s="7888" t="s">
        <v>28</v>
      </c>
      <c r="I163" s="7888" t="s">
        <v>879</v>
      </c>
    </row>
    <row customHeight="1" ht="11.25">
      <c r="A164" s="7888" t="s">
        <v>2329</v>
      </c>
      <c r="B164" s="7888" t="s">
        <v>16</v>
      </c>
      <c r="C164" s="7888" t="s">
        <v>2908</v>
      </c>
      <c r="D164" s="7888" t="s">
        <v>2909</v>
      </c>
      <c r="E164" s="7888" t="s">
        <v>2910</v>
      </c>
      <c r="F164" s="7888" t="s">
        <v>2911</v>
      </c>
      <c r="G164" s="7888" t="s">
        <v>2912</v>
      </c>
      <c r="H164" s="7888" t="s">
        <v>28</v>
      </c>
      <c r="I164" s="7888" t="s">
        <v>879</v>
      </c>
    </row>
    <row customHeight="1" ht="11.25">
      <c r="A165" s="7888" t="s">
        <v>2329</v>
      </c>
      <c r="B165" s="7888" t="s">
        <v>16</v>
      </c>
      <c r="C165" s="7888" t="s">
        <v>2913</v>
      </c>
      <c r="D165" s="7888" t="s">
        <v>2914</v>
      </c>
      <c r="E165" s="7888" t="s">
        <v>2915</v>
      </c>
      <c r="F165" s="7888" t="s">
        <v>2546</v>
      </c>
      <c r="G165" s="7888" t="s">
        <v>28</v>
      </c>
      <c r="H165" s="7888" t="s">
        <v>28</v>
      </c>
      <c r="I165" s="7888" t="s">
        <v>879</v>
      </c>
    </row>
    <row customHeight="1" ht="11.25">
      <c r="A166" s="7888" t="s">
        <v>2329</v>
      </c>
      <c r="B166" s="7888" t="s">
        <v>16</v>
      </c>
      <c r="C166" s="7888" t="s">
        <v>2916</v>
      </c>
      <c r="D166" s="7888" t="s">
        <v>2917</v>
      </c>
      <c r="E166" s="7888" t="s">
        <v>2918</v>
      </c>
      <c r="F166" s="7888" t="s">
        <v>2496</v>
      </c>
      <c r="G166" s="7888" t="s">
        <v>28</v>
      </c>
      <c r="H166" s="7888" t="s">
        <v>28</v>
      </c>
      <c r="I166" s="7888" t="s">
        <v>879</v>
      </c>
    </row>
    <row customHeight="1" ht="11.25">
      <c r="A167" s="7888" t="s">
        <v>2329</v>
      </c>
      <c r="B167" s="7888" t="s">
        <v>16</v>
      </c>
      <c r="C167" s="7888" t="s">
        <v>2919</v>
      </c>
      <c r="D167" s="7888" t="s">
        <v>2920</v>
      </c>
      <c r="E167" s="7888" t="s">
        <v>2921</v>
      </c>
      <c r="F167" s="7888" t="s">
        <v>54</v>
      </c>
      <c r="G167" s="7888" t="s">
        <v>28</v>
      </c>
      <c r="H167" s="7888" t="s">
        <v>28</v>
      </c>
      <c r="I167" s="7888" t="s">
        <v>879</v>
      </c>
    </row>
    <row customHeight="1" ht="11.25">
      <c r="A168" s="7888" t="s">
        <v>2329</v>
      </c>
      <c r="B168" s="7888" t="s">
        <v>16</v>
      </c>
      <c r="C168" s="7888" t="s">
        <v>2922</v>
      </c>
      <c r="D168" s="7888" t="s">
        <v>2923</v>
      </c>
      <c r="E168" s="7888" t="s">
        <v>2924</v>
      </c>
      <c r="F168" s="7888" t="s">
        <v>2394</v>
      </c>
      <c r="G168" s="7888" t="s">
        <v>2925</v>
      </c>
      <c r="H168" s="7888" t="s">
        <v>28</v>
      </c>
      <c r="I168" s="7888" t="s">
        <v>879</v>
      </c>
    </row>
    <row customHeight="1" ht="11.25">
      <c r="A169" s="7888" t="s">
        <v>2329</v>
      </c>
      <c r="B169" s="7888" t="s">
        <v>16</v>
      </c>
      <c r="C169" s="7888" t="s">
        <v>2926</v>
      </c>
      <c r="D169" s="7888" t="s">
        <v>2927</v>
      </c>
      <c r="E169" s="7888" t="s">
        <v>2928</v>
      </c>
      <c r="F169" s="7888" t="s">
        <v>54</v>
      </c>
      <c r="G169" s="7888" t="s">
        <v>28</v>
      </c>
      <c r="H169" s="7888" t="s">
        <v>28</v>
      </c>
      <c r="I169" s="7888" t="s">
        <v>879</v>
      </c>
    </row>
    <row customHeight="1" ht="11.25">
      <c r="A170" s="7888" t="s">
        <v>2329</v>
      </c>
      <c r="B170" s="7888" t="s">
        <v>16</v>
      </c>
      <c r="C170" s="7888" t="s">
        <v>2929</v>
      </c>
      <c r="D170" s="7888" t="s">
        <v>2930</v>
      </c>
      <c r="E170" s="7888" t="s">
        <v>2931</v>
      </c>
      <c r="F170" s="7888" t="s">
        <v>2932</v>
      </c>
      <c r="G170" s="7888" t="s">
        <v>28</v>
      </c>
      <c r="H170" s="7888" t="s">
        <v>28</v>
      </c>
      <c r="I170" s="7888" t="s">
        <v>879</v>
      </c>
    </row>
    <row customHeight="1" ht="11.25">
      <c r="A171" s="7888" t="s">
        <v>2329</v>
      </c>
      <c r="B171" s="7888" t="s">
        <v>16</v>
      </c>
      <c r="C171" s="7888" t="s">
        <v>2933</v>
      </c>
      <c r="D171" s="7888" t="s">
        <v>2934</v>
      </c>
      <c r="E171" s="7888" t="s">
        <v>2935</v>
      </c>
      <c r="F171" s="7888" t="s">
        <v>2445</v>
      </c>
      <c r="G171" s="7888" t="s">
        <v>28</v>
      </c>
      <c r="H171" s="7888" t="s">
        <v>28</v>
      </c>
      <c r="I171" s="7888" t="s">
        <v>879</v>
      </c>
    </row>
    <row customHeight="1" ht="11.25">
      <c r="A172" s="7888" t="s">
        <v>2329</v>
      </c>
      <c r="B172" s="7888" t="s">
        <v>16</v>
      </c>
      <c r="C172" s="7888" t="s">
        <v>2936</v>
      </c>
      <c r="D172" s="7888" t="s">
        <v>2937</v>
      </c>
      <c r="E172" s="7888" t="s">
        <v>2938</v>
      </c>
      <c r="F172" s="7888" t="s">
        <v>2939</v>
      </c>
      <c r="G172" s="7888" t="s">
        <v>28</v>
      </c>
      <c r="H172" s="7888" t="s">
        <v>28</v>
      </c>
      <c r="I172" s="7888" t="s">
        <v>879</v>
      </c>
    </row>
    <row customHeight="1" ht="11.25">
      <c r="A173" s="7888" t="s">
        <v>2329</v>
      </c>
      <c r="B173" s="7888" t="s">
        <v>16</v>
      </c>
      <c r="C173" s="7888" t="s">
        <v>2940</v>
      </c>
      <c r="D173" s="7888" t="s">
        <v>2941</v>
      </c>
      <c r="E173" s="7888" t="s">
        <v>2942</v>
      </c>
      <c r="F173" s="7888" t="s">
        <v>2943</v>
      </c>
      <c r="G173" s="7888" t="s">
        <v>2944</v>
      </c>
      <c r="H173" s="7888" t="s">
        <v>28</v>
      </c>
      <c r="I173" s="7888" t="s">
        <v>879</v>
      </c>
    </row>
    <row customHeight="1" ht="11.25">
      <c r="A174" s="7888" t="s">
        <v>2329</v>
      </c>
      <c r="B174" s="7888" t="s">
        <v>16</v>
      </c>
      <c r="C174" s="7888" t="s">
        <v>2945</v>
      </c>
      <c r="D174" s="7888" t="s">
        <v>2946</v>
      </c>
      <c r="E174" s="7888" t="s">
        <v>2427</v>
      </c>
      <c r="F174" s="7888" t="s">
        <v>2947</v>
      </c>
      <c r="G174" s="7888" t="s">
        <v>2948</v>
      </c>
      <c r="H174" s="7888" t="s">
        <v>28</v>
      </c>
      <c r="I174" s="7888" t="s">
        <v>879</v>
      </c>
    </row>
    <row customHeight="1" ht="11.25">
      <c r="A175" s="7888" t="s">
        <v>2329</v>
      </c>
      <c r="B175" s="7888" t="s">
        <v>16</v>
      </c>
      <c r="C175" s="7888" t="s">
        <v>2949</v>
      </c>
      <c r="D175" s="7888" t="s">
        <v>2950</v>
      </c>
      <c r="E175" s="7888" t="s">
        <v>2951</v>
      </c>
      <c r="F175" s="7888" t="s">
        <v>2504</v>
      </c>
      <c r="G175" s="7888" t="s">
        <v>28</v>
      </c>
      <c r="H175" s="7888" t="s">
        <v>28</v>
      </c>
      <c r="I175" s="7888" t="s">
        <v>879</v>
      </c>
    </row>
    <row customHeight="1" ht="11.25">
      <c r="A176" s="7888" t="s">
        <v>2329</v>
      </c>
      <c r="B176" s="7888" t="s">
        <v>16</v>
      </c>
      <c r="C176" s="7888" t="s">
        <v>2330</v>
      </c>
      <c r="D176" s="7888" t="s">
        <v>2331</v>
      </c>
      <c r="E176" s="7888" t="s">
        <v>2332</v>
      </c>
      <c r="F176" s="7888" t="s">
        <v>2333</v>
      </c>
      <c r="G176" s="7888" t="s">
        <v>2334</v>
      </c>
      <c r="H176" s="7888" t="s">
        <v>28</v>
      </c>
      <c r="I176" s="7888" t="s">
        <v>965</v>
      </c>
    </row>
    <row customHeight="1" ht="11.25">
      <c r="A177" s="7888" t="s">
        <v>2329</v>
      </c>
      <c r="B177" s="7888" t="s">
        <v>16</v>
      </c>
      <c r="C177" s="7888" t="s">
        <v>13</v>
      </c>
      <c r="D177" s="7888" t="s">
        <v>49</v>
      </c>
      <c r="E177" s="7888" t="s">
        <v>52</v>
      </c>
      <c r="F177" s="7888" t="s">
        <v>54</v>
      </c>
      <c r="G177" s="7888" t="s">
        <v>2339</v>
      </c>
      <c r="H177" s="7888" t="s">
        <v>28</v>
      </c>
      <c r="I177" s="7888" t="s">
        <v>965</v>
      </c>
    </row>
    <row customHeight="1" ht="11.25">
      <c r="A178" s="7888" t="s">
        <v>2329</v>
      </c>
      <c r="B178" s="7888" t="s">
        <v>16</v>
      </c>
      <c r="C178" s="7888" t="s">
        <v>2342</v>
      </c>
      <c r="D178" s="7888" t="s">
        <v>2343</v>
      </c>
      <c r="E178" s="7888" t="s">
        <v>52</v>
      </c>
      <c r="F178" s="7888" t="s">
        <v>2344</v>
      </c>
      <c r="G178" s="7888" t="s">
        <v>28</v>
      </c>
      <c r="H178" s="7888" t="s">
        <v>28</v>
      </c>
      <c r="I178" s="7888" t="s">
        <v>965</v>
      </c>
    </row>
    <row customHeight="1" ht="11.25">
      <c r="A179" s="7888" t="s">
        <v>2329</v>
      </c>
      <c r="B179" s="7888" t="s">
        <v>16</v>
      </c>
      <c r="C179" s="7888" t="s">
        <v>2378</v>
      </c>
      <c r="D179" s="7888" t="s">
        <v>2379</v>
      </c>
      <c r="E179" s="7888" t="s">
        <v>2380</v>
      </c>
      <c r="F179" s="7888" t="s">
        <v>2381</v>
      </c>
      <c r="G179" s="7888" t="s">
        <v>2382</v>
      </c>
      <c r="H179" s="7888" t="s">
        <v>28</v>
      </c>
      <c r="I179" s="7888" t="s">
        <v>965</v>
      </c>
    </row>
    <row customHeight="1" ht="11.25">
      <c r="A180" s="7888" t="s">
        <v>2329</v>
      </c>
      <c r="B180" s="7888" t="s">
        <v>16</v>
      </c>
      <c r="C180" s="7888" t="s">
        <v>2383</v>
      </c>
      <c r="D180" s="7888" t="s">
        <v>2384</v>
      </c>
      <c r="E180" s="7888" t="s">
        <v>2385</v>
      </c>
      <c r="F180" s="7888" t="s">
        <v>2381</v>
      </c>
      <c r="G180" s="7888" t="s">
        <v>2386</v>
      </c>
      <c r="H180" s="7888" t="s">
        <v>28</v>
      </c>
      <c r="I180" s="7888" t="s">
        <v>965</v>
      </c>
    </row>
    <row customHeight="1" ht="11.25">
      <c r="A181" s="7888" t="s">
        <v>2329</v>
      </c>
      <c r="B181" s="7888" t="s">
        <v>16</v>
      </c>
      <c r="C181" s="7888" t="s">
        <v>2391</v>
      </c>
      <c r="D181" s="7888" t="s">
        <v>2392</v>
      </c>
      <c r="E181" s="7888" t="s">
        <v>2393</v>
      </c>
      <c r="F181" s="7888" t="s">
        <v>2394</v>
      </c>
      <c r="G181" s="7888" t="s">
        <v>28</v>
      </c>
      <c r="H181" s="7888" t="s">
        <v>28</v>
      </c>
      <c r="I181" s="7888" t="s">
        <v>965</v>
      </c>
    </row>
    <row customHeight="1" ht="11.25">
      <c r="A182" s="7888" t="s">
        <v>2329</v>
      </c>
      <c r="B182" s="7888" t="s">
        <v>16</v>
      </c>
      <c r="C182" s="7888" t="s">
        <v>2398</v>
      </c>
      <c r="D182" s="7888" t="s">
        <v>2399</v>
      </c>
      <c r="E182" s="7888" t="s">
        <v>2400</v>
      </c>
      <c r="F182" s="7888" t="s">
        <v>54</v>
      </c>
      <c r="G182" s="7888" t="s">
        <v>2401</v>
      </c>
      <c r="H182" s="7888" t="s">
        <v>28</v>
      </c>
      <c r="I182" s="7888" t="s">
        <v>965</v>
      </c>
    </row>
    <row customHeight="1" ht="11.25">
      <c r="A183" s="7888" t="s">
        <v>2329</v>
      </c>
      <c r="B183" s="7888" t="s">
        <v>16</v>
      </c>
      <c r="C183" s="7888" t="s">
        <v>2414</v>
      </c>
      <c r="D183" s="7888" t="s">
        <v>2415</v>
      </c>
      <c r="E183" s="7888" t="s">
        <v>2393</v>
      </c>
      <c r="F183" s="7888" t="s">
        <v>2416</v>
      </c>
      <c r="G183" s="7888" t="s">
        <v>28</v>
      </c>
      <c r="H183" s="7888" t="s">
        <v>28</v>
      </c>
      <c r="I183" s="7888" t="s">
        <v>965</v>
      </c>
    </row>
    <row customHeight="1" ht="11.25">
      <c r="A184" s="7888" t="s">
        <v>2329</v>
      </c>
      <c r="B184" s="7888" t="s">
        <v>16</v>
      </c>
      <c r="C184" s="7888" t="s">
        <v>2417</v>
      </c>
      <c r="D184" s="7888" t="s">
        <v>2418</v>
      </c>
      <c r="E184" s="7888" t="s">
        <v>2419</v>
      </c>
      <c r="F184" s="7888" t="s">
        <v>2420</v>
      </c>
      <c r="G184" s="7888" t="s">
        <v>28</v>
      </c>
      <c r="H184" s="7888" t="s">
        <v>28</v>
      </c>
      <c r="I184" s="7888" t="s">
        <v>965</v>
      </c>
    </row>
    <row customHeight="1" ht="11.25">
      <c r="A185" s="7888" t="s">
        <v>2329</v>
      </c>
      <c r="B185" s="7888" t="s">
        <v>16</v>
      </c>
      <c r="C185" s="7888" t="s">
        <v>2425</v>
      </c>
      <c r="D185" s="7888" t="s">
        <v>2426</v>
      </c>
      <c r="E185" s="7888" t="s">
        <v>2427</v>
      </c>
      <c r="F185" s="7888" t="s">
        <v>2428</v>
      </c>
      <c r="G185" s="7888" t="s">
        <v>28</v>
      </c>
      <c r="H185" s="7888" t="s">
        <v>28</v>
      </c>
      <c r="I185" s="7888" t="s">
        <v>965</v>
      </c>
    </row>
    <row customHeight="1" ht="11.25">
      <c r="A186" s="7888" t="s">
        <v>2329</v>
      </c>
      <c r="B186" s="7888" t="s">
        <v>16</v>
      </c>
      <c r="C186" s="7888" t="s">
        <v>2433</v>
      </c>
      <c r="D186" s="7888" t="s">
        <v>2434</v>
      </c>
      <c r="E186" s="7888" t="s">
        <v>2427</v>
      </c>
      <c r="F186" s="7888" t="s">
        <v>2435</v>
      </c>
      <c r="G186" s="7888" t="s">
        <v>28</v>
      </c>
      <c r="H186" s="7888" t="s">
        <v>28</v>
      </c>
      <c r="I186" s="7888" t="s">
        <v>965</v>
      </c>
    </row>
    <row customHeight="1" ht="11.25">
      <c r="A187" s="7888" t="s">
        <v>2329</v>
      </c>
      <c r="B187" s="7888" t="s">
        <v>16</v>
      </c>
      <c r="C187" s="7888" t="s">
        <v>2436</v>
      </c>
      <c r="D187" s="7888" t="s">
        <v>2437</v>
      </c>
      <c r="E187" s="7888" t="s">
        <v>2438</v>
      </c>
      <c r="F187" s="7888" t="s">
        <v>54</v>
      </c>
      <c r="G187" s="7888" t="s">
        <v>2439</v>
      </c>
      <c r="H187" s="7888" t="s">
        <v>28</v>
      </c>
      <c r="I187" s="7888" t="s">
        <v>965</v>
      </c>
    </row>
    <row customHeight="1" ht="11.25">
      <c r="A188" s="7888" t="s">
        <v>2329</v>
      </c>
      <c r="B188" s="7888" t="s">
        <v>16</v>
      </c>
      <c r="C188" s="7888" t="s">
        <v>28</v>
      </c>
      <c r="D188" s="7888" t="s">
        <v>2440</v>
      </c>
      <c r="E188" s="7888" t="s">
        <v>2441</v>
      </c>
      <c r="F188" s="7888" t="s">
        <v>54</v>
      </c>
      <c r="G188" s="7888" t="s">
        <v>28</v>
      </c>
      <c r="H188" s="7888" t="s">
        <v>28</v>
      </c>
      <c r="I188" s="7888" t="s">
        <v>965</v>
      </c>
    </row>
    <row customHeight="1" ht="11.25">
      <c r="A189" s="7888" t="s">
        <v>2329</v>
      </c>
      <c r="B189" s="7888" t="s">
        <v>16</v>
      </c>
      <c r="C189" s="7888" t="s">
        <v>2464</v>
      </c>
      <c r="D189" s="7888" t="s">
        <v>2465</v>
      </c>
      <c r="E189" s="7888" t="s">
        <v>2466</v>
      </c>
      <c r="F189" s="7888" t="s">
        <v>2467</v>
      </c>
      <c r="G189" s="7888" t="s">
        <v>2468</v>
      </c>
      <c r="H189" s="7888" t="s">
        <v>28</v>
      </c>
      <c r="I189" s="7888" t="s">
        <v>965</v>
      </c>
    </row>
    <row customHeight="1" ht="11.25">
      <c r="A190" s="7888" t="s">
        <v>2329</v>
      </c>
      <c r="B190" s="7888" t="s">
        <v>16</v>
      </c>
      <c r="C190" s="7888" t="s">
        <v>2469</v>
      </c>
      <c r="D190" s="7888" t="s">
        <v>2470</v>
      </c>
      <c r="E190" s="7888" t="s">
        <v>2471</v>
      </c>
      <c r="F190" s="7888" t="s">
        <v>2390</v>
      </c>
      <c r="G190" s="7888" t="s">
        <v>28</v>
      </c>
      <c r="H190" s="7888" t="s">
        <v>28</v>
      </c>
      <c r="I190" s="7888" t="s">
        <v>965</v>
      </c>
    </row>
    <row customHeight="1" ht="11.25">
      <c r="A191" s="7888" t="s">
        <v>2329</v>
      </c>
      <c r="B191" s="7888" t="s">
        <v>16</v>
      </c>
      <c r="C191" s="7888" t="s">
        <v>2479</v>
      </c>
      <c r="D191" s="7888" t="s">
        <v>2480</v>
      </c>
      <c r="E191" s="7888" t="s">
        <v>2481</v>
      </c>
      <c r="F191" s="7888" t="s">
        <v>2420</v>
      </c>
      <c r="G191" s="7888" t="s">
        <v>2482</v>
      </c>
      <c r="H191" s="7888" t="s">
        <v>28</v>
      </c>
      <c r="I191" s="7888" t="s">
        <v>965</v>
      </c>
    </row>
    <row customHeight="1" ht="11.25">
      <c r="A192" s="7888" t="s">
        <v>2329</v>
      </c>
      <c r="B192" s="7888" t="s">
        <v>16</v>
      </c>
      <c r="C192" s="7888" t="s">
        <v>2501</v>
      </c>
      <c r="D192" s="7888" t="s">
        <v>2502</v>
      </c>
      <c r="E192" s="7888" t="s">
        <v>2503</v>
      </c>
      <c r="F192" s="7888" t="s">
        <v>2504</v>
      </c>
      <c r="G192" s="7888" t="s">
        <v>28</v>
      </c>
      <c r="H192" s="7888" t="s">
        <v>28</v>
      </c>
      <c r="I192" s="7888" t="s">
        <v>965</v>
      </c>
    </row>
    <row customHeight="1" ht="11.25">
      <c r="A193" s="7888" t="s">
        <v>2329</v>
      </c>
      <c r="B193" s="7888" t="s">
        <v>16</v>
      </c>
      <c r="C193" s="7888" t="s">
        <v>2512</v>
      </c>
      <c r="D193" s="7888" t="s">
        <v>2513</v>
      </c>
      <c r="E193" s="7888" t="s">
        <v>2514</v>
      </c>
      <c r="F193" s="7888" t="s">
        <v>2515</v>
      </c>
      <c r="G193" s="7888" t="s">
        <v>2516</v>
      </c>
      <c r="H193" s="7888" t="s">
        <v>28</v>
      </c>
      <c r="I193" s="7888" t="s">
        <v>965</v>
      </c>
    </row>
    <row customHeight="1" ht="11.25">
      <c r="A194" s="7888" t="s">
        <v>2329</v>
      </c>
      <c r="B194" s="7888" t="s">
        <v>16</v>
      </c>
      <c r="C194" s="7888" t="s">
        <v>2517</v>
      </c>
      <c r="D194" s="7888" t="s">
        <v>2518</v>
      </c>
      <c r="E194" s="7888" t="s">
        <v>2519</v>
      </c>
      <c r="F194" s="7888" t="s">
        <v>2515</v>
      </c>
      <c r="G194" s="7888" t="s">
        <v>2520</v>
      </c>
      <c r="H194" s="7888" t="s">
        <v>28</v>
      </c>
      <c r="I194" s="7888" t="s">
        <v>965</v>
      </c>
    </row>
    <row customHeight="1" ht="11.25">
      <c r="A195" s="7888" t="s">
        <v>2329</v>
      </c>
      <c r="B195" s="7888" t="s">
        <v>16</v>
      </c>
      <c r="C195" s="7888" t="s">
        <v>2525</v>
      </c>
      <c r="D195" s="7888" t="s">
        <v>2526</v>
      </c>
      <c r="E195" s="7888" t="s">
        <v>2527</v>
      </c>
      <c r="F195" s="7888" t="s">
        <v>2515</v>
      </c>
      <c r="G195" s="7888" t="s">
        <v>2528</v>
      </c>
      <c r="H195" s="7888" t="s">
        <v>28</v>
      </c>
      <c r="I195" s="7888" t="s">
        <v>965</v>
      </c>
    </row>
    <row customHeight="1" ht="11.25">
      <c r="A196" s="7888" t="s">
        <v>2329</v>
      </c>
      <c r="B196" s="7888" t="s">
        <v>16</v>
      </c>
      <c r="C196" s="7888" t="s">
        <v>2529</v>
      </c>
      <c r="D196" s="7888" t="s">
        <v>2530</v>
      </c>
      <c r="E196" s="7888" t="s">
        <v>2531</v>
      </c>
      <c r="F196" s="7888" t="s">
        <v>2515</v>
      </c>
      <c r="G196" s="7888" t="s">
        <v>2532</v>
      </c>
      <c r="H196" s="7888" t="s">
        <v>28</v>
      </c>
      <c r="I196" s="7888" t="s">
        <v>965</v>
      </c>
    </row>
    <row customHeight="1" ht="11.25">
      <c r="A197" s="7888" t="s">
        <v>2329</v>
      </c>
      <c r="B197" s="7888" t="s">
        <v>16</v>
      </c>
      <c r="C197" s="7888" t="s">
        <v>2533</v>
      </c>
      <c r="D197" s="7888" t="s">
        <v>2534</v>
      </c>
      <c r="E197" s="7888" t="s">
        <v>2535</v>
      </c>
      <c r="F197" s="7888" t="s">
        <v>2504</v>
      </c>
      <c r="G197" s="7888" t="s">
        <v>2536</v>
      </c>
      <c r="H197" s="7888" t="s">
        <v>28</v>
      </c>
      <c r="I197" s="7888" t="s">
        <v>965</v>
      </c>
    </row>
    <row customHeight="1" ht="11.25">
      <c r="A198" s="7888" t="s">
        <v>2329</v>
      </c>
      <c r="B198" s="7888" t="s">
        <v>16</v>
      </c>
      <c r="C198" s="7888" t="s">
        <v>2537</v>
      </c>
      <c r="D198" s="7888" t="s">
        <v>2538</v>
      </c>
      <c r="E198" s="7888" t="s">
        <v>2539</v>
      </c>
      <c r="F198" s="7888" t="s">
        <v>2504</v>
      </c>
      <c r="G198" s="7888" t="s">
        <v>28</v>
      </c>
      <c r="H198" s="7888" t="s">
        <v>28</v>
      </c>
      <c r="I198" s="7888" t="s">
        <v>965</v>
      </c>
    </row>
    <row customHeight="1" ht="11.25">
      <c r="A199" s="7888" t="s">
        <v>2329</v>
      </c>
      <c r="B199" s="7888" t="s">
        <v>16</v>
      </c>
      <c r="C199" s="7888" t="s">
        <v>2547</v>
      </c>
      <c r="D199" s="7888" t="s">
        <v>2548</v>
      </c>
      <c r="E199" s="7888" t="s">
        <v>2549</v>
      </c>
      <c r="F199" s="7888" t="s">
        <v>2467</v>
      </c>
      <c r="G199" s="7888" t="s">
        <v>2550</v>
      </c>
      <c r="H199" s="7888" t="s">
        <v>28</v>
      </c>
      <c r="I199" s="7888" t="s">
        <v>965</v>
      </c>
    </row>
    <row customHeight="1" ht="11.25">
      <c r="A200" s="7888" t="s">
        <v>2329</v>
      </c>
      <c r="B200" s="7888" t="s">
        <v>16</v>
      </c>
      <c r="C200" s="7888" t="s">
        <v>2561</v>
      </c>
      <c r="D200" s="7888" t="s">
        <v>2562</v>
      </c>
      <c r="E200" s="7888" t="s">
        <v>2563</v>
      </c>
      <c r="F200" s="7888" t="s">
        <v>2546</v>
      </c>
      <c r="G200" s="7888" t="s">
        <v>28</v>
      </c>
      <c r="H200" s="7888" t="s">
        <v>28</v>
      </c>
      <c r="I200" s="7888" t="s">
        <v>965</v>
      </c>
    </row>
    <row customHeight="1" ht="11.25">
      <c r="A201" s="7888" t="s">
        <v>2329</v>
      </c>
      <c r="B201" s="7888" t="s">
        <v>16</v>
      </c>
      <c r="C201" s="7888" t="s">
        <v>2564</v>
      </c>
      <c r="D201" s="7888" t="s">
        <v>2565</v>
      </c>
      <c r="E201" s="7888" t="s">
        <v>2566</v>
      </c>
      <c r="F201" s="7888" t="s">
        <v>2504</v>
      </c>
      <c r="G201" s="7888" t="s">
        <v>2567</v>
      </c>
      <c r="H201" s="7888" t="s">
        <v>28</v>
      </c>
      <c r="I201" s="7888" t="s">
        <v>965</v>
      </c>
    </row>
    <row customHeight="1" ht="11.25">
      <c r="A202" s="7888" t="s">
        <v>2329</v>
      </c>
      <c r="B202" s="7888" t="s">
        <v>16</v>
      </c>
      <c r="C202" s="7888" t="s">
        <v>2568</v>
      </c>
      <c r="D202" s="7888" t="s">
        <v>2569</v>
      </c>
      <c r="E202" s="7888" t="s">
        <v>2570</v>
      </c>
      <c r="F202" s="7888" t="s">
        <v>2478</v>
      </c>
      <c r="G202" s="7888" t="s">
        <v>2571</v>
      </c>
      <c r="H202" s="7888" t="s">
        <v>28</v>
      </c>
      <c r="I202" s="7888" t="s">
        <v>965</v>
      </c>
    </row>
    <row customHeight="1" ht="11.25">
      <c r="A203" s="7888" t="s">
        <v>2329</v>
      </c>
      <c r="B203" s="7888" t="s">
        <v>16</v>
      </c>
      <c r="C203" s="7888" t="s">
        <v>2572</v>
      </c>
      <c r="D203" s="7888" t="s">
        <v>2573</v>
      </c>
      <c r="E203" s="7888" t="s">
        <v>2574</v>
      </c>
      <c r="F203" s="7888" t="s">
        <v>2515</v>
      </c>
      <c r="G203" s="7888" t="s">
        <v>2575</v>
      </c>
      <c r="H203" s="7888" t="s">
        <v>28</v>
      </c>
      <c r="I203" s="7888" t="s">
        <v>965</v>
      </c>
    </row>
    <row customHeight="1" ht="11.25">
      <c r="A204" s="7888" t="s">
        <v>2329</v>
      </c>
      <c r="B204" s="7888" t="s">
        <v>16</v>
      </c>
      <c r="C204" s="7888" t="s">
        <v>2576</v>
      </c>
      <c r="D204" s="7888" t="s">
        <v>2573</v>
      </c>
      <c r="E204" s="7888" t="s">
        <v>2577</v>
      </c>
      <c r="F204" s="7888" t="s">
        <v>2390</v>
      </c>
      <c r="G204" s="7888" t="s">
        <v>2578</v>
      </c>
      <c r="H204" s="7888" t="s">
        <v>28</v>
      </c>
      <c r="I204" s="7888" t="s">
        <v>965</v>
      </c>
    </row>
    <row customHeight="1" ht="11.25">
      <c r="A205" s="7888" t="s">
        <v>2329</v>
      </c>
      <c r="B205" s="7888" t="s">
        <v>16</v>
      </c>
      <c r="C205" s="7888" t="s">
        <v>2579</v>
      </c>
      <c r="D205" s="7888" t="s">
        <v>2580</v>
      </c>
      <c r="E205" s="7888" t="s">
        <v>2581</v>
      </c>
      <c r="F205" s="7888" t="s">
        <v>2496</v>
      </c>
      <c r="G205" s="7888" t="s">
        <v>28</v>
      </c>
      <c r="H205" s="7888" t="s">
        <v>28</v>
      </c>
      <c r="I205" s="7888" t="s">
        <v>965</v>
      </c>
    </row>
    <row customHeight="1" ht="11.25">
      <c r="A206" s="7888" t="s">
        <v>2329</v>
      </c>
      <c r="B206" s="7888" t="s">
        <v>16</v>
      </c>
      <c r="C206" s="7888" t="s">
        <v>2582</v>
      </c>
      <c r="D206" s="7888" t="s">
        <v>2583</v>
      </c>
      <c r="E206" s="7888" t="s">
        <v>2584</v>
      </c>
      <c r="F206" s="7888" t="s">
        <v>2496</v>
      </c>
      <c r="G206" s="7888" t="s">
        <v>2585</v>
      </c>
      <c r="H206" s="7888" t="s">
        <v>28</v>
      </c>
      <c r="I206" s="7888" t="s">
        <v>965</v>
      </c>
    </row>
    <row customHeight="1" ht="11.25">
      <c r="A207" s="7888" t="s">
        <v>2329</v>
      </c>
      <c r="B207" s="7888" t="s">
        <v>16</v>
      </c>
      <c r="C207" s="7888" t="s">
        <v>2601</v>
      </c>
      <c r="D207" s="7888" t="s">
        <v>2602</v>
      </c>
      <c r="E207" s="7888" t="s">
        <v>2603</v>
      </c>
      <c r="F207" s="7888" t="s">
        <v>2478</v>
      </c>
      <c r="G207" s="7888" t="s">
        <v>2604</v>
      </c>
      <c r="H207" s="7888" t="s">
        <v>28</v>
      </c>
      <c r="I207" s="7888" t="s">
        <v>965</v>
      </c>
    </row>
    <row customHeight="1" ht="11.25">
      <c r="A208" s="7888" t="s">
        <v>2329</v>
      </c>
      <c r="B208" s="7888" t="s">
        <v>16</v>
      </c>
      <c r="C208" s="7888" t="s">
        <v>2605</v>
      </c>
      <c r="D208" s="7888" t="s">
        <v>2606</v>
      </c>
      <c r="E208" s="7888" t="s">
        <v>2607</v>
      </c>
      <c r="F208" s="7888" t="s">
        <v>2338</v>
      </c>
      <c r="G208" s="7888" t="s">
        <v>28</v>
      </c>
      <c r="H208" s="7888" t="s">
        <v>28</v>
      </c>
      <c r="I208" s="7888" t="s">
        <v>965</v>
      </c>
    </row>
    <row customHeight="1" ht="11.25">
      <c r="A209" s="7888" t="s">
        <v>2329</v>
      </c>
      <c r="B209" s="7888" t="s">
        <v>16</v>
      </c>
      <c r="C209" s="7888" t="s">
        <v>2611</v>
      </c>
      <c r="D209" s="7888" t="s">
        <v>2612</v>
      </c>
      <c r="E209" s="7888" t="s">
        <v>2613</v>
      </c>
      <c r="F209" s="7888" t="s">
        <v>2478</v>
      </c>
      <c r="G209" s="7888" t="s">
        <v>28</v>
      </c>
      <c r="H209" s="7888" t="s">
        <v>28</v>
      </c>
      <c r="I209" s="7888" t="s">
        <v>965</v>
      </c>
    </row>
    <row customHeight="1" ht="11.25">
      <c r="A210" s="7888" t="s">
        <v>2329</v>
      </c>
      <c r="B210" s="7888" t="s">
        <v>16</v>
      </c>
      <c r="C210" s="7888" t="s">
        <v>2618</v>
      </c>
      <c r="D210" s="7888" t="s">
        <v>2619</v>
      </c>
      <c r="E210" s="7888" t="s">
        <v>2620</v>
      </c>
      <c r="F210" s="7888" t="s">
        <v>2458</v>
      </c>
      <c r="G210" s="7888" t="s">
        <v>28</v>
      </c>
      <c r="H210" s="7888" t="s">
        <v>28</v>
      </c>
      <c r="I210" s="7888" t="s">
        <v>965</v>
      </c>
    </row>
    <row customHeight="1" ht="11.25">
      <c r="A211" s="7888" t="s">
        <v>2329</v>
      </c>
      <c r="B211" s="7888" t="s">
        <v>16</v>
      </c>
      <c r="C211" s="7888" t="s">
        <v>2621</v>
      </c>
      <c r="D211" s="7888" t="s">
        <v>2622</v>
      </c>
      <c r="E211" s="7888" t="s">
        <v>2623</v>
      </c>
      <c r="F211" s="7888" t="s">
        <v>2504</v>
      </c>
      <c r="G211" s="7888" t="s">
        <v>28</v>
      </c>
      <c r="H211" s="7888" t="s">
        <v>28</v>
      </c>
      <c r="I211" s="7888" t="s">
        <v>965</v>
      </c>
    </row>
    <row customHeight="1" ht="11.25">
      <c r="A212" s="7888" t="s">
        <v>2329</v>
      </c>
      <c r="B212" s="7888" t="s">
        <v>16</v>
      </c>
      <c r="C212" s="7888" t="s">
        <v>2627</v>
      </c>
      <c r="D212" s="7888" t="s">
        <v>2628</v>
      </c>
      <c r="E212" s="7888" t="s">
        <v>2427</v>
      </c>
      <c r="F212" s="7888" t="s">
        <v>2629</v>
      </c>
      <c r="G212" s="7888" t="s">
        <v>28</v>
      </c>
      <c r="H212" s="7888" t="s">
        <v>28</v>
      </c>
      <c r="I212" s="7888" t="s">
        <v>965</v>
      </c>
    </row>
    <row customHeight="1" ht="11.25">
      <c r="A213" s="7888" t="s">
        <v>2329</v>
      </c>
      <c r="B213" s="7888" t="s">
        <v>16</v>
      </c>
      <c r="C213" s="7888" t="s">
        <v>2634</v>
      </c>
      <c r="D213" s="7888" t="s">
        <v>2635</v>
      </c>
      <c r="E213" s="7888" t="s">
        <v>2636</v>
      </c>
      <c r="F213" s="7888" t="s">
        <v>2637</v>
      </c>
      <c r="G213" s="7888" t="s">
        <v>2638</v>
      </c>
      <c r="H213" s="7888" t="s">
        <v>28</v>
      </c>
      <c r="I213" s="7888" t="s">
        <v>965</v>
      </c>
    </row>
    <row customHeight="1" ht="11.25">
      <c r="A214" s="7888" t="s">
        <v>2329</v>
      </c>
      <c r="B214" s="7888" t="s">
        <v>16</v>
      </c>
      <c r="C214" s="7888" t="s">
        <v>2642</v>
      </c>
      <c r="D214" s="7888" t="s">
        <v>2643</v>
      </c>
      <c r="E214" s="7888" t="s">
        <v>2644</v>
      </c>
      <c r="F214" s="7888" t="s">
        <v>2458</v>
      </c>
      <c r="G214" s="7888" t="s">
        <v>28</v>
      </c>
      <c r="H214" s="7888" t="s">
        <v>28</v>
      </c>
      <c r="I214" s="7888" t="s">
        <v>965</v>
      </c>
    </row>
    <row customHeight="1" ht="11.25">
      <c r="A215" s="7888" t="s">
        <v>2329</v>
      </c>
      <c r="B215" s="7888" t="s">
        <v>16</v>
      </c>
      <c r="C215" s="7888" t="s">
        <v>2676</v>
      </c>
      <c r="D215" s="7888" t="s">
        <v>2677</v>
      </c>
      <c r="E215" s="7888" t="s">
        <v>2678</v>
      </c>
      <c r="F215" s="7888" t="s">
        <v>2679</v>
      </c>
      <c r="G215" s="7888" t="s">
        <v>28</v>
      </c>
      <c r="H215" s="7888" t="s">
        <v>28</v>
      </c>
      <c r="I215" s="7888" t="s">
        <v>965</v>
      </c>
    </row>
    <row customHeight="1" ht="11.25">
      <c r="A216" s="7888" t="s">
        <v>2329</v>
      </c>
      <c r="B216" s="7888" t="s">
        <v>16</v>
      </c>
      <c r="C216" s="7888" t="s">
        <v>2683</v>
      </c>
      <c r="D216" s="7888" t="s">
        <v>2684</v>
      </c>
      <c r="E216" s="7888" t="s">
        <v>2685</v>
      </c>
      <c r="F216" s="7888" t="s">
        <v>2504</v>
      </c>
      <c r="G216" s="7888" t="s">
        <v>2686</v>
      </c>
      <c r="H216" s="7888" t="s">
        <v>28</v>
      </c>
      <c r="I216" s="7888" t="s">
        <v>965</v>
      </c>
    </row>
    <row customHeight="1" ht="11.25">
      <c r="A217" s="7888" t="s">
        <v>2329</v>
      </c>
      <c r="B217" s="7888" t="s">
        <v>16</v>
      </c>
      <c r="C217" s="7888" t="s">
        <v>2691</v>
      </c>
      <c r="D217" s="7888" t="s">
        <v>2692</v>
      </c>
      <c r="E217" s="7888" t="s">
        <v>2693</v>
      </c>
      <c r="F217" s="7888" t="s">
        <v>2445</v>
      </c>
      <c r="G217" s="7888" t="s">
        <v>28</v>
      </c>
      <c r="H217" s="7888" t="s">
        <v>28</v>
      </c>
      <c r="I217" s="7888" t="s">
        <v>965</v>
      </c>
    </row>
    <row customHeight="1" ht="11.25">
      <c r="A218" s="7888" t="s">
        <v>2329</v>
      </c>
      <c r="B218" s="7888" t="s">
        <v>16</v>
      </c>
      <c r="C218" s="7888" t="s">
        <v>2694</v>
      </c>
      <c r="D218" s="7888" t="s">
        <v>2695</v>
      </c>
      <c r="E218" s="7888" t="s">
        <v>2696</v>
      </c>
      <c r="F218" s="7888" t="s">
        <v>2445</v>
      </c>
      <c r="G218" s="7888" t="s">
        <v>28</v>
      </c>
      <c r="H218" s="7888" t="s">
        <v>28</v>
      </c>
      <c r="I218" s="7888" t="s">
        <v>965</v>
      </c>
    </row>
    <row customHeight="1" ht="11.25">
      <c r="A219" s="7888" t="s">
        <v>2329</v>
      </c>
      <c r="B219" s="7888" t="s">
        <v>16</v>
      </c>
      <c r="C219" s="7888" t="s">
        <v>2701</v>
      </c>
      <c r="D219" s="7888" t="s">
        <v>2702</v>
      </c>
      <c r="E219" s="7888" t="s">
        <v>2703</v>
      </c>
      <c r="F219" s="7888" t="s">
        <v>2338</v>
      </c>
      <c r="G219" s="7888" t="s">
        <v>28</v>
      </c>
      <c r="H219" s="7888" t="s">
        <v>28</v>
      </c>
      <c r="I219" s="7888" t="s">
        <v>965</v>
      </c>
    </row>
    <row customHeight="1" ht="11.25">
      <c r="A220" s="7888" t="s">
        <v>2329</v>
      </c>
      <c r="B220" s="7888" t="s">
        <v>16</v>
      </c>
      <c r="C220" s="7888" t="s">
        <v>2704</v>
      </c>
      <c r="D220" s="7888" t="s">
        <v>2705</v>
      </c>
      <c r="E220" s="7888" t="s">
        <v>2706</v>
      </c>
      <c r="F220" s="7888" t="s">
        <v>2707</v>
      </c>
      <c r="G220" s="7888" t="s">
        <v>28</v>
      </c>
      <c r="H220" s="7888" t="s">
        <v>28</v>
      </c>
      <c r="I220" s="7888" t="s">
        <v>965</v>
      </c>
    </row>
    <row customHeight="1" ht="11.25">
      <c r="A221" s="7888" t="s">
        <v>2329</v>
      </c>
      <c r="B221" s="7888" t="s">
        <v>16</v>
      </c>
      <c r="C221" s="7888" t="s">
        <v>2708</v>
      </c>
      <c r="D221" s="7888" t="s">
        <v>2709</v>
      </c>
      <c r="E221" s="7888" t="s">
        <v>2710</v>
      </c>
      <c r="F221" s="7888" t="s">
        <v>2707</v>
      </c>
      <c r="G221" s="7888" t="s">
        <v>28</v>
      </c>
      <c r="H221" s="7888" t="s">
        <v>28</v>
      </c>
      <c r="I221" s="7888" t="s">
        <v>965</v>
      </c>
    </row>
    <row customHeight="1" ht="11.25">
      <c r="A222" s="7888" t="s">
        <v>2329</v>
      </c>
      <c r="B222" s="7888" t="s">
        <v>16</v>
      </c>
      <c r="C222" s="7888" t="s">
        <v>2718</v>
      </c>
      <c r="D222" s="7888" t="s">
        <v>2719</v>
      </c>
      <c r="E222" s="7888" t="s">
        <v>2720</v>
      </c>
      <c r="F222" s="7888" t="s">
        <v>2496</v>
      </c>
      <c r="G222" s="7888" t="s">
        <v>2721</v>
      </c>
      <c r="H222" s="7888" t="s">
        <v>28</v>
      </c>
      <c r="I222" s="7888" t="s">
        <v>965</v>
      </c>
    </row>
    <row customHeight="1" ht="11.25">
      <c r="A223" s="7888" t="s">
        <v>2329</v>
      </c>
      <c r="B223" s="7888" t="s">
        <v>16</v>
      </c>
      <c r="C223" s="7888" t="s">
        <v>2722</v>
      </c>
      <c r="D223" s="7888" t="s">
        <v>2723</v>
      </c>
      <c r="E223" s="7888" t="s">
        <v>2724</v>
      </c>
      <c r="F223" s="7888" t="s">
        <v>2707</v>
      </c>
      <c r="G223" s="7888" t="s">
        <v>2725</v>
      </c>
      <c r="H223" s="7888" t="s">
        <v>28</v>
      </c>
      <c r="I223" s="7888" t="s">
        <v>965</v>
      </c>
    </row>
    <row customHeight="1" ht="11.25">
      <c r="A224" s="7888" t="s">
        <v>2329</v>
      </c>
      <c r="B224" s="7888" t="s">
        <v>16</v>
      </c>
      <c r="C224" s="7888" t="s">
        <v>2726</v>
      </c>
      <c r="D224" s="7888" t="s">
        <v>2727</v>
      </c>
      <c r="E224" s="7888" t="s">
        <v>2728</v>
      </c>
      <c r="F224" s="7888" t="s">
        <v>2504</v>
      </c>
      <c r="G224" s="7888" t="s">
        <v>28</v>
      </c>
      <c r="H224" s="7888" t="s">
        <v>28</v>
      </c>
      <c r="I224" s="7888" t="s">
        <v>965</v>
      </c>
    </row>
    <row customHeight="1" ht="11.25">
      <c r="A225" s="7888" t="s">
        <v>2329</v>
      </c>
      <c r="B225" s="7888" t="s">
        <v>16</v>
      </c>
      <c r="C225" s="7888" t="s">
        <v>2739</v>
      </c>
      <c r="D225" s="7888" t="s">
        <v>2740</v>
      </c>
      <c r="E225" s="7888" t="s">
        <v>2741</v>
      </c>
      <c r="F225" s="7888" t="s">
        <v>2515</v>
      </c>
      <c r="G225" s="7888" t="s">
        <v>2742</v>
      </c>
      <c r="H225" s="7888" t="s">
        <v>28</v>
      </c>
      <c r="I225" s="7888" t="s">
        <v>965</v>
      </c>
    </row>
    <row customHeight="1" ht="11.25">
      <c r="A226" s="7888" t="s">
        <v>2329</v>
      </c>
      <c r="B226" s="7888" t="s">
        <v>16</v>
      </c>
      <c r="C226" s="7888" t="s">
        <v>2952</v>
      </c>
      <c r="D226" s="7888" t="s">
        <v>2953</v>
      </c>
      <c r="E226" s="7888" t="s">
        <v>2954</v>
      </c>
      <c r="F226" s="7888" t="s">
        <v>2390</v>
      </c>
      <c r="G226" s="7888" t="s">
        <v>28</v>
      </c>
      <c r="H226" s="7888" t="s">
        <v>28</v>
      </c>
      <c r="I226" s="7888" t="s">
        <v>965</v>
      </c>
    </row>
    <row customHeight="1" ht="11.25">
      <c r="A227" s="7888" t="s">
        <v>2329</v>
      </c>
      <c r="B227" s="7888" t="s">
        <v>16</v>
      </c>
      <c r="C227" s="7888" t="s">
        <v>2746</v>
      </c>
      <c r="D227" s="7888" t="s">
        <v>2747</v>
      </c>
      <c r="E227" s="7888" t="s">
        <v>2748</v>
      </c>
      <c r="F227" s="7888" t="s">
        <v>2679</v>
      </c>
      <c r="G227" s="7888" t="s">
        <v>28</v>
      </c>
      <c r="H227" s="7888" t="s">
        <v>28</v>
      </c>
      <c r="I227" s="7888" t="s">
        <v>965</v>
      </c>
    </row>
    <row customHeight="1" ht="11.25">
      <c r="A228" s="7888" t="s">
        <v>2329</v>
      </c>
      <c r="B228" s="7888" t="s">
        <v>16</v>
      </c>
      <c r="C228" s="7888" t="s">
        <v>2762</v>
      </c>
      <c r="D228" s="7888" t="s">
        <v>2763</v>
      </c>
      <c r="E228" s="7888" t="s">
        <v>2764</v>
      </c>
      <c r="F228" s="7888" t="s">
        <v>2504</v>
      </c>
      <c r="G228" s="7888" t="s">
        <v>28</v>
      </c>
      <c r="H228" s="7888" t="s">
        <v>28</v>
      </c>
      <c r="I228" s="7888" t="s">
        <v>965</v>
      </c>
    </row>
    <row customHeight="1" ht="11.25">
      <c r="A229" s="7888" t="s">
        <v>2329</v>
      </c>
      <c r="B229" s="7888" t="s">
        <v>16</v>
      </c>
      <c r="C229" s="7888" t="s">
        <v>2773</v>
      </c>
      <c r="D229" s="7888" t="s">
        <v>2774</v>
      </c>
      <c r="E229" s="7888" t="s">
        <v>2775</v>
      </c>
      <c r="F229" s="7888" t="s">
        <v>2504</v>
      </c>
      <c r="G229" s="7888" t="s">
        <v>28</v>
      </c>
      <c r="H229" s="7888" t="s">
        <v>28</v>
      </c>
      <c r="I229" s="7888" t="s">
        <v>965</v>
      </c>
    </row>
    <row customHeight="1" ht="11.25">
      <c r="A230" s="7888" t="s">
        <v>2329</v>
      </c>
      <c r="B230" s="7888" t="s">
        <v>16</v>
      </c>
      <c r="C230" s="7888" t="s">
        <v>2776</v>
      </c>
      <c r="D230" s="7888" t="s">
        <v>2777</v>
      </c>
      <c r="E230" s="7888" t="s">
        <v>2778</v>
      </c>
      <c r="F230" s="7888" t="s">
        <v>2496</v>
      </c>
      <c r="G230" s="7888" t="s">
        <v>2779</v>
      </c>
      <c r="H230" s="7888" t="s">
        <v>2780</v>
      </c>
      <c r="I230" s="7888" t="s">
        <v>965</v>
      </c>
    </row>
    <row customHeight="1" ht="11.25">
      <c r="A231" s="7888" t="s">
        <v>2329</v>
      </c>
      <c r="B231" s="7888" t="s">
        <v>16</v>
      </c>
      <c r="C231" s="7888" t="s">
        <v>2802</v>
      </c>
      <c r="D231" s="7888" t="s">
        <v>2803</v>
      </c>
      <c r="E231" s="7888" t="s">
        <v>2804</v>
      </c>
      <c r="F231" s="7888" t="s">
        <v>2381</v>
      </c>
      <c r="G231" s="7888" t="s">
        <v>2805</v>
      </c>
      <c r="H231" s="7888" t="s">
        <v>28</v>
      </c>
      <c r="I231" s="7888" t="s">
        <v>965</v>
      </c>
    </row>
    <row customHeight="1" ht="11.25">
      <c r="A232" s="7888" t="s">
        <v>2329</v>
      </c>
      <c r="B232" s="7888" t="s">
        <v>16</v>
      </c>
      <c r="C232" s="7888" t="s">
        <v>2815</v>
      </c>
      <c r="D232" s="7888" t="s">
        <v>2816</v>
      </c>
      <c r="E232" s="7888" t="s">
        <v>2817</v>
      </c>
      <c r="F232" s="7888" t="s">
        <v>2463</v>
      </c>
      <c r="G232" s="7888" t="s">
        <v>2818</v>
      </c>
      <c r="H232" s="7888" t="s">
        <v>28</v>
      </c>
      <c r="I232" s="7888" t="s">
        <v>965</v>
      </c>
    </row>
    <row customHeight="1" ht="11.25">
      <c r="A233" s="7888" t="s">
        <v>2329</v>
      </c>
      <c r="B233" s="7888" t="s">
        <v>16</v>
      </c>
      <c r="C233" s="7888" t="s">
        <v>2828</v>
      </c>
      <c r="D233" s="7888" t="s">
        <v>2829</v>
      </c>
      <c r="E233" s="7888" t="s">
        <v>2830</v>
      </c>
      <c r="F233" s="7888" t="s">
        <v>2679</v>
      </c>
      <c r="G233" s="7888" t="s">
        <v>2831</v>
      </c>
      <c r="H233" s="7888" t="s">
        <v>28</v>
      </c>
      <c r="I233" s="7888" t="s">
        <v>965</v>
      </c>
    </row>
    <row customHeight="1" ht="11.25">
      <c r="A234" s="7888" t="s">
        <v>2329</v>
      </c>
      <c r="B234" s="7888" t="s">
        <v>16</v>
      </c>
      <c r="C234" s="7888" t="s">
        <v>2844</v>
      </c>
      <c r="D234" s="7888" t="s">
        <v>2845</v>
      </c>
      <c r="E234" s="7888" t="s">
        <v>2846</v>
      </c>
      <c r="F234" s="7888" t="s">
        <v>2707</v>
      </c>
      <c r="G234" s="7888" t="s">
        <v>28</v>
      </c>
      <c r="H234" s="7888" t="s">
        <v>28</v>
      </c>
      <c r="I234" s="7888" t="s">
        <v>965</v>
      </c>
    </row>
    <row customHeight="1" ht="11.25">
      <c r="A235" s="7888" t="s">
        <v>2329</v>
      </c>
      <c r="B235" s="7888" t="s">
        <v>16</v>
      </c>
      <c r="C235" s="7888" t="s">
        <v>2847</v>
      </c>
      <c r="D235" s="7888" t="s">
        <v>2848</v>
      </c>
      <c r="E235" s="7888" t="s">
        <v>2849</v>
      </c>
      <c r="F235" s="7888" t="s">
        <v>2707</v>
      </c>
      <c r="G235" s="7888" t="s">
        <v>28</v>
      </c>
      <c r="H235" s="7888" t="s">
        <v>28</v>
      </c>
      <c r="I235" s="7888" t="s">
        <v>965</v>
      </c>
    </row>
    <row customHeight="1" ht="11.25">
      <c r="A236" s="7888" t="s">
        <v>2329</v>
      </c>
      <c r="B236" s="7888" t="s">
        <v>16</v>
      </c>
      <c r="C236" s="7888" t="s">
        <v>2850</v>
      </c>
      <c r="D236" s="7888" t="s">
        <v>2851</v>
      </c>
      <c r="E236" s="7888" t="s">
        <v>2852</v>
      </c>
      <c r="F236" s="7888" t="s">
        <v>2424</v>
      </c>
      <c r="G236" s="7888" t="s">
        <v>2853</v>
      </c>
      <c r="H236" s="7888" t="s">
        <v>28</v>
      </c>
      <c r="I236" s="7888" t="s">
        <v>965</v>
      </c>
    </row>
    <row customHeight="1" ht="11.25">
      <c r="A237" s="7888" t="s">
        <v>2329</v>
      </c>
      <c r="B237" s="7888" t="s">
        <v>16</v>
      </c>
      <c r="C237" s="7888" t="s">
        <v>2857</v>
      </c>
      <c r="D237" s="7888" t="s">
        <v>2858</v>
      </c>
      <c r="E237" s="7888" t="s">
        <v>2859</v>
      </c>
      <c r="F237" s="7888" t="s">
        <v>2478</v>
      </c>
      <c r="G237" s="7888" t="s">
        <v>28</v>
      </c>
      <c r="H237" s="7888" t="s">
        <v>28</v>
      </c>
      <c r="I237" s="7888" t="s">
        <v>965</v>
      </c>
    </row>
    <row customHeight="1" ht="11.25">
      <c r="A238" s="7888" t="s">
        <v>2329</v>
      </c>
      <c r="B238" s="7888" t="s">
        <v>16</v>
      </c>
      <c r="C238" s="7888" t="s">
        <v>2875</v>
      </c>
      <c r="D238" s="7888" t="s">
        <v>2876</v>
      </c>
      <c r="E238" s="7888" t="s">
        <v>2877</v>
      </c>
      <c r="F238" s="7888" t="s">
        <v>2504</v>
      </c>
      <c r="G238" s="7888" t="s">
        <v>2686</v>
      </c>
      <c r="H238" s="7888" t="s">
        <v>28</v>
      </c>
      <c r="I238" s="7888" t="s">
        <v>965</v>
      </c>
    </row>
    <row customHeight="1" ht="11.25">
      <c r="A239" s="7888" t="s">
        <v>2329</v>
      </c>
      <c r="B239" s="7888" t="s">
        <v>16</v>
      </c>
      <c r="C239" s="7888" t="s">
        <v>2881</v>
      </c>
      <c r="D239" s="7888" t="s">
        <v>2882</v>
      </c>
      <c r="E239" s="7888" t="s">
        <v>2883</v>
      </c>
      <c r="F239" s="7888" t="s">
        <v>2454</v>
      </c>
      <c r="G239" s="7888" t="s">
        <v>28</v>
      </c>
      <c r="H239" s="7888" t="s">
        <v>28</v>
      </c>
      <c r="I239" s="7888" t="s">
        <v>965</v>
      </c>
    </row>
    <row customHeight="1" ht="11.25">
      <c r="A240" s="7888" t="s">
        <v>2329</v>
      </c>
      <c r="B240" s="7888" t="s">
        <v>16</v>
      </c>
      <c r="C240" s="7888" t="s">
        <v>2888</v>
      </c>
      <c r="D240" s="7888" t="s">
        <v>2889</v>
      </c>
      <c r="E240" s="7888" t="s">
        <v>2890</v>
      </c>
      <c r="F240" s="7888" t="s">
        <v>2467</v>
      </c>
      <c r="G240" s="7888" t="s">
        <v>2401</v>
      </c>
      <c r="H240" s="7888" t="s">
        <v>28</v>
      </c>
      <c r="I240" s="7888" t="s">
        <v>965</v>
      </c>
    </row>
    <row customHeight="1" ht="11.25">
      <c r="A241" s="7888" t="s">
        <v>2329</v>
      </c>
      <c r="B241" s="7888" t="s">
        <v>16</v>
      </c>
      <c r="C241" s="7888" t="s">
        <v>2891</v>
      </c>
      <c r="D241" s="7888" t="s">
        <v>2892</v>
      </c>
      <c r="E241" s="7888" t="s">
        <v>2893</v>
      </c>
      <c r="F241" s="7888" t="s">
        <v>2707</v>
      </c>
      <c r="G241" s="7888" t="s">
        <v>28</v>
      </c>
      <c r="H241" s="7888" t="s">
        <v>28</v>
      </c>
      <c r="I241" s="7888" t="s">
        <v>965</v>
      </c>
    </row>
    <row customHeight="1" ht="11.25">
      <c r="A242" s="7888" t="s">
        <v>2329</v>
      </c>
      <c r="B242" s="7888" t="s">
        <v>16</v>
      </c>
      <c r="C242" s="7888" t="s">
        <v>2894</v>
      </c>
      <c r="D242" s="7888" t="s">
        <v>2895</v>
      </c>
      <c r="E242" s="7888" t="s">
        <v>2896</v>
      </c>
      <c r="F242" s="7888" t="s">
        <v>54</v>
      </c>
      <c r="G242" s="7888" t="s">
        <v>2600</v>
      </c>
      <c r="H242" s="7888" t="s">
        <v>28</v>
      </c>
      <c r="I242" s="7888" t="s">
        <v>965</v>
      </c>
    </row>
    <row customHeight="1" ht="11.25">
      <c r="A243" s="7888" t="s">
        <v>2329</v>
      </c>
      <c r="B243" s="7888" t="s">
        <v>16</v>
      </c>
      <c r="C243" s="7888" t="s">
        <v>2913</v>
      </c>
      <c r="D243" s="7888" t="s">
        <v>2914</v>
      </c>
      <c r="E243" s="7888" t="s">
        <v>2915</v>
      </c>
      <c r="F243" s="7888" t="s">
        <v>2546</v>
      </c>
      <c r="G243" s="7888" t="s">
        <v>28</v>
      </c>
      <c r="H243" s="7888" t="s">
        <v>28</v>
      </c>
      <c r="I243" s="7888" t="s">
        <v>965</v>
      </c>
    </row>
    <row customHeight="1" ht="11.25">
      <c r="A244" s="7888" t="s">
        <v>2329</v>
      </c>
      <c r="B244" s="7888" t="s">
        <v>16</v>
      </c>
      <c r="C244" s="7888" t="s">
        <v>2919</v>
      </c>
      <c r="D244" s="7888" t="s">
        <v>2920</v>
      </c>
      <c r="E244" s="7888" t="s">
        <v>2921</v>
      </c>
      <c r="F244" s="7888" t="s">
        <v>54</v>
      </c>
      <c r="G244" s="7888" t="s">
        <v>28</v>
      </c>
      <c r="H244" s="7888" t="s">
        <v>28</v>
      </c>
      <c r="I244" s="7888" t="s">
        <v>965</v>
      </c>
    </row>
    <row customHeight="1" ht="11.25">
      <c r="A245" s="7888" t="s">
        <v>2329</v>
      </c>
      <c r="B245" s="7888" t="s">
        <v>16</v>
      </c>
      <c r="C245" s="7888" t="s">
        <v>2922</v>
      </c>
      <c r="D245" s="7888" t="s">
        <v>2923</v>
      </c>
      <c r="E245" s="7888" t="s">
        <v>2924</v>
      </c>
      <c r="F245" s="7888" t="s">
        <v>2394</v>
      </c>
      <c r="G245" s="7888" t="s">
        <v>2925</v>
      </c>
      <c r="H245" s="7888" t="s">
        <v>28</v>
      </c>
      <c r="I245" s="7888" t="s">
        <v>965</v>
      </c>
    </row>
    <row customHeight="1" ht="11.25">
      <c r="A246" s="7888" t="s">
        <v>2329</v>
      </c>
      <c r="B246" s="7888" t="s">
        <v>16</v>
      </c>
      <c r="C246" s="7888" t="s">
        <v>2926</v>
      </c>
      <c r="D246" s="7888" t="s">
        <v>2927</v>
      </c>
      <c r="E246" s="7888" t="s">
        <v>2928</v>
      </c>
      <c r="F246" s="7888" t="s">
        <v>54</v>
      </c>
      <c r="G246" s="7888" t="s">
        <v>28</v>
      </c>
      <c r="H246" s="7888" t="s">
        <v>28</v>
      </c>
      <c r="I246" s="7888" t="s">
        <v>965</v>
      </c>
    </row>
    <row customHeight="1" ht="11.25">
      <c r="A247" s="7888" t="s">
        <v>2329</v>
      </c>
      <c r="B247" s="7888" t="s">
        <v>16</v>
      </c>
      <c r="C247" s="7888" t="s">
        <v>2936</v>
      </c>
      <c r="D247" s="7888" t="s">
        <v>2937</v>
      </c>
      <c r="E247" s="7888" t="s">
        <v>2938</v>
      </c>
      <c r="F247" s="7888" t="s">
        <v>2939</v>
      </c>
      <c r="G247" s="7888" t="s">
        <v>28</v>
      </c>
      <c r="H247" s="7888" t="s">
        <v>28</v>
      </c>
      <c r="I247" s="7888" t="s">
        <v>965</v>
      </c>
    </row>
    <row customHeight="1" ht="11.25">
      <c r="A248" s="7888" t="s">
        <v>2329</v>
      </c>
      <c r="B248" s="7888" t="s">
        <v>16</v>
      </c>
      <c r="C248" s="7888" t="s">
        <v>2940</v>
      </c>
      <c r="D248" s="7888" t="s">
        <v>2941</v>
      </c>
      <c r="E248" s="7888" t="s">
        <v>2942</v>
      </c>
      <c r="F248" s="7888" t="s">
        <v>2943</v>
      </c>
      <c r="G248" s="7888" t="s">
        <v>2944</v>
      </c>
      <c r="H248" s="7888" t="s">
        <v>28</v>
      </c>
      <c r="I248" s="7888" t="s">
        <v>965</v>
      </c>
    </row>
    <row customHeight="1" ht="11.25">
      <c r="A249" s="7888" t="s">
        <v>2329</v>
      </c>
      <c r="B249" s="7888" t="s">
        <v>16</v>
      </c>
      <c r="C249" s="7888" t="s">
        <v>2955</v>
      </c>
      <c r="D249" s="7888" t="s">
        <v>2956</v>
      </c>
      <c r="E249" s="7888" t="s">
        <v>2957</v>
      </c>
      <c r="F249" s="7888" t="s">
        <v>2679</v>
      </c>
      <c r="G249" s="7888" t="s">
        <v>2772</v>
      </c>
      <c r="H249" s="7888" t="s">
        <v>28</v>
      </c>
      <c r="I249" s="7888" t="s">
        <v>925</v>
      </c>
    </row>
    <row customHeight="1" ht="11.25">
      <c r="A250" s="7888" t="s">
        <v>2329</v>
      </c>
      <c r="B250" s="7888" t="s">
        <v>16</v>
      </c>
      <c r="C250" s="7888" t="s">
        <v>2958</v>
      </c>
      <c r="D250" s="7888" t="s">
        <v>2959</v>
      </c>
      <c r="E250" s="7888" t="s">
        <v>2960</v>
      </c>
      <c r="F250" s="7888" t="s">
        <v>2961</v>
      </c>
      <c r="G250" s="7888" t="s">
        <v>28</v>
      </c>
      <c r="H250" s="7888" t="s">
        <v>28</v>
      </c>
      <c r="I250" s="7888" t="s">
        <v>925</v>
      </c>
    </row>
    <row customHeight="1" ht="11.25">
      <c r="A251" s="7888" t="s">
        <v>2329</v>
      </c>
      <c r="B251" s="7888" t="s">
        <v>16</v>
      </c>
      <c r="C251" s="7888" t="s">
        <v>2962</v>
      </c>
      <c r="D251" s="7888" t="s">
        <v>2963</v>
      </c>
      <c r="E251" s="7888" t="s">
        <v>2964</v>
      </c>
      <c r="F251" s="7888" t="s">
        <v>2965</v>
      </c>
      <c r="G251" s="7888" t="s">
        <v>28</v>
      </c>
      <c r="H251" s="7888" t="s">
        <v>28</v>
      </c>
      <c r="I251" s="7888" t="s">
        <v>925</v>
      </c>
    </row>
    <row customHeight="1" ht="11.25">
      <c r="A252" s="7888" t="s">
        <v>2329</v>
      </c>
      <c r="B252" s="7888" t="s">
        <v>16</v>
      </c>
      <c r="C252" s="7888" t="s">
        <v>2330</v>
      </c>
      <c r="D252" s="7888" t="s">
        <v>2331</v>
      </c>
      <c r="E252" s="7888" t="s">
        <v>2332</v>
      </c>
      <c r="F252" s="7888" t="s">
        <v>2333</v>
      </c>
      <c r="G252" s="7888" t="s">
        <v>2334</v>
      </c>
      <c r="H252" s="7888" t="s">
        <v>28</v>
      </c>
      <c r="I252" s="7888" t="s">
        <v>925</v>
      </c>
    </row>
    <row customHeight="1" ht="11.25">
      <c r="A253" s="7888" t="s">
        <v>2329</v>
      </c>
      <c r="B253" s="7888" t="s">
        <v>16</v>
      </c>
      <c r="C253" s="7888" t="s">
        <v>13</v>
      </c>
      <c r="D253" s="7888" t="s">
        <v>49</v>
      </c>
      <c r="E253" s="7888" t="s">
        <v>52</v>
      </c>
      <c r="F253" s="7888" t="s">
        <v>54</v>
      </c>
      <c r="G253" s="7888" t="s">
        <v>2339</v>
      </c>
      <c r="H253" s="7888" t="s">
        <v>28</v>
      </c>
      <c r="I253" s="7888" t="s">
        <v>925</v>
      </c>
    </row>
    <row customHeight="1" ht="11.25">
      <c r="A254" s="7888" t="s">
        <v>2329</v>
      </c>
      <c r="B254" s="7888" t="s">
        <v>16</v>
      </c>
      <c r="C254" s="7888" t="s">
        <v>2372</v>
      </c>
      <c r="D254" s="7888" t="s">
        <v>2373</v>
      </c>
      <c r="E254" s="7888" t="s">
        <v>52</v>
      </c>
      <c r="F254" s="7888" t="s">
        <v>2374</v>
      </c>
      <c r="G254" s="7888" t="s">
        <v>28</v>
      </c>
      <c r="H254" s="7888" t="s">
        <v>28</v>
      </c>
      <c r="I254" s="7888" t="s">
        <v>925</v>
      </c>
    </row>
    <row customHeight="1" ht="11.25">
      <c r="A255" s="7888" t="s">
        <v>2329</v>
      </c>
      <c r="B255" s="7888" t="s">
        <v>16</v>
      </c>
      <c r="C255" s="7888" t="s">
        <v>2966</v>
      </c>
      <c r="D255" s="7888" t="s">
        <v>2967</v>
      </c>
      <c r="E255" s="7888" t="s">
        <v>2968</v>
      </c>
      <c r="F255" s="7888" t="s">
        <v>2707</v>
      </c>
      <c r="G255" s="7888" t="s">
        <v>28</v>
      </c>
      <c r="H255" s="7888" t="s">
        <v>28</v>
      </c>
      <c r="I255" s="7888" t="s">
        <v>925</v>
      </c>
    </row>
    <row customHeight="1" ht="11.25">
      <c r="A256" s="7888" t="s">
        <v>2329</v>
      </c>
      <c r="B256" s="7888" t="s">
        <v>16</v>
      </c>
      <c r="C256" s="7888" t="s">
        <v>2375</v>
      </c>
      <c r="D256" s="7888" t="s">
        <v>2376</v>
      </c>
      <c r="E256" s="7888" t="s">
        <v>2377</v>
      </c>
      <c r="F256" s="7888" t="s">
        <v>2338</v>
      </c>
      <c r="G256" s="7888" t="s">
        <v>28</v>
      </c>
      <c r="H256" s="7888" t="s">
        <v>28</v>
      </c>
      <c r="I256" s="7888" t="s">
        <v>925</v>
      </c>
    </row>
    <row customHeight="1" ht="11.25">
      <c r="A257" s="7888" t="s">
        <v>2329</v>
      </c>
      <c r="B257" s="7888" t="s">
        <v>16</v>
      </c>
      <c r="C257" s="7888" t="s">
        <v>2378</v>
      </c>
      <c r="D257" s="7888" t="s">
        <v>2379</v>
      </c>
      <c r="E257" s="7888" t="s">
        <v>2380</v>
      </c>
      <c r="F257" s="7888" t="s">
        <v>2381</v>
      </c>
      <c r="G257" s="7888" t="s">
        <v>2382</v>
      </c>
      <c r="H257" s="7888" t="s">
        <v>28</v>
      </c>
      <c r="I257" s="7888" t="s">
        <v>925</v>
      </c>
    </row>
    <row customHeight="1" ht="11.25">
      <c r="A258" s="7888" t="s">
        <v>2329</v>
      </c>
      <c r="B258" s="7888" t="s">
        <v>16</v>
      </c>
      <c r="C258" s="7888" t="s">
        <v>2387</v>
      </c>
      <c r="D258" s="7888" t="s">
        <v>2388</v>
      </c>
      <c r="E258" s="7888" t="s">
        <v>2389</v>
      </c>
      <c r="F258" s="7888" t="s">
        <v>2390</v>
      </c>
      <c r="G258" s="7888" t="s">
        <v>28</v>
      </c>
      <c r="H258" s="7888" t="s">
        <v>28</v>
      </c>
      <c r="I258" s="7888" t="s">
        <v>925</v>
      </c>
    </row>
    <row customHeight="1" ht="11.25">
      <c r="A259" s="7888" t="s">
        <v>2329</v>
      </c>
      <c r="B259" s="7888" t="s">
        <v>16</v>
      </c>
      <c r="C259" s="7888" t="s">
        <v>2395</v>
      </c>
      <c r="D259" s="7888" t="s">
        <v>2396</v>
      </c>
      <c r="E259" s="7888" t="s">
        <v>2397</v>
      </c>
      <c r="F259" s="7888" t="s">
        <v>2381</v>
      </c>
      <c r="G259" s="7888" t="s">
        <v>28</v>
      </c>
      <c r="H259" s="7888" t="s">
        <v>28</v>
      </c>
      <c r="I259" s="7888" t="s">
        <v>925</v>
      </c>
    </row>
    <row customHeight="1" ht="11.25">
      <c r="A260" s="7888" t="s">
        <v>2329</v>
      </c>
      <c r="B260" s="7888" t="s">
        <v>16</v>
      </c>
      <c r="C260" s="7888" t="s">
        <v>2969</v>
      </c>
      <c r="D260" s="7888" t="s">
        <v>2970</v>
      </c>
      <c r="E260" s="7888" t="s">
        <v>2971</v>
      </c>
      <c r="F260" s="7888" t="s">
        <v>2420</v>
      </c>
      <c r="G260" s="7888" t="s">
        <v>2972</v>
      </c>
      <c r="H260" s="7888" t="s">
        <v>2973</v>
      </c>
      <c r="I260" s="7888" t="s">
        <v>925</v>
      </c>
    </row>
    <row customHeight="1" ht="11.25">
      <c r="A261" s="7888" t="s">
        <v>2329</v>
      </c>
      <c r="B261" s="7888" t="s">
        <v>16</v>
      </c>
      <c r="C261" s="7888" t="s">
        <v>2974</v>
      </c>
      <c r="D261" s="7888" t="s">
        <v>2975</v>
      </c>
      <c r="E261" s="7888" t="s">
        <v>2976</v>
      </c>
      <c r="F261" s="7888" t="s">
        <v>2504</v>
      </c>
      <c r="G261" s="7888" t="s">
        <v>28</v>
      </c>
      <c r="H261" s="7888" t="s">
        <v>28</v>
      </c>
      <c r="I261" s="7888" t="s">
        <v>925</v>
      </c>
    </row>
    <row customHeight="1" ht="11.25">
      <c r="A262" s="7888" t="s">
        <v>2329</v>
      </c>
      <c r="B262" s="7888" t="s">
        <v>16</v>
      </c>
      <c r="C262" s="7888" t="s">
        <v>2421</v>
      </c>
      <c r="D262" s="7888" t="s">
        <v>2422</v>
      </c>
      <c r="E262" s="7888" t="s">
        <v>2423</v>
      </c>
      <c r="F262" s="7888" t="s">
        <v>2424</v>
      </c>
      <c r="G262" s="7888" t="s">
        <v>28</v>
      </c>
      <c r="H262" s="7888" t="s">
        <v>28</v>
      </c>
      <c r="I262" s="7888" t="s">
        <v>925</v>
      </c>
    </row>
    <row customHeight="1" ht="11.25">
      <c r="A263" s="7888" t="s">
        <v>2329</v>
      </c>
      <c r="B263" s="7888" t="s">
        <v>16</v>
      </c>
      <c r="C263" s="7888" t="s">
        <v>2425</v>
      </c>
      <c r="D263" s="7888" t="s">
        <v>2426</v>
      </c>
      <c r="E263" s="7888" t="s">
        <v>2427</v>
      </c>
      <c r="F263" s="7888" t="s">
        <v>2428</v>
      </c>
      <c r="G263" s="7888" t="s">
        <v>28</v>
      </c>
      <c r="H263" s="7888" t="s">
        <v>28</v>
      </c>
      <c r="I263" s="7888" t="s">
        <v>925</v>
      </c>
    </row>
    <row customHeight="1" ht="11.25">
      <c r="A264" s="7888" t="s">
        <v>2329</v>
      </c>
      <c r="B264" s="7888" t="s">
        <v>16</v>
      </c>
      <c r="C264" s="7888" t="s">
        <v>2977</v>
      </c>
      <c r="D264" s="7888" t="s">
        <v>2978</v>
      </c>
      <c r="E264" s="7888" t="s">
        <v>2979</v>
      </c>
      <c r="F264" s="7888" t="s">
        <v>647</v>
      </c>
      <c r="G264" s="7888" t="s">
        <v>2980</v>
      </c>
      <c r="H264" s="7888" t="s">
        <v>28</v>
      </c>
      <c r="I264" s="7888" t="s">
        <v>925</v>
      </c>
    </row>
    <row customHeight="1" ht="11.25">
      <c r="A265" s="7888" t="s">
        <v>2329</v>
      </c>
      <c r="B265" s="7888" t="s">
        <v>16</v>
      </c>
      <c r="C265" s="7888" t="s">
        <v>2981</v>
      </c>
      <c r="D265" s="7888" t="s">
        <v>2982</v>
      </c>
      <c r="E265" s="7888" t="s">
        <v>2983</v>
      </c>
      <c r="F265" s="7888" t="s">
        <v>647</v>
      </c>
      <c r="G265" s="7888" t="s">
        <v>2984</v>
      </c>
      <c r="H265" s="7888" t="s">
        <v>28</v>
      </c>
      <c r="I265" s="7888" t="s">
        <v>925</v>
      </c>
    </row>
    <row customHeight="1" ht="11.25">
      <c r="A266" s="7888" t="s">
        <v>2329</v>
      </c>
      <c r="B266" s="7888" t="s">
        <v>16</v>
      </c>
      <c r="C266" s="7888" t="s">
        <v>2985</v>
      </c>
      <c r="D266" s="7888" t="s">
        <v>2986</v>
      </c>
      <c r="E266" s="7888" t="s">
        <v>2987</v>
      </c>
      <c r="F266" s="7888" t="s">
        <v>647</v>
      </c>
      <c r="G266" s="7888" t="s">
        <v>28</v>
      </c>
      <c r="H266" s="7888" t="s">
        <v>28</v>
      </c>
      <c r="I266" s="7888" t="s">
        <v>925</v>
      </c>
    </row>
    <row customHeight="1" ht="11.25">
      <c r="A267" s="7888" t="s">
        <v>2329</v>
      </c>
      <c r="B267" s="7888" t="s">
        <v>16</v>
      </c>
      <c r="C267" s="7888" t="s">
        <v>2988</v>
      </c>
      <c r="D267" s="7888" t="s">
        <v>2989</v>
      </c>
      <c r="E267" s="7888" t="s">
        <v>2990</v>
      </c>
      <c r="F267" s="7888" t="s">
        <v>647</v>
      </c>
      <c r="G267" s="7888" t="s">
        <v>28</v>
      </c>
      <c r="H267" s="7888" t="s">
        <v>28</v>
      </c>
      <c r="I267" s="7888" t="s">
        <v>925</v>
      </c>
    </row>
    <row customHeight="1" ht="11.25">
      <c r="A268" s="7888" t="s">
        <v>2329</v>
      </c>
      <c r="B268" s="7888" t="s">
        <v>16</v>
      </c>
      <c r="C268" s="7888" t="s">
        <v>2436</v>
      </c>
      <c r="D268" s="7888" t="s">
        <v>2437</v>
      </c>
      <c r="E268" s="7888" t="s">
        <v>2438</v>
      </c>
      <c r="F268" s="7888" t="s">
        <v>54</v>
      </c>
      <c r="G268" s="7888" t="s">
        <v>2439</v>
      </c>
      <c r="H268" s="7888" t="s">
        <v>28</v>
      </c>
      <c r="I268" s="7888" t="s">
        <v>925</v>
      </c>
    </row>
    <row customHeight="1" ht="11.25">
      <c r="A269" s="7888" t="s">
        <v>2329</v>
      </c>
      <c r="B269" s="7888" t="s">
        <v>16</v>
      </c>
      <c r="C269" s="7888" t="s">
        <v>28</v>
      </c>
      <c r="D269" s="7888" t="s">
        <v>2440</v>
      </c>
      <c r="E269" s="7888" t="s">
        <v>2441</v>
      </c>
      <c r="F269" s="7888" t="s">
        <v>54</v>
      </c>
      <c r="G269" s="7888" t="s">
        <v>28</v>
      </c>
      <c r="H269" s="7888" t="s">
        <v>28</v>
      </c>
      <c r="I269" s="7888" t="s">
        <v>925</v>
      </c>
    </row>
    <row customHeight="1" ht="11.25">
      <c r="A270" s="7888" t="s">
        <v>2329</v>
      </c>
      <c r="B270" s="7888" t="s">
        <v>16</v>
      </c>
      <c r="C270" s="7888" t="s">
        <v>2991</v>
      </c>
      <c r="D270" s="7888" t="s">
        <v>2992</v>
      </c>
      <c r="E270" s="7888" t="s">
        <v>2993</v>
      </c>
      <c r="F270" s="7888" t="s">
        <v>2467</v>
      </c>
      <c r="G270" s="7888" t="s">
        <v>2994</v>
      </c>
      <c r="H270" s="7888" t="s">
        <v>28</v>
      </c>
      <c r="I270" s="7888" t="s">
        <v>925</v>
      </c>
    </row>
    <row customHeight="1" ht="11.25">
      <c r="A271" s="7888" t="s">
        <v>2329</v>
      </c>
      <c r="B271" s="7888" t="s">
        <v>16</v>
      </c>
      <c r="C271" s="7888" t="s">
        <v>2442</v>
      </c>
      <c r="D271" s="7888" t="s">
        <v>2443</v>
      </c>
      <c r="E271" s="7888" t="s">
        <v>2444</v>
      </c>
      <c r="F271" s="7888" t="s">
        <v>2445</v>
      </c>
      <c r="G271" s="7888" t="s">
        <v>2446</v>
      </c>
      <c r="H271" s="7888" t="s">
        <v>28</v>
      </c>
      <c r="I271" s="7888" t="s">
        <v>925</v>
      </c>
    </row>
    <row customHeight="1" ht="11.25">
      <c r="A272" s="7888" t="s">
        <v>2329</v>
      </c>
      <c r="B272" s="7888" t="s">
        <v>16</v>
      </c>
      <c r="C272" s="7888" t="s">
        <v>2447</v>
      </c>
      <c r="D272" s="7888" t="s">
        <v>2448</v>
      </c>
      <c r="E272" s="7888" t="s">
        <v>2449</v>
      </c>
      <c r="F272" s="7888" t="s">
        <v>2445</v>
      </c>
      <c r="G272" s="7888" t="s">
        <v>28</v>
      </c>
      <c r="H272" s="7888" t="s">
        <v>2450</v>
      </c>
      <c r="I272" s="7888" t="s">
        <v>925</v>
      </c>
    </row>
    <row customHeight="1" ht="11.25">
      <c r="A273" s="7888" t="s">
        <v>2329</v>
      </c>
      <c r="B273" s="7888" t="s">
        <v>16</v>
      </c>
      <c r="C273" s="7888" t="s">
        <v>2995</v>
      </c>
      <c r="D273" s="7888" t="s">
        <v>2996</v>
      </c>
      <c r="E273" s="7888" t="s">
        <v>2997</v>
      </c>
      <c r="F273" s="7888" t="s">
        <v>2496</v>
      </c>
      <c r="G273" s="7888" t="s">
        <v>2998</v>
      </c>
      <c r="H273" s="7888" t="s">
        <v>28</v>
      </c>
      <c r="I273" s="7888" t="s">
        <v>925</v>
      </c>
    </row>
    <row customHeight="1" ht="11.25">
      <c r="A274" s="7888" t="s">
        <v>2329</v>
      </c>
      <c r="B274" s="7888" t="s">
        <v>16</v>
      </c>
      <c r="C274" s="7888" t="s">
        <v>2451</v>
      </c>
      <c r="D274" s="7888" t="s">
        <v>2452</v>
      </c>
      <c r="E274" s="7888" t="s">
        <v>2453</v>
      </c>
      <c r="F274" s="7888" t="s">
        <v>2454</v>
      </c>
      <c r="G274" s="7888" t="s">
        <v>28</v>
      </c>
      <c r="H274" s="7888" t="s">
        <v>28</v>
      </c>
      <c r="I274" s="7888" t="s">
        <v>925</v>
      </c>
    </row>
    <row customHeight="1" ht="11.25">
      <c r="A275" s="7888" t="s">
        <v>2329</v>
      </c>
      <c r="B275" s="7888" t="s">
        <v>16</v>
      </c>
      <c r="C275" s="7888" t="s">
        <v>2455</v>
      </c>
      <c r="D275" s="7888" t="s">
        <v>2456</v>
      </c>
      <c r="E275" s="7888" t="s">
        <v>2457</v>
      </c>
      <c r="F275" s="7888" t="s">
        <v>2458</v>
      </c>
      <c r="G275" s="7888" t="s">
        <v>2459</v>
      </c>
      <c r="H275" s="7888" t="s">
        <v>28</v>
      </c>
      <c r="I275" s="7888" t="s">
        <v>925</v>
      </c>
    </row>
    <row customHeight="1" ht="11.25">
      <c r="A276" s="7888" t="s">
        <v>2329</v>
      </c>
      <c r="B276" s="7888" t="s">
        <v>16</v>
      </c>
      <c r="C276" s="7888" t="s">
        <v>2999</v>
      </c>
      <c r="D276" s="7888" t="s">
        <v>3000</v>
      </c>
      <c r="E276" s="7888" t="s">
        <v>3001</v>
      </c>
      <c r="F276" s="7888" t="s">
        <v>2458</v>
      </c>
      <c r="G276" s="7888" t="s">
        <v>3002</v>
      </c>
      <c r="H276" s="7888" t="s">
        <v>28</v>
      </c>
      <c r="I276" s="7888" t="s">
        <v>925</v>
      </c>
    </row>
    <row customHeight="1" ht="11.25">
      <c r="A277" s="7888" t="s">
        <v>2329</v>
      </c>
      <c r="B277" s="7888" t="s">
        <v>16</v>
      </c>
      <c r="C277" s="7888" t="s">
        <v>2464</v>
      </c>
      <c r="D277" s="7888" t="s">
        <v>2465</v>
      </c>
      <c r="E277" s="7888" t="s">
        <v>2466</v>
      </c>
      <c r="F277" s="7888" t="s">
        <v>2467</v>
      </c>
      <c r="G277" s="7888" t="s">
        <v>2468</v>
      </c>
      <c r="H277" s="7888" t="s">
        <v>28</v>
      </c>
      <c r="I277" s="7888" t="s">
        <v>925</v>
      </c>
    </row>
    <row customHeight="1" ht="11.25">
      <c r="A278" s="7888" t="s">
        <v>2329</v>
      </c>
      <c r="B278" s="7888" t="s">
        <v>16</v>
      </c>
      <c r="C278" s="7888" t="s">
        <v>2469</v>
      </c>
      <c r="D278" s="7888" t="s">
        <v>2470</v>
      </c>
      <c r="E278" s="7888" t="s">
        <v>2471</v>
      </c>
      <c r="F278" s="7888" t="s">
        <v>2390</v>
      </c>
      <c r="G278" s="7888" t="s">
        <v>28</v>
      </c>
      <c r="H278" s="7888" t="s">
        <v>28</v>
      </c>
      <c r="I278" s="7888" t="s">
        <v>925</v>
      </c>
    </row>
    <row customHeight="1" ht="11.25">
      <c r="A279" s="7888" t="s">
        <v>2329</v>
      </c>
      <c r="B279" s="7888" t="s">
        <v>16</v>
      </c>
      <c r="C279" s="7888" t="s">
        <v>2472</v>
      </c>
      <c r="D279" s="7888" t="s">
        <v>2470</v>
      </c>
      <c r="E279" s="7888" t="s">
        <v>2473</v>
      </c>
      <c r="F279" s="7888" t="s">
        <v>2424</v>
      </c>
      <c r="G279" s="7888" t="s">
        <v>2474</v>
      </c>
      <c r="H279" s="7888" t="s">
        <v>28</v>
      </c>
      <c r="I279" s="7888" t="s">
        <v>925</v>
      </c>
    </row>
    <row customHeight="1" ht="11.25">
      <c r="A280" s="7888" t="s">
        <v>2329</v>
      </c>
      <c r="B280" s="7888" t="s">
        <v>16</v>
      </c>
      <c r="C280" s="7888" t="s">
        <v>3003</v>
      </c>
      <c r="D280" s="7888" t="s">
        <v>3004</v>
      </c>
      <c r="E280" s="7888" t="s">
        <v>3005</v>
      </c>
      <c r="F280" s="7888" t="s">
        <v>2504</v>
      </c>
      <c r="G280" s="7888" t="s">
        <v>3006</v>
      </c>
      <c r="H280" s="7888" t="s">
        <v>28</v>
      </c>
      <c r="I280" s="7888" t="s">
        <v>925</v>
      </c>
    </row>
    <row customHeight="1" ht="11.25">
      <c r="A281" s="7888" t="s">
        <v>2329</v>
      </c>
      <c r="B281" s="7888" t="s">
        <v>16</v>
      </c>
      <c r="C281" s="7888" t="s">
        <v>3007</v>
      </c>
      <c r="D281" s="7888" t="s">
        <v>3008</v>
      </c>
      <c r="E281" s="7888" t="s">
        <v>3009</v>
      </c>
      <c r="F281" s="7888" t="s">
        <v>2478</v>
      </c>
      <c r="G281" s="7888" t="s">
        <v>28</v>
      </c>
      <c r="H281" s="7888" t="s">
        <v>28</v>
      </c>
      <c r="I281" s="7888" t="s">
        <v>925</v>
      </c>
    </row>
    <row customHeight="1" ht="11.25">
      <c r="A282" s="7888" t="s">
        <v>2329</v>
      </c>
      <c r="B282" s="7888" t="s">
        <v>16</v>
      </c>
      <c r="C282" s="7888" t="s">
        <v>3010</v>
      </c>
      <c r="D282" s="7888" t="s">
        <v>3011</v>
      </c>
      <c r="E282" s="7888" t="s">
        <v>3012</v>
      </c>
      <c r="F282" s="7888" t="s">
        <v>2546</v>
      </c>
      <c r="G282" s="7888" t="s">
        <v>28</v>
      </c>
      <c r="H282" s="7888" t="s">
        <v>28</v>
      </c>
      <c r="I282" s="7888" t="s">
        <v>925</v>
      </c>
    </row>
    <row customHeight="1" ht="11.25">
      <c r="A283" s="7888" t="s">
        <v>2329</v>
      </c>
      <c r="B283" s="7888" t="s">
        <v>16</v>
      </c>
      <c r="C283" s="7888" t="s">
        <v>2479</v>
      </c>
      <c r="D283" s="7888" t="s">
        <v>2480</v>
      </c>
      <c r="E283" s="7888" t="s">
        <v>2481</v>
      </c>
      <c r="F283" s="7888" t="s">
        <v>2420</v>
      </c>
      <c r="G283" s="7888" t="s">
        <v>2482</v>
      </c>
      <c r="H283" s="7888" t="s">
        <v>28</v>
      </c>
      <c r="I283" s="7888" t="s">
        <v>925</v>
      </c>
    </row>
    <row customHeight="1" ht="11.25">
      <c r="A284" s="7888" t="s">
        <v>2329</v>
      </c>
      <c r="B284" s="7888" t="s">
        <v>16</v>
      </c>
      <c r="C284" s="7888" t="s">
        <v>2483</v>
      </c>
      <c r="D284" s="7888" t="s">
        <v>2484</v>
      </c>
      <c r="E284" s="7888" t="s">
        <v>2485</v>
      </c>
      <c r="F284" s="7888" t="s">
        <v>2467</v>
      </c>
      <c r="G284" s="7888" t="s">
        <v>28</v>
      </c>
      <c r="H284" s="7888" t="s">
        <v>28</v>
      </c>
      <c r="I284" s="7888" t="s">
        <v>925</v>
      </c>
    </row>
    <row customHeight="1" ht="11.25">
      <c r="A285" s="7888" t="s">
        <v>2329</v>
      </c>
      <c r="B285" s="7888" t="s">
        <v>16</v>
      </c>
      <c r="C285" s="7888" t="s">
        <v>2490</v>
      </c>
      <c r="D285" s="7888" t="s">
        <v>2491</v>
      </c>
      <c r="E285" s="7888" t="s">
        <v>2492</v>
      </c>
      <c r="F285" s="7888" t="s">
        <v>2445</v>
      </c>
      <c r="G285" s="7888" t="s">
        <v>28</v>
      </c>
      <c r="H285" s="7888" t="s">
        <v>28</v>
      </c>
      <c r="I285" s="7888" t="s">
        <v>925</v>
      </c>
    </row>
    <row customHeight="1" ht="11.25">
      <c r="A286" s="7888" t="s">
        <v>2329</v>
      </c>
      <c r="B286" s="7888" t="s">
        <v>16</v>
      </c>
      <c r="C286" s="7888" t="s">
        <v>2493</v>
      </c>
      <c r="D286" s="7888" t="s">
        <v>2494</v>
      </c>
      <c r="E286" s="7888" t="s">
        <v>2495</v>
      </c>
      <c r="F286" s="7888" t="s">
        <v>2496</v>
      </c>
      <c r="G286" s="7888" t="s">
        <v>28</v>
      </c>
      <c r="H286" s="7888" t="s">
        <v>28</v>
      </c>
      <c r="I286" s="7888" t="s">
        <v>925</v>
      </c>
    </row>
    <row customHeight="1" ht="11.25">
      <c r="A287" s="7888" t="s">
        <v>2329</v>
      </c>
      <c r="B287" s="7888" t="s">
        <v>16</v>
      </c>
      <c r="C287" s="7888" t="s">
        <v>2497</v>
      </c>
      <c r="D287" s="7888" t="s">
        <v>2498</v>
      </c>
      <c r="E287" s="7888" t="s">
        <v>2499</v>
      </c>
      <c r="F287" s="7888" t="s">
        <v>2478</v>
      </c>
      <c r="G287" s="7888" t="s">
        <v>2500</v>
      </c>
      <c r="H287" s="7888" t="s">
        <v>28</v>
      </c>
      <c r="I287" s="7888" t="s">
        <v>925</v>
      </c>
    </row>
    <row customHeight="1" ht="11.25">
      <c r="A288" s="7888" t="s">
        <v>2329</v>
      </c>
      <c r="B288" s="7888" t="s">
        <v>16</v>
      </c>
      <c r="C288" s="7888" t="s">
        <v>2501</v>
      </c>
      <c r="D288" s="7888" t="s">
        <v>2502</v>
      </c>
      <c r="E288" s="7888" t="s">
        <v>2503</v>
      </c>
      <c r="F288" s="7888" t="s">
        <v>2504</v>
      </c>
      <c r="G288" s="7888" t="s">
        <v>28</v>
      </c>
      <c r="H288" s="7888" t="s">
        <v>28</v>
      </c>
      <c r="I288" s="7888" t="s">
        <v>925</v>
      </c>
    </row>
    <row customHeight="1" ht="11.25">
      <c r="A289" s="7888" t="s">
        <v>2329</v>
      </c>
      <c r="B289" s="7888" t="s">
        <v>16</v>
      </c>
      <c r="C289" s="7888" t="s">
        <v>2505</v>
      </c>
      <c r="D289" s="7888" t="s">
        <v>2506</v>
      </c>
      <c r="E289" s="7888" t="s">
        <v>2507</v>
      </c>
      <c r="F289" s="7888" t="s">
        <v>2504</v>
      </c>
      <c r="G289" s="7888" t="s">
        <v>2508</v>
      </c>
      <c r="H289" s="7888" t="s">
        <v>28</v>
      </c>
      <c r="I289" s="7888" t="s">
        <v>925</v>
      </c>
    </row>
    <row customHeight="1" ht="11.25">
      <c r="A290" s="7888" t="s">
        <v>2329</v>
      </c>
      <c r="B290" s="7888" t="s">
        <v>16</v>
      </c>
      <c r="C290" s="7888" t="s">
        <v>2509</v>
      </c>
      <c r="D290" s="7888" t="s">
        <v>2510</v>
      </c>
      <c r="E290" s="7888" t="s">
        <v>2511</v>
      </c>
      <c r="F290" s="7888" t="s">
        <v>2478</v>
      </c>
      <c r="G290" s="7888" t="s">
        <v>28</v>
      </c>
      <c r="H290" s="7888" t="s">
        <v>28</v>
      </c>
      <c r="I290" s="7888" t="s">
        <v>925</v>
      </c>
    </row>
    <row customHeight="1" ht="11.25">
      <c r="A291" s="7888" t="s">
        <v>2329</v>
      </c>
      <c r="B291" s="7888" t="s">
        <v>16</v>
      </c>
      <c r="C291" s="7888" t="s">
        <v>2512</v>
      </c>
      <c r="D291" s="7888" t="s">
        <v>2513</v>
      </c>
      <c r="E291" s="7888" t="s">
        <v>2514</v>
      </c>
      <c r="F291" s="7888" t="s">
        <v>2515</v>
      </c>
      <c r="G291" s="7888" t="s">
        <v>2516</v>
      </c>
      <c r="H291" s="7888" t="s">
        <v>28</v>
      </c>
      <c r="I291" s="7888" t="s">
        <v>925</v>
      </c>
    </row>
    <row customHeight="1" ht="11.25">
      <c r="A292" s="7888" t="s">
        <v>2329</v>
      </c>
      <c r="B292" s="7888" t="s">
        <v>16</v>
      </c>
      <c r="C292" s="7888" t="s">
        <v>3013</v>
      </c>
      <c r="D292" s="7888" t="s">
        <v>3014</v>
      </c>
      <c r="E292" s="7888" t="s">
        <v>3015</v>
      </c>
      <c r="F292" s="7888" t="s">
        <v>2478</v>
      </c>
      <c r="G292" s="7888" t="s">
        <v>3016</v>
      </c>
      <c r="H292" s="7888" t="s">
        <v>28</v>
      </c>
      <c r="I292" s="7888" t="s">
        <v>925</v>
      </c>
    </row>
    <row customHeight="1" ht="11.25">
      <c r="A293" s="7888" t="s">
        <v>2329</v>
      </c>
      <c r="B293" s="7888" t="s">
        <v>16</v>
      </c>
      <c r="C293" s="7888" t="s">
        <v>3017</v>
      </c>
      <c r="D293" s="7888" t="s">
        <v>3018</v>
      </c>
      <c r="E293" s="7888" t="s">
        <v>3019</v>
      </c>
      <c r="F293" s="7888" t="s">
        <v>2515</v>
      </c>
      <c r="G293" s="7888" t="s">
        <v>3020</v>
      </c>
      <c r="H293" s="7888" t="s">
        <v>28</v>
      </c>
      <c r="I293" s="7888" t="s">
        <v>925</v>
      </c>
    </row>
    <row customHeight="1" ht="11.25">
      <c r="A294" s="7888" t="s">
        <v>2329</v>
      </c>
      <c r="B294" s="7888" t="s">
        <v>16</v>
      </c>
      <c r="C294" s="7888" t="s">
        <v>2521</v>
      </c>
      <c r="D294" s="7888" t="s">
        <v>2522</v>
      </c>
      <c r="E294" s="7888" t="s">
        <v>2523</v>
      </c>
      <c r="F294" s="7888" t="s">
        <v>2524</v>
      </c>
      <c r="G294" s="7888" t="s">
        <v>28</v>
      </c>
      <c r="H294" s="7888" t="s">
        <v>28</v>
      </c>
      <c r="I294" s="7888" t="s">
        <v>925</v>
      </c>
    </row>
    <row customHeight="1" ht="11.25">
      <c r="A295" s="7888" t="s">
        <v>2329</v>
      </c>
      <c r="B295" s="7888" t="s">
        <v>16</v>
      </c>
      <c r="C295" s="7888" t="s">
        <v>3021</v>
      </c>
      <c r="D295" s="7888" t="s">
        <v>3022</v>
      </c>
      <c r="E295" s="7888" t="s">
        <v>3023</v>
      </c>
      <c r="F295" s="7888" t="s">
        <v>2515</v>
      </c>
      <c r="G295" s="7888" t="s">
        <v>28</v>
      </c>
      <c r="H295" s="7888" t="s">
        <v>28</v>
      </c>
      <c r="I295" s="7888" t="s">
        <v>925</v>
      </c>
    </row>
    <row customHeight="1" ht="11.25">
      <c r="A296" s="7888" t="s">
        <v>2329</v>
      </c>
      <c r="B296" s="7888" t="s">
        <v>16</v>
      </c>
      <c r="C296" s="7888" t="s">
        <v>2529</v>
      </c>
      <c r="D296" s="7888" t="s">
        <v>2530</v>
      </c>
      <c r="E296" s="7888" t="s">
        <v>2531</v>
      </c>
      <c r="F296" s="7888" t="s">
        <v>2515</v>
      </c>
      <c r="G296" s="7888" t="s">
        <v>2532</v>
      </c>
      <c r="H296" s="7888" t="s">
        <v>28</v>
      </c>
      <c r="I296" s="7888" t="s">
        <v>925</v>
      </c>
    </row>
    <row customHeight="1" ht="11.25">
      <c r="A297" s="7888" t="s">
        <v>2329</v>
      </c>
      <c r="B297" s="7888" t="s">
        <v>16</v>
      </c>
      <c r="C297" s="7888" t="s">
        <v>2533</v>
      </c>
      <c r="D297" s="7888" t="s">
        <v>2534</v>
      </c>
      <c r="E297" s="7888" t="s">
        <v>2535</v>
      </c>
      <c r="F297" s="7888" t="s">
        <v>2504</v>
      </c>
      <c r="G297" s="7888" t="s">
        <v>2536</v>
      </c>
      <c r="H297" s="7888" t="s">
        <v>28</v>
      </c>
      <c r="I297" s="7888" t="s">
        <v>925</v>
      </c>
    </row>
    <row customHeight="1" ht="11.25">
      <c r="A298" s="7888" t="s">
        <v>2329</v>
      </c>
      <c r="B298" s="7888" t="s">
        <v>16</v>
      </c>
      <c r="C298" s="7888" t="s">
        <v>2537</v>
      </c>
      <c r="D298" s="7888" t="s">
        <v>2538</v>
      </c>
      <c r="E298" s="7888" t="s">
        <v>2539</v>
      </c>
      <c r="F298" s="7888" t="s">
        <v>2504</v>
      </c>
      <c r="G298" s="7888" t="s">
        <v>28</v>
      </c>
      <c r="H298" s="7888" t="s">
        <v>28</v>
      </c>
      <c r="I298" s="7888" t="s">
        <v>925</v>
      </c>
    </row>
    <row customHeight="1" ht="11.25">
      <c r="A299" s="7888" t="s">
        <v>2329</v>
      </c>
      <c r="B299" s="7888" t="s">
        <v>16</v>
      </c>
      <c r="C299" s="7888" t="s">
        <v>3024</v>
      </c>
      <c r="D299" s="7888" t="s">
        <v>3025</v>
      </c>
      <c r="E299" s="7888" t="s">
        <v>3026</v>
      </c>
      <c r="F299" s="7888" t="s">
        <v>2467</v>
      </c>
      <c r="G299" s="7888" t="s">
        <v>3027</v>
      </c>
      <c r="H299" s="7888" t="s">
        <v>28</v>
      </c>
      <c r="I299" s="7888" t="s">
        <v>925</v>
      </c>
    </row>
    <row customHeight="1" ht="11.25">
      <c r="A300" s="7888" t="s">
        <v>2329</v>
      </c>
      <c r="B300" s="7888" t="s">
        <v>16</v>
      </c>
      <c r="C300" s="7888" t="s">
        <v>2540</v>
      </c>
      <c r="D300" s="7888" t="s">
        <v>2541</v>
      </c>
      <c r="E300" s="7888" t="s">
        <v>2542</v>
      </c>
      <c r="F300" s="7888" t="s">
        <v>2424</v>
      </c>
      <c r="G300" s="7888" t="s">
        <v>28</v>
      </c>
      <c r="H300" s="7888" t="s">
        <v>28</v>
      </c>
      <c r="I300" s="7888" t="s">
        <v>925</v>
      </c>
    </row>
    <row customHeight="1" ht="11.25">
      <c r="A301" s="7888" t="s">
        <v>2329</v>
      </c>
      <c r="B301" s="7888" t="s">
        <v>16</v>
      </c>
      <c r="C301" s="7888" t="s">
        <v>2547</v>
      </c>
      <c r="D301" s="7888" t="s">
        <v>2548</v>
      </c>
      <c r="E301" s="7888" t="s">
        <v>2549</v>
      </c>
      <c r="F301" s="7888" t="s">
        <v>2467</v>
      </c>
      <c r="G301" s="7888" t="s">
        <v>2550</v>
      </c>
      <c r="H301" s="7888" t="s">
        <v>28</v>
      </c>
      <c r="I301" s="7888" t="s">
        <v>925</v>
      </c>
    </row>
    <row customHeight="1" ht="11.25">
      <c r="A302" s="7888" t="s">
        <v>2329</v>
      </c>
      <c r="B302" s="7888" t="s">
        <v>16</v>
      </c>
      <c r="C302" s="7888" t="s">
        <v>2551</v>
      </c>
      <c r="D302" s="7888" t="s">
        <v>2552</v>
      </c>
      <c r="E302" s="7888" t="s">
        <v>2553</v>
      </c>
      <c r="F302" s="7888" t="s">
        <v>2504</v>
      </c>
      <c r="G302" s="7888" t="s">
        <v>2554</v>
      </c>
      <c r="H302" s="7888" t="s">
        <v>28</v>
      </c>
      <c r="I302" s="7888" t="s">
        <v>925</v>
      </c>
    </row>
    <row customHeight="1" ht="11.25">
      <c r="A303" s="7888" t="s">
        <v>2329</v>
      </c>
      <c r="B303" s="7888" t="s">
        <v>16</v>
      </c>
      <c r="C303" s="7888" t="s">
        <v>2558</v>
      </c>
      <c r="D303" s="7888" t="s">
        <v>2559</v>
      </c>
      <c r="E303" s="7888" t="s">
        <v>2560</v>
      </c>
      <c r="F303" s="7888" t="s">
        <v>2515</v>
      </c>
      <c r="G303" s="7888" t="s">
        <v>28</v>
      </c>
      <c r="H303" s="7888" t="s">
        <v>28</v>
      </c>
      <c r="I303" s="7888" t="s">
        <v>925</v>
      </c>
    </row>
    <row customHeight="1" ht="11.25">
      <c r="A304" s="7888" t="s">
        <v>2329</v>
      </c>
      <c r="B304" s="7888" t="s">
        <v>16</v>
      </c>
      <c r="C304" s="7888" t="s">
        <v>2561</v>
      </c>
      <c r="D304" s="7888" t="s">
        <v>2562</v>
      </c>
      <c r="E304" s="7888" t="s">
        <v>2563</v>
      </c>
      <c r="F304" s="7888" t="s">
        <v>2546</v>
      </c>
      <c r="G304" s="7888" t="s">
        <v>28</v>
      </c>
      <c r="H304" s="7888" t="s">
        <v>28</v>
      </c>
      <c r="I304" s="7888" t="s">
        <v>925</v>
      </c>
    </row>
    <row customHeight="1" ht="11.25">
      <c r="A305" s="7888" t="s">
        <v>2329</v>
      </c>
      <c r="B305" s="7888" t="s">
        <v>16</v>
      </c>
      <c r="C305" s="7888" t="s">
        <v>2564</v>
      </c>
      <c r="D305" s="7888" t="s">
        <v>2565</v>
      </c>
      <c r="E305" s="7888" t="s">
        <v>2566</v>
      </c>
      <c r="F305" s="7888" t="s">
        <v>2504</v>
      </c>
      <c r="G305" s="7888" t="s">
        <v>2567</v>
      </c>
      <c r="H305" s="7888" t="s">
        <v>28</v>
      </c>
      <c r="I305" s="7888" t="s">
        <v>925</v>
      </c>
    </row>
    <row customHeight="1" ht="11.25">
      <c r="A306" s="7888" t="s">
        <v>2329</v>
      </c>
      <c r="B306" s="7888" t="s">
        <v>16</v>
      </c>
      <c r="C306" s="7888" t="s">
        <v>2572</v>
      </c>
      <c r="D306" s="7888" t="s">
        <v>2573</v>
      </c>
      <c r="E306" s="7888" t="s">
        <v>2574</v>
      </c>
      <c r="F306" s="7888" t="s">
        <v>2515</v>
      </c>
      <c r="G306" s="7888" t="s">
        <v>2575</v>
      </c>
      <c r="H306" s="7888" t="s">
        <v>28</v>
      </c>
      <c r="I306" s="7888" t="s">
        <v>925</v>
      </c>
    </row>
    <row customHeight="1" ht="11.25">
      <c r="A307" s="7888" t="s">
        <v>2329</v>
      </c>
      <c r="B307" s="7888" t="s">
        <v>16</v>
      </c>
      <c r="C307" s="7888" t="s">
        <v>2576</v>
      </c>
      <c r="D307" s="7888" t="s">
        <v>2573</v>
      </c>
      <c r="E307" s="7888" t="s">
        <v>2577</v>
      </c>
      <c r="F307" s="7888" t="s">
        <v>2390</v>
      </c>
      <c r="G307" s="7888" t="s">
        <v>2578</v>
      </c>
      <c r="H307" s="7888" t="s">
        <v>28</v>
      </c>
      <c r="I307" s="7888" t="s">
        <v>925</v>
      </c>
    </row>
    <row customHeight="1" ht="11.25">
      <c r="A308" s="7888" t="s">
        <v>2329</v>
      </c>
      <c r="B308" s="7888" t="s">
        <v>16</v>
      </c>
      <c r="C308" s="7888" t="s">
        <v>2579</v>
      </c>
      <c r="D308" s="7888" t="s">
        <v>2580</v>
      </c>
      <c r="E308" s="7888" t="s">
        <v>2581</v>
      </c>
      <c r="F308" s="7888" t="s">
        <v>2496</v>
      </c>
      <c r="G308" s="7888" t="s">
        <v>28</v>
      </c>
      <c r="H308" s="7888" t="s">
        <v>28</v>
      </c>
      <c r="I308" s="7888" t="s">
        <v>925</v>
      </c>
    </row>
    <row customHeight="1" ht="11.25">
      <c r="A309" s="7888" t="s">
        <v>2329</v>
      </c>
      <c r="B309" s="7888" t="s">
        <v>16</v>
      </c>
      <c r="C309" s="7888" t="s">
        <v>2582</v>
      </c>
      <c r="D309" s="7888" t="s">
        <v>2583</v>
      </c>
      <c r="E309" s="7888" t="s">
        <v>2584</v>
      </c>
      <c r="F309" s="7888" t="s">
        <v>2496</v>
      </c>
      <c r="G309" s="7888" t="s">
        <v>2585</v>
      </c>
      <c r="H309" s="7888" t="s">
        <v>28</v>
      </c>
      <c r="I309" s="7888" t="s">
        <v>925</v>
      </c>
    </row>
    <row customHeight="1" ht="11.25">
      <c r="A310" s="7888" t="s">
        <v>2329</v>
      </c>
      <c r="B310" s="7888" t="s">
        <v>16</v>
      </c>
      <c r="C310" s="7888" t="s">
        <v>2586</v>
      </c>
      <c r="D310" s="7888" t="s">
        <v>2587</v>
      </c>
      <c r="E310" s="7888" t="s">
        <v>2588</v>
      </c>
      <c r="F310" s="7888" t="s">
        <v>2458</v>
      </c>
      <c r="G310" s="7888" t="s">
        <v>28</v>
      </c>
      <c r="H310" s="7888" t="s">
        <v>28</v>
      </c>
      <c r="I310" s="7888" t="s">
        <v>925</v>
      </c>
    </row>
    <row customHeight="1" ht="11.25">
      <c r="A311" s="7888" t="s">
        <v>2329</v>
      </c>
      <c r="B311" s="7888" t="s">
        <v>16</v>
      </c>
      <c r="C311" s="7888" t="s">
        <v>2589</v>
      </c>
      <c r="D311" s="7888" t="s">
        <v>2590</v>
      </c>
      <c r="E311" s="7888" t="s">
        <v>2591</v>
      </c>
      <c r="F311" s="7888" t="s">
        <v>2467</v>
      </c>
      <c r="G311" s="7888" t="s">
        <v>2592</v>
      </c>
      <c r="H311" s="7888" t="s">
        <v>28</v>
      </c>
      <c r="I311" s="7888" t="s">
        <v>925</v>
      </c>
    </row>
    <row customHeight="1" ht="11.25">
      <c r="A312" s="7888" t="s">
        <v>2329</v>
      </c>
      <c r="B312" s="7888" t="s">
        <v>16</v>
      </c>
      <c r="C312" s="7888" t="s">
        <v>2593</v>
      </c>
      <c r="D312" s="7888" t="s">
        <v>2594</v>
      </c>
      <c r="E312" s="7888" t="s">
        <v>2595</v>
      </c>
      <c r="F312" s="7888" t="s">
        <v>2467</v>
      </c>
      <c r="G312" s="7888" t="s">
        <v>2596</v>
      </c>
      <c r="H312" s="7888" t="s">
        <v>28</v>
      </c>
      <c r="I312" s="7888" t="s">
        <v>925</v>
      </c>
    </row>
    <row customHeight="1" ht="11.25">
      <c r="A313" s="7888" t="s">
        <v>2329</v>
      </c>
      <c r="B313" s="7888" t="s">
        <v>16</v>
      </c>
      <c r="C313" s="7888" t="s">
        <v>2597</v>
      </c>
      <c r="D313" s="7888" t="s">
        <v>2598</v>
      </c>
      <c r="E313" s="7888" t="s">
        <v>2599</v>
      </c>
      <c r="F313" s="7888" t="s">
        <v>2458</v>
      </c>
      <c r="G313" s="7888" t="s">
        <v>2600</v>
      </c>
      <c r="H313" s="7888" t="s">
        <v>28</v>
      </c>
      <c r="I313" s="7888" t="s">
        <v>925</v>
      </c>
    </row>
    <row customHeight="1" ht="11.25">
      <c r="A314" s="7888" t="s">
        <v>2329</v>
      </c>
      <c r="B314" s="7888" t="s">
        <v>16</v>
      </c>
      <c r="C314" s="7888" t="s">
        <v>2601</v>
      </c>
      <c r="D314" s="7888" t="s">
        <v>2602</v>
      </c>
      <c r="E314" s="7888" t="s">
        <v>2603</v>
      </c>
      <c r="F314" s="7888" t="s">
        <v>2478</v>
      </c>
      <c r="G314" s="7888" t="s">
        <v>2604</v>
      </c>
      <c r="H314" s="7888" t="s">
        <v>28</v>
      </c>
      <c r="I314" s="7888" t="s">
        <v>925</v>
      </c>
    </row>
    <row customHeight="1" ht="11.25">
      <c r="A315" s="7888" t="s">
        <v>2329</v>
      </c>
      <c r="B315" s="7888" t="s">
        <v>16</v>
      </c>
      <c r="C315" s="7888" t="s">
        <v>3028</v>
      </c>
      <c r="D315" s="7888" t="s">
        <v>3029</v>
      </c>
      <c r="E315" s="7888" t="s">
        <v>3030</v>
      </c>
      <c r="F315" s="7888" t="s">
        <v>54</v>
      </c>
      <c r="G315" s="7888" t="s">
        <v>28</v>
      </c>
      <c r="H315" s="7888" t="s">
        <v>28</v>
      </c>
      <c r="I315" s="7888" t="s">
        <v>925</v>
      </c>
    </row>
    <row customHeight="1" ht="11.25">
      <c r="A316" s="7888" t="s">
        <v>2329</v>
      </c>
      <c r="B316" s="7888" t="s">
        <v>16</v>
      </c>
      <c r="C316" s="7888" t="s">
        <v>2608</v>
      </c>
      <c r="D316" s="7888" t="s">
        <v>2609</v>
      </c>
      <c r="E316" s="7888" t="s">
        <v>2610</v>
      </c>
      <c r="F316" s="7888" t="s">
        <v>2524</v>
      </c>
      <c r="G316" s="7888" t="s">
        <v>28</v>
      </c>
      <c r="H316" s="7888" t="s">
        <v>28</v>
      </c>
      <c r="I316" s="7888" t="s">
        <v>925</v>
      </c>
    </row>
    <row customHeight="1" ht="11.25">
      <c r="A317" s="7888" t="s">
        <v>2329</v>
      </c>
      <c r="B317" s="7888" t="s">
        <v>16</v>
      </c>
      <c r="C317" s="7888" t="s">
        <v>2614</v>
      </c>
      <c r="D317" s="7888" t="s">
        <v>2615</v>
      </c>
      <c r="E317" s="7888" t="s">
        <v>2616</v>
      </c>
      <c r="F317" s="7888" t="s">
        <v>2390</v>
      </c>
      <c r="G317" s="7888" t="s">
        <v>2617</v>
      </c>
      <c r="H317" s="7888" t="s">
        <v>28</v>
      </c>
      <c r="I317" s="7888" t="s">
        <v>925</v>
      </c>
    </row>
    <row customHeight="1" ht="11.25">
      <c r="A318" s="7888" t="s">
        <v>2329</v>
      </c>
      <c r="B318" s="7888" t="s">
        <v>16</v>
      </c>
      <c r="C318" s="7888" t="s">
        <v>2618</v>
      </c>
      <c r="D318" s="7888" t="s">
        <v>2619</v>
      </c>
      <c r="E318" s="7888" t="s">
        <v>2620</v>
      </c>
      <c r="F318" s="7888" t="s">
        <v>2458</v>
      </c>
      <c r="G318" s="7888" t="s">
        <v>28</v>
      </c>
      <c r="H318" s="7888" t="s">
        <v>28</v>
      </c>
      <c r="I318" s="7888" t="s">
        <v>925</v>
      </c>
    </row>
    <row customHeight="1" ht="11.25">
      <c r="A319" s="7888" t="s">
        <v>2329</v>
      </c>
      <c r="B319" s="7888" t="s">
        <v>16</v>
      </c>
      <c r="C319" s="7888" t="s">
        <v>2621</v>
      </c>
      <c r="D319" s="7888" t="s">
        <v>2622</v>
      </c>
      <c r="E319" s="7888" t="s">
        <v>2623</v>
      </c>
      <c r="F319" s="7888" t="s">
        <v>2504</v>
      </c>
      <c r="G319" s="7888" t="s">
        <v>28</v>
      </c>
      <c r="H319" s="7888" t="s">
        <v>28</v>
      </c>
      <c r="I319" s="7888" t="s">
        <v>925</v>
      </c>
    </row>
    <row customHeight="1" ht="11.25">
      <c r="A320" s="7888" t="s">
        <v>2329</v>
      </c>
      <c r="B320" s="7888" t="s">
        <v>16</v>
      </c>
      <c r="C320" s="7888" t="s">
        <v>2627</v>
      </c>
      <c r="D320" s="7888" t="s">
        <v>2628</v>
      </c>
      <c r="E320" s="7888" t="s">
        <v>2427</v>
      </c>
      <c r="F320" s="7888" t="s">
        <v>2629</v>
      </c>
      <c r="G320" s="7888" t="s">
        <v>28</v>
      </c>
      <c r="H320" s="7888" t="s">
        <v>28</v>
      </c>
      <c r="I320" s="7888" t="s">
        <v>925</v>
      </c>
    </row>
    <row customHeight="1" ht="11.25">
      <c r="A321" s="7888" t="s">
        <v>2329</v>
      </c>
      <c r="B321" s="7888" t="s">
        <v>16</v>
      </c>
      <c r="C321" s="7888" t="s">
        <v>2634</v>
      </c>
      <c r="D321" s="7888" t="s">
        <v>2635</v>
      </c>
      <c r="E321" s="7888" t="s">
        <v>2636</v>
      </c>
      <c r="F321" s="7888" t="s">
        <v>2637</v>
      </c>
      <c r="G321" s="7888" t="s">
        <v>2638</v>
      </c>
      <c r="H321" s="7888" t="s">
        <v>28</v>
      </c>
      <c r="I321" s="7888" t="s">
        <v>925</v>
      </c>
    </row>
    <row customHeight="1" ht="11.25">
      <c r="A322" s="7888" t="s">
        <v>2329</v>
      </c>
      <c r="B322" s="7888" t="s">
        <v>16</v>
      </c>
      <c r="C322" s="7888" t="s">
        <v>2639</v>
      </c>
      <c r="D322" s="7888" t="s">
        <v>2640</v>
      </c>
      <c r="E322" s="7888" t="s">
        <v>2641</v>
      </c>
      <c r="F322" s="7888" t="s">
        <v>2390</v>
      </c>
      <c r="G322" s="7888" t="s">
        <v>28</v>
      </c>
      <c r="H322" s="7888" t="s">
        <v>28</v>
      </c>
      <c r="I322" s="7888" t="s">
        <v>925</v>
      </c>
    </row>
    <row customHeight="1" ht="11.25">
      <c r="A323" s="7888" t="s">
        <v>2329</v>
      </c>
      <c r="B323" s="7888" t="s">
        <v>16</v>
      </c>
      <c r="C323" s="7888" t="s">
        <v>2642</v>
      </c>
      <c r="D323" s="7888" t="s">
        <v>2643</v>
      </c>
      <c r="E323" s="7888" t="s">
        <v>2644</v>
      </c>
      <c r="F323" s="7888" t="s">
        <v>2458</v>
      </c>
      <c r="G323" s="7888" t="s">
        <v>28</v>
      </c>
      <c r="H323" s="7888" t="s">
        <v>28</v>
      </c>
      <c r="I323" s="7888" t="s">
        <v>925</v>
      </c>
    </row>
    <row customHeight="1" ht="11.25">
      <c r="A324" s="7888" t="s">
        <v>2329</v>
      </c>
      <c r="B324" s="7888" t="s">
        <v>16</v>
      </c>
      <c r="C324" s="7888" t="s">
        <v>2645</v>
      </c>
      <c r="D324" s="7888" t="s">
        <v>2646</v>
      </c>
      <c r="E324" s="7888" t="s">
        <v>2647</v>
      </c>
      <c r="F324" s="7888" t="s">
        <v>2458</v>
      </c>
      <c r="G324" s="7888" t="s">
        <v>28</v>
      </c>
      <c r="H324" s="7888" t="s">
        <v>28</v>
      </c>
      <c r="I324" s="7888" t="s">
        <v>925</v>
      </c>
    </row>
    <row customHeight="1" ht="11.25">
      <c r="A325" s="7888" t="s">
        <v>2329</v>
      </c>
      <c r="B325" s="7888" t="s">
        <v>16</v>
      </c>
      <c r="C325" s="7888" t="s">
        <v>3031</v>
      </c>
      <c r="D325" s="7888" t="s">
        <v>3032</v>
      </c>
      <c r="E325" s="7888" t="s">
        <v>3033</v>
      </c>
      <c r="F325" s="7888" t="s">
        <v>2679</v>
      </c>
      <c r="G325" s="7888" t="s">
        <v>28</v>
      </c>
      <c r="H325" s="7888" t="s">
        <v>28</v>
      </c>
      <c r="I325" s="7888" t="s">
        <v>925</v>
      </c>
    </row>
    <row customHeight="1" ht="11.25">
      <c r="A326" s="7888" t="s">
        <v>2329</v>
      </c>
      <c r="B326" s="7888" t="s">
        <v>16</v>
      </c>
      <c r="C326" s="7888" t="s">
        <v>3034</v>
      </c>
      <c r="D326" s="7888" t="s">
        <v>3035</v>
      </c>
      <c r="E326" s="7888" t="s">
        <v>3036</v>
      </c>
      <c r="F326" s="7888" t="s">
        <v>54</v>
      </c>
      <c r="G326" s="7888" t="s">
        <v>3037</v>
      </c>
      <c r="H326" s="7888" t="s">
        <v>28</v>
      </c>
      <c r="I326" s="7888" t="s">
        <v>925</v>
      </c>
    </row>
    <row customHeight="1" ht="11.25">
      <c r="A327" s="7888" t="s">
        <v>2329</v>
      </c>
      <c r="B327" s="7888" t="s">
        <v>16</v>
      </c>
      <c r="C327" s="7888" t="s">
        <v>3038</v>
      </c>
      <c r="D327" s="7888" t="s">
        <v>3039</v>
      </c>
      <c r="E327" s="7888" t="s">
        <v>3040</v>
      </c>
      <c r="F327" s="7888" t="s">
        <v>2679</v>
      </c>
      <c r="G327" s="7888" t="s">
        <v>28</v>
      </c>
      <c r="H327" s="7888" t="s">
        <v>28</v>
      </c>
      <c r="I327" s="7888" t="s">
        <v>925</v>
      </c>
    </row>
    <row customHeight="1" ht="11.25">
      <c r="A328" s="7888" t="s">
        <v>2329</v>
      </c>
      <c r="B328" s="7888" t="s">
        <v>16</v>
      </c>
      <c r="C328" s="7888" t="s">
        <v>3041</v>
      </c>
      <c r="D328" s="7888" t="s">
        <v>3039</v>
      </c>
      <c r="E328" s="7888" t="s">
        <v>3042</v>
      </c>
      <c r="F328" s="7888" t="s">
        <v>2424</v>
      </c>
      <c r="G328" s="7888" t="s">
        <v>28</v>
      </c>
      <c r="H328" s="7888" t="s">
        <v>28</v>
      </c>
      <c r="I328" s="7888" t="s">
        <v>925</v>
      </c>
    </row>
    <row customHeight="1" ht="11.25">
      <c r="A329" s="7888" t="s">
        <v>2329</v>
      </c>
      <c r="B329" s="7888" t="s">
        <v>16</v>
      </c>
      <c r="C329" s="7888" t="s">
        <v>3043</v>
      </c>
      <c r="D329" s="7888" t="s">
        <v>3044</v>
      </c>
      <c r="E329" s="7888" t="s">
        <v>3045</v>
      </c>
      <c r="F329" s="7888" t="s">
        <v>2420</v>
      </c>
      <c r="G329" s="7888" t="s">
        <v>28</v>
      </c>
      <c r="H329" s="7888" t="s">
        <v>28</v>
      </c>
      <c r="I329" s="7888" t="s">
        <v>925</v>
      </c>
    </row>
    <row customHeight="1" ht="11.25">
      <c r="A330" s="7888" t="s">
        <v>2329</v>
      </c>
      <c r="B330" s="7888" t="s">
        <v>16</v>
      </c>
      <c r="C330" s="7888" t="s">
        <v>3046</v>
      </c>
      <c r="D330" s="7888" t="s">
        <v>3047</v>
      </c>
      <c r="E330" s="7888" t="s">
        <v>3048</v>
      </c>
      <c r="F330" s="7888" t="s">
        <v>2679</v>
      </c>
      <c r="G330" s="7888" t="s">
        <v>3049</v>
      </c>
      <c r="H330" s="7888" t="s">
        <v>28</v>
      </c>
      <c r="I330" s="7888" t="s">
        <v>925</v>
      </c>
    </row>
    <row customHeight="1" ht="11.25">
      <c r="A331" s="7888" t="s">
        <v>2329</v>
      </c>
      <c r="B331" s="7888" t="s">
        <v>16</v>
      </c>
      <c r="C331" s="7888" t="s">
        <v>3050</v>
      </c>
      <c r="D331" s="7888" t="s">
        <v>3051</v>
      </c>
      <c r="E331" s="7888" t="s">
        <v>3052</v>
      </c>
      <c r="F331" s="7888" t="s">
        <v>2458</v>
      </c>
      <c r="G331" s="7888" t="s">
        <v>3053</v>
      </c>
      <c r="H331" s="7888" t="s">
        <v>28</v>
      </c>
      <c r="I331" s="7888" t="s">
        <v>925</v>
      </c>
    </row>
    <row customHeight="1" ht="11.25">
      <c r="A332" s="7888" t="s">
        <v>2329</v>
      </c>
      <c r="B332" s="7888" t="s">
        <v>16</v>
      </c>
      <c r="C332" s="7888" t="s">
        <v>2673</v>
      </c>
      <c r="D332" s="7888" t="s">
        <v>2674</v>
      </c>
      <c r="E332" s="7888" t="s">
        <v>2675</v>
      </c>
      <c r="F332" s="7888" t="s">
        <v>2504</v>
      </c>
      <c r="G332" s="7888" t="s">
        <v>28</v>
      </c>
      <c r="H332" s="7888" t="s">
        <v>28</v>
      </c>
      <c r="I332" s="7888" t="s">
        <v>925</v>
      </c>
    </row>
    <row customHeight="1" ht="11.25">
      <c r="A333" s="7888" t="s">
        <v>2329</v>
      </c>
      <c r="B333" s="7888" t="s">
        <v>16</v>
      </c>
      <c r="C333" s="7888" t="s">
        <v>2676</v>
      </c>
      <c r="D333" s="7888" t="s">
        <v>2677</v>
      </c>
      <c r="E333" s="7888" t="s">
        <v>2678</v>
      </c>
      <c r="F333" s="7888" t="s">
        <v>2679</v>
      </c>
      <c r="G333" s="7888" t="s">
        <v>28</v>
      </c>
      <c r="H333" s="7888" t="s">
        <v>28</v>
      </c>
      <c r="I333" s="7888" t="s">
        <v>925</v>
      </c>
    </row>
    <row customHeight="1" ht="11.25">
      <c r="A334" s="7888" t="s">
        <v>2329</v>
      </c>
      <c r="B334" s="7888" t="s">
        <v>16</v>
      </c>
      <c r="C334" s="7888" t="s">
        <v>3054</v>
      </c>
      <c r="D334" s="7888" t="s">
        <v>3055</v>
      </c>
      <c r="E334" s="7888" t="s">
        <v>3056</v>
      </c>
      <c r="F334" s="7888" t="s">
        <v>2515</v>
      </c>
      <c r="G334" s="7888" t="s">
        <v>3057</v>
      </c>
      <c r="H334" s="7888" t="s">
        <v>28</v>
      </c>
      <c r="I334" s="7888" t="s">
        <v>925</v>
      </c>
    </row>
    <row customHeight="1" ht="11.25">
      <c r="A335" s="7888" t="s">
        <v>2329</v>
      </c>
      <c r="B335" s="7888" t="s">
        <v>16</v>
      </c>
      <c r="C335" s="7888" t="s">
        <v>2704</v>
      </c>
      <c r="D335" s="7888" t="s">
        <v>2705</v>
      </c>
      <c r="E335" s="7888" t="s">
        <v>2706</v>
      </c>
      <c r="F335" s="7888" t="s">
        <v>2707</v>
      </c>
      <c r="G335" s="7888" t="s">
        <v>28</v>
      </c>
      <c r="H335" s="7888" t="s">
        <v>28</v>
      </c>
      <c r="I335" s="7888" t="s">
        <v>925</v>
      </c>
    </row>
    <row customHeight="1" ht="11.25">
      <c r="A336" s="7888" t="s">
        <v>2329</v>
      </c>
      <c r="B336" s="7888" t="s">
        <v>16</v>
      </c>
      <c r="C336" s="7888" t="s">
        <v>2708</v>
      </c>
      <c r="D336" s="7888" t="s">
        <v>2709</v>
      </c>
      <c r="E336" s="7888" t="s">
        <v>2710</v>
      </c>
      <c r="F336" s="7888" t="s">
        <v>2707</v>
      </c>
      <c r="G336" s="7888" t="s">
        <v>28</v>
      </c>
      <c r="H336" s="7888" t="s">
        <v>28</v>
      </c>
      <c r="I336" s="7888" t="s">
        <v>925</v>
      </c>
    </row>
    <row customHeight="1" ht="11.25">
      <c r="A337" s="7888" t="s">
        <v>2329</v>
      </c>
      <c r="B337" s="7888" t="s">
        <v>16</v>
      </c>
      <c r="C337" s="7888" t="s">
        <v>3058</v>
      </c>
      <c r="D337" s="7888" t="s">
        <v>3059</v>
      </c>
      <c r="E337" s="7888" t="s">
        <v>3060</v>
      </c>
      <c r="F337" s="7888" t="s">
        <v>2463</v>
      </c>
      <c r="G337" s="7888" t="s">
        <v>28</v>
      </c>
      <c r="H337" s="7888" t="s">
        <v>28</v>
      </c>
      <c r="I337" s="7888" t="s">
        <v>925</v>
      </c>
    </row>
    <row customHeight="1" ht="11.25">
      <c r="A338" s="7888" t="s">
        <v>2329</v>
      </c>
      <c r="B338" s="7888" t="s">
        <v>16</v>
      </c>
      <c r="C338" s="7888" t="s">
        <v>2722</v>
      </c>
      <c r="D338" s="7888" t="s">
        <v>2723</v>
      </c>
      <c r="E338" s="7888" t="s">
        <v>2724</v>
      </c>
      <c r="F338" s="7888" t="s">
        <v>2707</v>
      </c>
      <c r="G338" s="7888" t="s">
        <v>2725</v>
      </c>
      <c r="H338" s="7888" t="s">
        <v>28</v>
      </c>
      <c r="I338" s="7888" t="s">
        <v>925</v>
      </c>
    </row>
    <row customHeight="1" ht="11.25">
      <c r="A339" s="7888" t="s">
        <v>2329</v>
      </c>
      <c r="B339" s="7888" t="s">
        <v>16</v>
      </c>
      <c r="C339" s="7888" t="s">
        <v>2726</v>
      </c>
      <c r="D339" s="7888" t="s">
        <v>2727</v>
      </c>
      <c r="E339" s="7888" t="s">
        <v>2728</v>
      </c>
      <c r="F339" s="7888" t="s">
        <v>2504</v>
      </c>
      <c r="G339" s="7888" t="s">
        <v>28</v>
      </c>
      <c r="H339" s="7888" t="s">
        <v>28</v>
      </c>
      <c r="I339" s="7888" t="s">
        <v>925</v>
      </c>
    </row>
    <row customHeight="1" ht="11.25">
      <c r="A340" s="7888" t="s">
        <v>2329</v>
      </c>
      <c r="B340" s="7888" t="s">
        <v>16</v>
      </c>
      <c r="C340" s="7888" t="s">
        <v>2729</v>
      </c>
      <c r="D340" s="7888" t="s">
        <v>2730</v>
      </c>
      <c r="E340" s="7888" t="s">
        <v>2731</v>
      </c>
      <c r="F340" s="7888" t="s">
        <v>2504</v>
      </c>
      <c r="G340" s="7888" t="s">
        <v>2732</v>
      </c>
      <c r="H340" s="7888" t="s">
        <v>28</v>
      </c>
      <c r="I340" s="7888" t="s">
        <v>925</v>
      </c>
    </row>
    <row customHeight="1" ht="11.25">
      <c r="A341" s="7888" t="s">
        <v>2329</v>
      </c>
      <c r="B341" s="7888" t="s">
        <v>16</v>
      </c>
      <c r="C341" s="7888" t="s">
        <v>2733</v>
      </c>
      <c r="D341" s="7888" t="s">
        <v>2734</v>
      </c>
      <c r="E341" s="7888" t="s">
        <v>2735</v>
      </c>
      <c r="F341" s="7888" t="s">
        <v>2504</v>
      </c>
      <c r="G341" s="7888" t="s">
        <v>28</v>
      </c>
      <c r="H341" s="7888" t="s">
        <v>28</v>
      </c>
      <c r="I341" s="7888" t="s">
        <v>925</v>
      </c>
    </row>
    <row customHeight="1" ht="11.25">
      <c r="A342" s="7888" t="s">
        <v>2329</v>
      </c>
      <c r="B342" s="7888" t="s">
        <v>16</v>
      </c>
      <c r="C342" s="7888" t="s">
        <v>2739</v>
      </c>
      <c r="D342" s="7888" t="s">
        <v>2740</v>
      </c>
      <c r="E342" s="7888" t="s">
        <v>2741</v>
      </c>
      <c r="F342" s="7888" t="s">
        <v>2515</v>
      </c>
      <c r="G342" s="7888" t="s">
        <v>2742</v>
      </c>
      <c r="H342" s="7888" t="s">
        <v>28</v>
      </c>
      <c r="I342" s="7888" t="s">
        <v>925</v>
      </c>
    </row>
    <row customHeight="1" ht="11.25">
      <c r="A343" s="7888" t="s">
        <v>2329</v>
      </c>
      <c r="B343" s="7888" t="s">
        <v>16</v>
      </c>
      <c r="C343" s="7888" t="s">
        <v>2952</v>
      </c>
      <c r="D343" s="7888" t="s">
        <v>2953</v>
      </c>
      <c r="E343" s="7888" t="s">
        <v>2954</v>
      </c>
      <c r="F343" s="7888" t="s">
        <v>2390</v>
      </c>
      <c r="G343" s="7888" t="s">
        <v>28</v>
      </c>
      <c r="H343" s="7888" t="s">
        <v>28</v>
      </c>
      <c r="I343" s="7888" t="s">
        <v>925</v>
      </c>
    </row>
    <row customHeight="1" ht="11.25">
      <c r="A344" s="7888" t="s">
        <v>2329</v>
      </c>
      <c r="B344" s="7888" t="s">
        <v>16</v>
      </c>
      <c r="C344" s="7888" t="s">
        <v>3061</v>
      </c>
      <c r="D344" s="7888" t="s">
        <v>3062</v>
      </c>
      <c r="E344" s="7888" t="s">
        <v>3063</v>
      </c>
      <c r="F344" s="7888" t="s">
        <v>2504</v>
      </c>
      <c r="G344" s="7888" t="s">
        <v>28</v>
      </c>
      <c r="H344" s="7888" t="s">
        <v>28</v>
      </c>
      <c r="I344" s="7888" t="s">
        <v>925</v>
      </c>
    </row>
    <row customHeight="1" ht="11.25">
      <c r="A345" s="7888" t="s">
        <v>2329</v>
      </c>
      <c r="B345" s="7888" t="s">
        <v>16</v>
      </c>
      <c r="C345" s="7888" t="s">
        <v>3064</v>
      </c>
      <c r="D345" s="7888" t="s">
        <v>3065</v>
      </c>
      <c r="E345" s="7888" t="s">
        <v>3066</v>
      </c>
      <c r="F345" s="7888" t="s">
        <v>2420</v>
      </c>
      <c r="G345" s="7888" t="s">
        <v>28</v>
      </c>
      <c r="H345" s="7888" t="s">
        <v>3067</v>
      </c>
      <c r="I345" s="7888" t="s">
        <v>925</v>
      </c>
    </row>
    <row customHeight="1" ht="11.25">
      <c r="A346" s="7888" t="s">
        <v>2329</v>
      </c>
      <c r="B346" s="7888" t="s">
        <v>16</v>
      </c>
      <c r="C346" s="7888" t="s">
        <v>3068</v>
      </c>
      <c r="D346" s="7888" t="s">
        <v>3069</v>
      </c>
      <c r="E346" s="7888" t="s">
        <v>3070</v>
      </c>
      <c r="F346" s="7888" t="s">
        <v>2504</v>
      </c>
      <c r="G346" s="7888" t="s">
        <v>28</v>
      </c>
      <c r="H346" s="7888" t="s">
        <v>28</v>
      </c>
      <c r="I346" s="7888" t="s">
        <v>925</v>
      </c>
    </row>
    <row customHeight="1" ht="11.25">
      <c r="A347" s="7888" t="s">
        <v>2329</v>
      </c>
      <c r="B347" s="7888" t="s">
        <v>16</v>
      </c>
      <c r="C347" s="7888" t="s">
        <v>2746</v>
      </c>
      <c r="D347" s="7888" t="s">
        <v>2747</v>
      </c>
      <c r="E347" s="7888" t="s">
        <v>2748</v>
      </c>
      <c r="F347" s="7888" t="s">
        <v>2679</v>
      </c>
      <c r="G347" s="7888" t="s">
        <v>28</v>
      </c>
      <c r="H347" s="7888" t="s">
        <v>28</v>
      </c>
      <c r="I347" s="7888" t="s">
        <v>925</v>
      </c>
    </row>
    <row customHeight="1" ht="11.25">
      <c r="A348" s="7888" t="s">
        <v>2329</v>
      </c>
      <c r="B348" s="7888" t="s">
        <v>16</v>
      </c>
      <c r="C348" s="7888" t="s">
        <v>2749</v>
      </c>
      <c r="D348" s="7888" t="s">
        <v>2750</v>
      </c>
      <c r="E348" s="7888" t="s">
        <v>2751</v>
      </c>
      <c r="F348" s="7888" t="s">
        <v>2679</v>
      </c>
      <c r="G348" s="7888" t="s">
        <v>28</v>
      </c>
      <c r="H348" s="7888" t="s">
        <v>28</v>
      </c>
      <c r="I348" s="7888" t="s">
        <v>925</v>
      </c>
    </row>
    <row customHeight="1" ht="11.25">
      <c r="A349" s="7888" t="s">
        <v>2329</v>
      </c>
      <c r="B349" s="7888" t="s">
        <v>16</v>
      </c>
      <c r="C349" s="7888" t="s">
        <v>2759</v>
      </c>
      <c r="D349" s="7888" t="s">
        <v>2760</v>
      </c>
      <c r="E349" s="7888" t="s">
        <v>2761</v>
      </c>
      <c r="F349" s="7888" t="s">
        <v>2424</v>
      </c>
      <c r="G349" s="7888" t="s">
        <v>28</v>
      </c>
      <c r="H349" s="7888" t="s">
        <v>28</v>
      </c>
      <c r="I349" s="7888" t="s">
        <v>925</v>
      </c>
    </row>
    <row customHeight="1" ht="11.25">
      <c r="A350" s="7888" t="s">
        <v>2329</v>
      </c>
      <c r="B350" s="7888" t="s">
        <v>16</v>
      </c>
      <c r="C350" s="7888" t="s">
        <v>3071</v>
      </c>
      <c r="D350" s="7888" t="s">
        <v>3072</v>
      </c>
      <c r="E350" s="7888" t="s">
        <v>3073</v>
      </c>
      <c r="F350" s="7888" t="s">
        <v>2515</v>
      </c>
      <c r="G350" s="7888" t="s">
        <v>3074</v>
      </c>
      <c r="H350" s="7888" t="s">
        <v>28</v>
      </c>
      <c r="I350" s="7888" t="s">
        <v>925</v>
      </c>
    </row>
    <row customHeight="1" ht="11.25">
      <c r="A351" s="7888" t="s">
        <v>2329</v>
      </c>
      <c r="B351" s="7888" t="s">
        <v>16</v>
      </c>
      <c r="C351" s="7888" t="s">
        <v>3075</v>
      </c>
      <c r="D351" s="7888" t="s">
        <v>3076</v>
      </c>
      <c r="E351" s="7888" t="s">
        <v>3077</v>
      </c>
      <c r="F351" s="7888" t="s">
        <v>2458</v>
      </c>
      <c r="G351" s="7888" t="s">
        <v>3078</v>
      </c>
      <c r="H351" s="7888" t="s">
        <v>28</v>
      </c>
      <c r="I351" s="7888" t="s">
        <v>925</v>
      </c>
    </row>
    <row customHeight="1" ht="11.25">
      <c r="A352" s="7888" t="s">
        <v>2329</v>
      </c>
      <c r="B352" s="7888" t="s">
        <v>16</v>
      </c>
      <c r="C352" s="7888" t="s">
        <v>2765</v>
      </c>
      <c r="D352" s="7888" t="s">
        <v>2766</v>
      </c>
      <c r="E352" s="7888" t="s">
        <v>2767</v>
      </c>
      <c r="F352" s="7888" t="s">
        <v>2504</v>
      </c>
      <c r="G352" s="7888" t="s">
        <v>2768</v>
      </c>
      <c r="H352" s="7888" t="s">
        <v>28</v>
      </c>
      <c r="I352" s="7888" t="s">
        <v>925</v>
      </c>
    </row>
    <row customHeight="1" ht="11.25">
      <c r="A353" s="7888" t="s">
        <v>2329</v>
      </c>
      <c r="B353" s="7888" t="s">
        <v>16</v>
      </c>
      <c r="C353" s="7888" t="s">
        <v>3079</v>
      </c>
      <c r="D353" s="7888" t="s">
        <v>3080</v>
      </c>
      <c r="E353" s="7888" t="s">
        <v>3081</v>
      </c>
      <c r="F353" s="7888" t="s">
        <v>2637</v>
      </c>
      <c r="G353" s="7888" t="s">
        <v>28</v>
      </c>
      <c r="H353" s="7888" t="s">
        <v>28</v>
      </c>
      <c r="I353" s="7888" t="s">
        <v>925</v>
      </c>
    </row>
    <row customHeight="1" ht="11.25">
      <c r="A354" s="7888" t="s">
        <v>2329</v>
      </c>
      <c r="B354" s="7888" t="s">
        <v>16</v>
      </c>
      <c r="C354" s="7888" t="s">
        <v>2776</v>
      </c>
      <c r="D354" s="7888" t="s">
        <v>2777</v>
      </c>
      <c r="E354" s="7888" t="s">
        <v>2778</v>
      </c>
      <c r="F354" s="7888" t="s">
        <v>2496</v>
      </c>
      <c r="G354" s="7888" t="s">
        <v>2779</v>
      </c>
      <c r="H354" s="7888" t="s">
        <v>2780</v>
      </c>
      <c r="I354" s="7888" t="s">
        <v>925</v>
      </c>
    </row>
    <row customHeight="1" ht="11.25">
      <c r="A355" s="7888" t="s">
        <v>2329</v>
      </c>
      <c r="B355" s="7888" t="s">
        <v>16</v>
      </c>
      <c r="C355" s="7888" t="s">
        <v>2781</v>
      </c>
      <c r="D355" s="7888" t="s">
        <v>2782</v>
      </c>
      <c r="E355" s="7888" t="s">
        <v>2783</v>
      </c>
      <c r="F355" s="7888" t="s">
        <v>2458</v>
      </c>
      <c r="G355" s="7888" t="s">
        <v>2784</v>
      </c>
      <c r="H355" s="7888" t="s">
        <v>2785</v>
      </c>
      <c r="I355" s="7888" t="s">
        <v>925</v>
      </c>
    </row>
    <row customHeight="1" ht="11.25">
      <c r="A356" s="7888" t="s">
        <v>2329</v>
      </c>
      <c r="B356" s="7888" t="s">
        <v>16</v>
      </c>
      <c r="C356" s="7888" t="s">
        <v>2786</v>
      </c>
      <c r="D356" s="7888" t="s">
        <v>2787</v>
      </c>
      <c r="E356" s="7888" t="s">
        <v>2788</v>
      </c>
      <c r="F356" s="7888" t="s">
        <v>2515</v>
      </c>
      <c r="G356" s="7888" t="s">
        <v>2789</v>
      </c>
      <c r="H356" s="7888" t="s">
        <v>28</v>
      </c>
      <c r="I356" s="7888" t="s">
        <v>925</v>
      </c>
    </row>
    <row customHeight="1" ht="11.25">
      <c r="A357" s="7888" t="s">
        <v>2329</v>
      </c>
      <c r="B357" s="7888" t="s">
        <v>16</v>
      </c>
      <c r="C357" s="7888" t="s">
        <v>2806</v>
      </c>
      <c r="D357" s="7888" t="s">
        <v>2807</v>
      </c>
      <c r="E357" s="7888" t="s">
        <v>2808</v>
      </c>
      <c r="F357" s="7888" t="s">
        <v>2504</v>
      </c>
      <c r="G357" s="7888" t="s">
        <v>28</v>
      </c>
      <c r="H357" s="7888" t="s">
        <v>28</v>
      </c>
      <c r="I357" s="7888" t="s">
        <v>925</v>
      </c>
    </row>
    <row customHeight="1" ht="11.25">
      <c r="A358" s="7888" t="s">
        <v>2329</v>
      </c>
      <c r="B358" s="7888" t="s">
        <v>16</v>
      </c>
      <c r="C358" s="7888" t="s">
        <v>2809</v>
      </c>
      <c r="D358" s="7888" t="s">
        <v>2810</v>
      </c>
      <c r="E358" s="7888" t="s">
        <v>2811</v>
      </c>
      <c r="F358" s="7888" t="s">
        <v>2445</v>
      </c>
      <c r="G358" s="7888" t="s">
        <v>28</v>
      </c>
      <c r="H358" s="7888" t="s">
        <v>28</v>
      </c>
      <c r="I358" s="7888" t="s">
        <v>925</v>
      </c>
    </row>
    <row customHeight="1" ht="11.25">
      <c r="A359" s="7888" t="s">
        <v>2329</v>
      </c>
      <c r="B359" s="7888" t="s">
        <v>16</v>
      </c>
      <c r="C359" s="7888" t="s">
        <v>2812</v>
      </c>
      <c r="D359" s="7888" t="s">
        <v>2813</v>
      </c>
      <c r="E359" s="7888" t="s">
        <v>2814</v>
      </c>
      <c r="F359" s="7888" t="s">
        <v>2405</v>
      </c>
      <c r="G359" s="7888" t="s">
        <v>28</v>
      </c>
      <c r="H359" s="7888" t="s">
        <v>28</v>
      </c>
      <c r="I359" s="7888" t="s">
        <v>925</v>
      </c>
    </row>
    <row customHeight="1" ht="11.25">
      <c r="A360" s="7888" t="s">
        <v>2329</v>
      </c>
      <c r="B360" s="7888" t="s">
        <v>16</v>
      </c>
      <c r="C360" s="7888" t="s">
        <v>2815</v>
      </c>
      <c r="D360" s="7888" t="s">
        <v>2816</v>
      </c>
      <c r="E360" s="7888" t="s">
        <v>2817</v>
      </c>
      <c r="F360" s="7888" t="s">
        <v>2463</v>
      </c>
      <c r="G360" s="7888" t="s">
        <v>2818</v>
      </c>
      <c r="H360" s="7888" t="s">
        <v>28</v>
      </c>
      <c r="I360" s="7888" t="s">
        <v>925</v>
      </c>
    </row>
    <row customHeight="1" ht="11.25">
      <c r="A361" s="7888" t="s">
        <v>2329</v>
      </c>
      <c r="B361" s="7888" t="s">
        <v>16</v>
      </c>
      <c r="C361" s="7888" t="s">
        <v>2819</v>
      </c>
      <c r="D361" s="7888" t="s">
        <v>2820</v>
      </c>
      <c r="E361" s="7888" t="s">
        <v>2821</v>
      </c>
      <c r="F361" s="7888" t="s">
        <v>2458</v>
      </c>
      <c r="G361" s="7888" t="s">
        <v>2822</v>
      </c>
      <c r="H361" s="7888" t="s">
        <v>2823</v>
      </c>
      <c r="I361" s="7888" t="s">
        <v>925</v>
      </c>
    </row>
    <row customHeight="1" ht="11.25">
      <c r="A362" s="7888" t="s">
        <v>2329</v>
      </c>
      <c r="B362" s="7888" t="s">
        <v>16</v>
      </c>
      <c r="C362" s="7888" t="s">
        <v>3082</v>
      </c>
      <c r="D362" s="7888" t="s">
        <v>3083</v>
      </c>
      <c r="E362" s="7888" t="s">
        <v>3084</v>
      </c>
      <c r="F362" s="7888" t="s">
        <v>2679</v>
      </c>
      <c r="G362" s="7888" t="s">
        <v>28</v>
      </c>
      <c r="H362" s="7888" t="s">
        <v>28</v>
      </c>
      <c r="I362" s="7888" t="s">
        <v>925</v>
      </c>
    </row>
    <row customHeight="1" ht="11.25">
      <c r="A363" s="7888" t="s">
        <v>2329</v>
      </c>
      <c r="B363" s="7888" t="s">
        <v>16</v>
      </c>
      <c r="C363" s="7888" t="s">
        <v>2840</v>
      </c>
      <c r="D363" s="7888" t="s">
        <v>2841</v>
      </c>
      <c r="E363" s="7888" t="s">
        <v>2842</v>
      </c>
      <c r="F363" s="7888" t="s">
        <v>2467</v>
      </c>
      <c r="G363" s="7888" t="s">
        <v>2843</v>
      </c>
      <c r="H363" s="7888" t="s">
        <v>28</v>
      </c>
      <c r="I363" s="7888" t="s">
        <v>925</v>
      </c>
    </row>
    <row customHeight="1" ht="11.25">
      <c r="A364" s="7888" t="s">
        <v>2329</v>
      </c>
      <c r="B364" s="7888" t="s">
        <v>16</v>
      </c>
      <c r="C364" s="7888" t="s">
        <v>2847</v>
      </c>
      <c r="D364" s="7888" t="s">
        <v>2848</v>
      </c>
      <c r="E364" s="7888" t="s">
        <v>2849</v>
      </c>
      <c r="F364" s="7888" t="s">
        <v>2707</v>
      </c>
      <c r="G364" s="7888" t="s">
        <v>28</v>
      </c>
      <c r="H364" s="7888" t="s">
        <v>28</v>
      </c>
      <c r="I364" s="7888" t="s">
        <v>925</v>
      </c>
    </row>
    <row customHeight="1" ht="11.25">
      <c r="A365" s="7888" t="s">
        <v>2329</v>
      </c>
      <c r="B365" s="7888" t="s">
        <v>16</v>
      </c>
      <c r="C365" s="7888" t="s">
        <v>3085</v>
      </c>
      <c r="D365" s="7888" t="s">
        <v>3086</v>
      </c>
      <c r="E365" s="7888" t="s">
        <v>3087</v>
      </c>
      <c r="F365" s="7888" t="s">
        <v>2478</v>
      </c>
      <c r="G365" s="7888" t="s">
        <v>3088</v>
      </c>
      <c r="H365" s="7888" t="s">
        <v>28</v>
      </c>
      <c r="I365" s="7888" t="s">
        <v>925</v>
      </c>
    </row>
    <row customHeight="1" ht="11.25">
      <c r="A366" s="7888" t="s">
        <v>2329</v>
      </c>
      <c r="B366" s="7888" t="s">
        <v>16</v>
      </c>
      <c r="C366" s="7888" t="s">
        <v>2854</v>
      </c>
      <c r="D366" s="7888" t="s">
        <v>2855</v>
      </c>
      <c r="E366" s="7888" t="s">
        <v>2856</v>
      </c>
      <c r="F366" s="7888" t="s">
        <v>2478</v>
      </c>
      <c r="G366" s="7888" t="s">
        <v>28</v>
      </c>
      <c r="H366" s="7888" t="s">
        <v>28</v>
      </c>
      <c r="I366" s="7888" t="s">
        <v>925</v>
      </c>
    </row>
    <row customHeight="1" ht="11.25">
      <c r="A367" s="7888" t="s">
        <v>2329</v>
      </c>
      <c r="B367" s="7888" t="s">
        <v>16</v>
      </c>
      <c r="C367" s="7888" t="s">
        <v>2857</v>
      </c>
      <c r="D367" s="7888" t="s">
        <v>2858</v>
      </c>
      <c r="E367" s="7888" t="s">
        <v>2859</v>
      </c>
      <c r="F367" s="7888" t="s">
        <v>2478</v>
      </c>
      <c r="G367" s="7888" t="s">
        <v>28</v>
      </c>
      <c r="H367" s="7888" t="s">
        <v>28</v>
      </c>
      <c r="I367" s="7888" t="s">
        <v>925</v>
      </c>
    </row>
    <row customHeight="1" ht="11.25">
      <c r="A368" s="7888" t="s">
        <v>2329</v>
      </c>
      <c r="B368" s="7888" t="s">
        <v>16</v>
      </c>
      <c r="C368" s="7888" t="s">
        <v>2860</v>
      </c>
      <c r="D368" s="7888" t="s">
        <v>2861</v>
      </c>
      <c r="E368" s="7888" t="s">
        <v>2862</v>
      </c>
      <c r="F368" s="7888" t="s">
        <v>2504</v>
      </c>
      <c r="G368" s="7888" t="s">
        <v>2863</v>
      </c>
      <c r="H368" s="7888" t="s">
        <v>28</v>
      </c>
      <c r="I368" s="7888" t="s">
        <v>925</v>
      </c>
    </row>
    <row customHeight="1" ht="11.25">
      <c r="A369" s="7888" t="s">
        <v>2329</v>
      </c>
      <c r="B369" s="7888" t="s">
        <v>16</v>
      </c>
      <c r="C369" s="7888" t="s">
        <v>2864</v>
      </c>
      <c r="D369" s="7888" t="s">
        <v>2865</v>
      </c>
      <c r="E369" s="7888" t="s">
        <v>2866</v>
      </c>
      <c r="F369" s="7888" t="s">
        <v>54</v>
      </c>
      <c r="G369" s="7888" t="s">
        <v>28</v>
      </c>
      <c r="H369" s="7888" t="s">
        <v>28</v>
      </c>
      <c r="I369" s="7888" t="s">
        <v>925</v>
      </c>
    </row>
    <row customHeight="1" ht="11.25">
      <c r="A370" s="7888" t="s">
        <v>2329</v>
      </c>
      <c r="B370" s="7888" t="s">
        <v>16</v>
      </c>
      <c r="C370" s="7888" t="s">
        <v>2867</v>
      </c>
      <c r="D370" s="7888" t="s">
        <v>2868</v>
      </c>
      <c r="E370" s="7888" t="s">
        <v>2869</v>
      </c>
      <c r="F370" s="7888" t="s">
        <v>2524</v>
      </c>
      <c r="G370" s="7888" t="s">
        <v>2870</v>
      </c>
      <c r="H370" s="7888" t="s">
        <v>28</v>
      </c>
      <c r="I370" s="7888" t="s">
        <v>925</v>
      </c>
    </row>
    <row customHeight="1" ht="11.25">
      <c r="A371" s="7888" t="s">
        <v>2329</v>
      </c>
      <c r="B371" s="7888" t="s">
        <v>16</v>
      </c>
      <c r="C371" s="7888" t="s">
        <v>2871</v>
      </c>
      <c r="D371" s="7888" t="s">
        <v>2872</v>
      </c>
      <c r="E371" s="7888" t="s">
        <v>2873</v>
      </c>
      <c r="F371" s="7888" t="s">
        <v>2458</v>
      </c>
      <c r="G371" s="7888" t="s">
        <v>2874</v>
      </c>
      <c r="H371" s="7888" t="s">
        <v>28</v>
      </c>
      <c r="I371" s="7888" t="s">
        <v>925</v>
      </c>
    </row>
    <row customHeight="1" ht="11.25">
      <c r="A372" s="7888" t="s">
        <v>2329</v>
      </c>
      <c r="B372" s="7888" t="s">
        <v>16</v>
      </c>
      <c r="C372" s="7888" t="s">
        <v>2878</v>
      </c>
      <c r="D372" s="7888" t="s">
        <v>2879</v>
      </c>
      <c r="E372" s="7888" t="s">
        <v>2880</v>
      </c>
      <c r="F372" s="7888" t="s">
        <v>2707</v>
      </c>
      <c r="G372" s="7888" t="s">
        <v>28</v>
      </c>
      <c r="H372" s="7888" t="s">
        <v>28</v>
      </c>
      <c r="I372" s="7888" t="s">
        <v>925</v>
      </c>
    </row>
    <row customHeight="1" ht="11.25">
      <c r="A373" s="7888" t="s">
        <v>2329</v>
      </c>
      <c r="B373" s="7888" t="s">
        <v>16</v>
      </c>
      <c r="C373" s="7888" t="s">
        <v>2881</v>
      </c>
      <c r="D373" s="7888" t="s">
        <v>2882</v>
      </c>
      <c r="E373" s="7888" t="s">
        <v>2883</v>
      </c>
      <c r="F373" s="7888" t="s">
        <v>2454</v>
      </c>
      <c r="G373" s="7888" t="s">
        <v>28</v>
      </c>
      <c r="H373" s="7888" t="s">
        <v>28</v>
      </c>
      <c r="I373" s="7888" t="s">
        <v>925</v>
      </c>
    </row>
    <row customHeight="1" ht="11.25">
      <c r="A374" s="7888" t="s">
        <v>2329</v>
      </c>
      <c r="B374" s="7888" t="s">
        <v>16</v>
      </c>
      <c r="C374" s="7888" t="s">
        <v>3089</v>
      </c>
      <c r="D374" s="7888" t="s">
        <v>3090</v>
      </c>
      <c r="E374" s="7888" t="s">
        <v>3091</v>
      </c>
      <c r="F374" s="7888" t="s">
        <v>2478</v>
      </c>
      <c r="G374" s="7888" t="s">
        <v>3092</v>
      </c>
      <c r="H374" s="7888" t="s">
        <v>28</v>
      </c>
      <c r="I374" s="7888" t="s">
        <v>925</v>
      </c>
    </row>
    <row customHeight="1" ht="11.25">
      <c r="A375" s="7888" t="s">
        <v>2329</v>
      </c>
      <c r="B375" s="7888" t="s">
        <v>16</v>
      </c>
      <c r="C375" s="7888" t="s">
        <v>2891</v>
      </c>
      <c r="D375" s="7888" t="s">
        <v>2892</v>
      </c>
      <c r="E375" s="7888" t="s">
        <v>2893</v>
      </c>
      <c r="F375" s="7888" t="s">
        <v>2707</v>
      </c>
      <c r="G375" s="7888" t="s">
        <v>28</v>
      </c>
      <c r="H375" s="7888" t="s">
        <v>28</v>
      </c>
      <c r="I375" s="7888" t="s">
        <v>925</v>
      </c>
    </row>
    <row customHeight="1" ht="11.25">
      <c r="A376" s="7888" t="s">
        <v>2329</v>
      </c>
      <c r="B376" s="7888" t="s">
        <v>16</v>
      </c>
      <c r="C376" s="7888" t="s">
        <v>3093</v>
      </c>
      <c r="D376" s="7888" t="s">
        <v>3094</v>
      </c>
      <c r="E376" s="7888" t="s">
        <v>3095</v>
      </c>
      <c r="F376" s="7888" t="s">
        <v>2478</v>
      </c>
      <c r="G376" s="7888" t="s">
        <v>3096</v>
      </c>
      <c r="H376" s="7888" t="s">
        <v>28</v>
      </c>
      <c r="I376" s="7888" t="s">
        <v>925</v>
      </c>
    </row>
    <row customHeight="1" ht="11.25">
      <c r="A377" s="7888" t="s">
        <v>2329</v>
      </c>
      <c r="B377" s="7888" t="s">
        <v>16</v>
      </c>
      <c r="C377" s="7888" t="s">
        <v>3097</v>
      </c>
      <c r="D377" s="7888" t="s">
        <v>3098</v>
      </c>
      <c r="E377" s="7888" t="s">
        <v>3099</v>
      </c>
      <c r="F377" s="7888" t="s">
        <v>2637</v>
      </c>
      <c r="G377" s="7888" t="s">
        <v>3100</v>
      </c>
      <c r="H377" s="7888" t="s">
        <v>28</v>
      </c>
      <c r="I377" s="7888" t="s">
        <v>925</v>
      </c>
    </row>
    <row customHeight="1" ht="11.25">
      <c r="A378" s="7888" t="s">
        <v>2329</v>
      </c>
      <c r="B378" s="7888" t="s">
        <v>16</v>
      </c>
      <c r="C378" s="7888" t="s">
        <v>3101</v>
      </c>
      <c r="D378" s="7888" t="s">
        <v>3102</v>
      </c>
      <c r="E378" s="7888" t="s">
        <v>3103</v>
      </c>
      <c r="F378" s="7888" t="s">
        <v>2381</v>
      </c>
      <c r="G378" s="7888" t="s">
        <v>3104</v>
      </c>
      <c r="H378" s="7888" t="s">
        <v>28</v>
      </c>
      <c r="I378" s="7888" t="s">
        <v>925</v>
      </c>
    </row>
    <row customHeight="1" ht="11.25">
      <c r="A379" s="7888" t="s">
        <v>2329</v>
      </c>
      <c r="B379" s="7888" t="s">
        <v>16</v>
      </c>
      <c r="C379" s="7888" t="s">
        <v>2901</v>
      </c>
      <c r="D379" s="7888" t="s">
        <v>2902</v>
      </c>
      <c r="E379" s="7888" t="s">
        <v>2903</v>
      </c>
      <c r="F379" s="7888" t="s">
        <v>2405</v>
      </c>
      <c r="G379" s="7888" t="s">
        <v>2904</v>
      </c>
      <c r="H379" s="7888" t="s">
        <v>28</v>
      </c>
      <c r="I379" s="7888" t="s">
        <v>925</v>
      </c>
    </row>
    <row customHeight="1" ht="11.25">
      <c r="A380" s="7888" t="s">
        <v>2329</v>
      </c>
      <c r="B380" s="7888" t="s">
        <v>16</v>
      </c>
      <c r="C380" s="7888" t="s">
        <v>2905</v>
      </c>
      <c r="D380" s="7888" t="s">
        <v>2906</v>
      </c>
      <c r="E380" s="7888" t="s">
        <v>2907</v>
      </c>
      <c r="F380" s="7888" t="s">
        <v>2496</v>
      </c>
      <c r="G380" s="7888" t="s">
        <v>28</v>
      </c>
      <c r="H380" s="7888" t="s">
        <v>28</v>
      </c>
      <c r="I380" s="7888" t="s">
        <v>925</v>
      </c>
    </row>
    <row customHeight="1" ht="11.25">
      <c r="A381" s="7888" t="s">
        <v>2329</v>
      </c>
      <c r="B381" s="7888" t="s">
        <v>16</v>
      </c>
      <c r="C381" s="7888" t="s">
        <v>3105</v>
      </c>
      <c r="D381" s="7888" t="s">
        <v>3106</v>
      </c>
      <c r="E381" s="7888" t="s">
        <v>2427</v>
      </c>
      <c r="F381" s="7888" t="s">
        <v>3107</v>
      </c>
      <c r="G381" s="7888" t="s">
        <v>3108</v>
      </c>
      <c r="H381" s="7888" t="s">
        <v>28</v>
      </c>
      <c r="I381" s="7888" t="s">
        <v>925</v>
      </c>
    </row>
    <row customHeight="1" ht="11.25">
      <c r="A382" s="7888" t="s">
        <v>2329</v>
      </c>
      <c r="B382" s="7888" t="s">
        <v>16</v>
      </c>
      <c r="C382" s="7888" t="s">
        <v>3109</v>
      </c>
      <c r="D382" s="7888" t="s">
        <v>3110</v>
      </c>
      <c r="E382" s="7888" t="s">
        <v>3111</v>
      </c>
      <c r="F382" s="7888" t="s">
        <v>2420</v>
      </c>
      <c r="G382" s="7888" t="s">
        <v>28</v>
      </c>
      <c r="H382" s="7888" t="s">
        <v>28</v>
      </c>
      <c r="I382" s="7888" t="s">
        <v>925</v>
      </c>
    </row>
    <row customHeight="1" ht="11.25">
      <c r="A383" s="7888" t="s">
        <v>2329</v>
      </c>
      <c r="B383" s="7888" t="s">
        <v>16</v>
      </c>
      <c r="C383" s="7888" t="s">
        <v>3112</v>
      </c>
      <c r="D383" s="7888" t="s">
        <v>3113</v>
      </c>
      <c r="E383" s="7888" t="s">
        <v>3114</v>
      </c>
      <c r="F383" s="7888" t="s">
        <v>2458</v>
      </c>
      <c r="G383" s="7888" t="s">
        <v>28</v>
      </c>
      <c r="H383" s="7888" t="s">
        <v>28</v>
      </c>
      <c r="I383" s="7888" t="s">
        <v>925</v>
      </c>
    </row>
    <row customHeight="1" ht="11.25">
      <c r="A384" s="7888" t="s">
        <v>2329</v>
      </c>
      <c r="B384" s="7888" t="s">
        <v>16</v>
      </c>
      <c r="C384" s="7888" t="s">
        <v>2908</v>
      </c>
      <c r="D384" s="7888" t="s">
        <v>2909</v>
      </c>
      <c r="E384" s="7888" t="s">
        <v>2910</v>
      </c>
      <c r="F384" s="7888" t="s">
        <v>2911</v>
      </c>
      <c r="G384" s="7888" t="s">
        <v>2912</v>
      </c>
      <c r="H384" s="7888" t="s">
        <v>28</v>
      </c>
      <c r="I384" s="7888" t="s">
        <v>925</v>
      </c>
    </row>
    <row customHeight="1" ht="11.25">
      <c r="A385" s="7888" t="s">
        <v>2329</v>
      </c>
      <c r="B385" s="7888" t="s">
        <v>16</v>
      </c>
      <c r="C385" s="7888" t="s">
        <v>2916</v>
      </c>
      <c r="D385" s="7888" t="s">
        <v>2917</v>
      </c>
      <c r="E385" s="7888" t="s">
        <v>2918</v>
      </c>
      <c r="F385" s="7888" t="s">
        <v>2496</v>
      </c>
      <c r="G385" s="7888" t="s">
        <v>28</v>
      </c>
      <c r="H385" s="7888" t="s">
        <v>28</v>
      </c>
      <c r="I385" s="7888" t="s">
        <v>925</v>
      </c>
    </row>
    <row customHeight="1" ht="11.25">
      <c r="A386" s="7888" t="s">
        <v>2329</v>
      </c>
      <c r="B386" s="7888" t="s">
        <v>16</v>
      </c>
      <c r="C386" s="7888" t="s">
        <v>2919</v>
      </c>
      <c r="D386" s="7888" t="s">
        <v>2920</v>
      </c>
      <c r="E386" s="7888" t="s">
        <v>2921</v>
      </c>
      <c r="F386" s="7888" t="s">
        <v>54</v>
      </c>
      <c r="G386" s="7888" t="s">
        <v>28</v>
      </c>
      <c r="H386" s="7888" t="s">
        <v>28</v>
      </c>
      <c r="I386" s="7888" t="s">
        <v>925</v>
      </c>
    </row>
    <row customHeight="1" ht="11.25">
      <c r="A387" s="7888" t="s">
        <v>2329</v>
      </c>
      <c r="B387" s="7888" t="s">
        <v>16</v>
      </c>
      <c r="C387" s="7888" t="s">
        <v>2922</v>
      </c>
      <c r="D387" s="7888" t="s">
        <v>2923</v>
      </c>
      <c r="E387" s="7888" t="s">
        <v>2924</v>
      </c>
      <c r="F387" s="7888" t="s">
        <v>2394</v>
      </c>
      <c r="G387" s="7888" t="s">
        <v>2925</v>
      </c>
      <c r="H387" s="7888" t="s">
        <v>28</v>
      </c>
      <c r="I387" s="7888" t="s">
        <v>925</v>
      </c>
    </row>
    <row customHeight="1" ht="11.25">
      <c r="A388" s="7888" t="s">
        <v>2329</v>
      </c>
      <c r="B388" s="7888" t="s">
        <v>16</v>
      </c>
      <c r="C388" s="7888" t="s">
        <v>2929</v>
      </c>
      <c r="D388" s="7888" t="s">
        <v>2930</v>
      </c>
      <c r="E388" s="7888" t="s">
        <v>2931</v>
      </c>
      <c r="F388" s="7888" t="s">
        <v>2932</v>
      </c>
      <c r="G388" s="7888" t="s">
        <v>28</v>
      </c>
      <c r="H388" s="7888" t="s">
        <v>28</v>
      </c>
      <c r="I388" s="7888" t="s">
        <v>925</v>
      </c>
    </row>
    <row customHeight="1" ht="11.25">
      <c r="A389" s="7888" t="s">
        <v>2329</v>
      </c>
      <c r="B389" s="7888" t="s">
        <v>16</v>
      </c>
      <c r="C389" s="7888" t="s">
        <v>2940</v>
      </c>
      <c r="D389" s="7888" t="s">
        <v>2941</v>
      </c>
      <c r="E389" s="7888" t="s">
        <v>2942</v>
      </c>
      <c r="F389" s="7888" t="s">
        <v>2943</v>
      </c>
      <c r="G389" s="7888" t="s">
        <v>2944</v>
      </c>
      <c r="H389" s="7888" t="s">
        <v>28</v>
      </c>
      <c r="I389" s="7888" t="s">
        <v>925</v>
      </c>
    </row>
    <row customHeight="1" ht="11.25">
      <c r="A390" s="7888" t="s">
        <v>2329</v>
      </c>
      <c r="B390" s="7888" t="s">
        <v>16</v>
      </c>
      <c r="C390" s="7888" t="s">
        <v>2949</v>
      </c>
      <c r="D390" s="7888" t="s">
        <v>2950</v>
      </c>
      <c r="E390" s="7888" t="s">
        <v>2951</v>
      </c>
      <c r="F390" s="7888" t="s">
        <v>2504</v>
      </c>
      <c r="G390" s="7888" t="s">
        <v>28</v>
      </c>
      <c r="H390" s="7888" t="s">
        <v>28</v>
      </c>
      <c r="I390" s="7888" t="s">
        <v>925</v>
      </c>
    </row>
    <row customHeight="1" ht="11.25">
      <c r="A391" s="7888" t="s">
        <v>2329</v>
      </c>
      <c r="B391" s="7888" t="s">
        <v>16</v>
      </c>
      <c r="C391" s="7888" t="s">
        <v>2955</v>
      </c>
      <c r="D391" s="7888" t="s">
        <v>2956</v>
      </c>
      <c r="E391" s="7888" t="s">
        <v>2957</v>
      </c>
      <c r="F391" s="7888" t="s">
        <v>2679</v>
      </c>
      <c r="G391" s="7888" t="s">
        <v>2772</v>
      </c>
      <c r="H391" s="7888" t="s">
        <v>28</v>
      </c>
      <c r="I391" s="7888" t="s">
        <v>978</v>
      </c>
    </row>
    <row customHeight="1" ht="11.25">
      <c r="A392" s="7888" t="s">
        <v>2329</v>
      </c>
      <c r="B392" s="7888" t="s">
        <v>16</v>
      </c>
      <c r="C392" s="7888" t="s">
        <v>2958</v>
      </c>
      <c r="D392" s="7888" t="s">
        <v>2959</v>
      </c>
      <c r="E392" s="7888" t="s">
        <v>2960</v>
      </c>
      <c r="F392" s="7888" t="s">
        <v>2961</v>
      </c>
      <c r="G392" s="7888" t="s">
        <v>28</v>
      </c>
      <c r="H392" s="7888" t="s">
        <v>28</v>
      </c>
      <c r="I392" s="7888" t="s">
        <v>978</v>
      </c>
    </row>
    <row customHeight="1" ht="11.25">
      <c r="A393" s="7888" t="s">
        <v>2329</v>
      </c>
      <c r="B393" s="7888" t="s">
        <v>16</v>
      </c>
      <c r="C393" s="7888" t="s">
        <v>2962</v>
      </c>
      <c r="D393" s="7888" t="s">
        <v>2963</v>
      </c>
      <c r="E393" s="7888" t="s">
        <v>2964</v>
      </c>
      <c r="F393" s="7888" t="s">
        <v>2965</v>
      </c>
      <c r="G393" s="7888" t="s">
        <v>28</v>
      </c>
      <c r="H393" s="7888" t="s">
        <v>28</v>
      </c>
      <c r="I393" s="7888" t="s">
        <v>978</v>
      </c>
    </row>
    <row customHeight="1" ht="11.25">
      <c r="A394" s="7888" t="s">
        <v>2329</v>
      </c>
      <c r="B394" s="7888" t="s">
        <v>16</v>
      </c>
      <c r="C394" s="7888" t="s">
        <v>2330</v>
      </c>
      <c r="D394" s="7888" t="s">
        <v>2331</v>
      </c>
      <c r="E394" s="7888" t="s">
        <v>2332</v>
      </c>
      <c r="F394" s="7888" t="s">
        <v>2333</v>
      </c>
      <c r="G394" s="7888" t="s">
        <v>2334</v>
      </c>
      <c r="H394" s="7888" t="s">
        <v>28</v>
      </c>
      <c r="I394" s="7888" t="s">
        <v>978</v>
      </c>
    </row>
    <row customHeight="1" ht="11.25">
      <c r="A395" s="7888" t="s">
        <v>2329</v>
      </c>
      <c r="B395" s="7888" t="s">
        <v>16</v>
      </c>
      <c r="C395" s="7888" t="s">
        <v>13</v>
      </c>
      <c r="D395" s="7888" t="s">
        <v>49</v>
      </c>
      <c r="E395" s="7888" t="s">
        <v>52</v>
      </c>
      <c r="F395" s="7888" t="s">
        <v>54</v>
      </c>
      <c r="G395" s="7888" t="s">
        <v>2339</v>
      </c>
      <c r="H395" s="7888" t="s">
        <v>28</v>
      </c>
      <c r="I395" s="7888" t="s">
        <v>978</v>
      </c>
    </row>
    <row customHeight="1" ht="11.25">
      <c r="A396" s="7888" t="s">
        <v>2329</v>
      </c>
      <c r="B396" s="7888" t="s">
        <v>16</v>
      </c>
      <c r="C396" s="7888" t="s">
        <v>2342</v>
      </c>
      <c r="D396" s="7888" t="s">
        <v>2343</v>
      </c>
      <c r="E396" s="7888" t="s">
        <v>52</v>
      </c>
      <c r="F396" s="7888" t="s">
        <v>2344</v>
      </c>
      <c r="G396" s="7888" t="s">
        <v>28</v>
      </c>
      <c r="H396" s="7888" t="s">
        <v>28</v>
      </c>
      <c r="I396" s="7888" t="s">
        <v>978</v>
      </c>
    </row>
    <row customHeight="1" ht="11.25">
      <c r="A397" s="7888" t="s">
        <v>2329</v>
      </c>
      <c r="B397" s="7888" t="s">
        <v>16</v>
      </c>
      <c r="C397" s="7888" t="s">
        <v>2354</v>
      </c>
      <c r="D397" s="7888" t="s">
        <v>2355</v>
      </c>
      <c r="E397" s="7888" t="s">
        <v>52</v>
      </c>
      <c r="F397" s="7888" t="s">
        <v>2356</v>
      </c>
      <c r="G397" s="7888" t="s">
        <v>28</v>
      </c>
      <c r="H397" s="7888" t="s">
        <v>28</v>
      </c>
      <c r="I397" s="7888" t="s">
        <v>978</v>
      </c>
    </row>
    <row customHeight="1" ht="11.25">
      <c r="A398" s="7888" t="s">
        <v>2329</v>
      </c>
      <c r="B398" s="7888" t="s">
        <v>16</v>
      </c>
      <c r="C398" s="7888" t="s">
        <v>2372</v>
      </c>
      <c r="D398" s="7888" t="s">
        <v>2373</v>
      </c>
      <c r="E398" s="7888" t="s">
        <v>52</v>
      </c>
      <c r="F398" s="7888" t="s">
        <v>2374</v>
      </c>
      <c r="G398" s="7888" t="s">
        <v>28</v>
      </c>
      <c r="H398" s="7888" t="s">
        <v>28</v>
      </c>
      <c r="I398" s="7888" t="s">
        <v>978</v>
      </c>
    </row>
    <row customHeight="1" ht="11.25">
      <c r="A399" s="7888" t="s">
        <v>2329</v>
      </c>
      <c r="B399" s="7888" t="s">
        <v>16</v>
      </c>
      <c r="C399" s="7888" t="s">
        <v>3115</v>
      </c>
      <c r="D399" s="7888" t="s">
        <v>3116</v>
      </c>
      <c r="E399" s="7888" t="s">
        <v>3117</v>
      </c>
      <c r="F399" s="7888" t="s">
        <v>2546</v>
      </c>
      <c r="G399" s="7888" t="s">
        <v>28</v>
      </c>
      <c r="H399" s="7888" t="s">
        <v>28</v>
      </c>
      <c r="I399" s="7888" t="s">
        <v>978</v>
      </c>
    </row>
    <row customHeight="1" ht="11.25">
      <c r="A400" s="7888" t="s">
        <v>2329</v>
      </c>
      <c r="B400" s="7888" t="s">
        <v>16</v>
      </c>
      <c r="C400" s="7888" t="s">
        <v>2966</v>
      </c>
      <c r="D400" s="7888" t="s">
        <v>2967</v>
      </c>
      <c r="E400" s="7888" t="s">
        <v>2968</v>
      </c>
      <c r="F400" s="7888" t="s">
        <v>2707</v>
      </c>
      <c r="G400" s="7888" t="s">
        <v>28</v>
      </c>
      <c r="H400" s="7888" t="s">
        <v>28</v>
      </c>
      <c r="I400" s="7888" t="s">
        <v>978</v>
      </c>
    </row>
    <row customHeight="1" ht="11.25">
      <c r="A401" s="7888" t="s">
        <v>2329</v>
      </c>
      <c r="B401" s="7888" t="s">
        <v>16</v>
      </c>
      <c r="C401" s="7888" t="s">
        <v>2375</v>
      </c>
      <c r="D401" s="7888" t="s">
        <v>2376</v>
      </c>
      <c r="E401" s="7888" t="s">
        <v>2377</v>
      </c>
      <c r="F401" s="7888" t="s">
        <v>2338</v>
      </c>
      <c r="G401" s="7888" t="s">
        <v>28</v>
      </c>
      <c r="H401" s="7888" t="s">
        <v>28</v>
      </c>
      <c r="I401" s="7888" t="s">
        <v>978</v>
      </c>
    </row>
    <row customHeight="1" ht="11.25">
      <c r="A402" s="7888" t="s">
        <v>2329</v>
      </c>
      <c r="B402" s="7888" t="s">
        <v>16</v>
      </c>
      <c r="C402" s="7888" t="s">
        <v>2378</v>
      </c>
      <c r="D402" s="7888" t="s">
        <v>2379</v>
      </c>
      <c r="E402" s="7888" t="s">
        <v>2380</v>
      </c>
      <c r="F402" s="7888" t="s">
        <v>2381</v>
      </c>
      <c r="G402" s="7888" t="s">
        <v>2382</v>
      </c>
      <c r="H402" s="7888" t="s">
        <v>28</v>
      </c>
      <c r="I402" s="7888" t="s">
        <v>978</v>
      </c>
    </row>
    <row customHeight="1" ht="11.25">
      <c r="A403" s="7888" t="s">
        <v>2329</v>
      </c>
      <c r="B403" s="7888" t="s">
        <v>16</v>
      </c>
      <c r="C403" s="7888" t="s">
        <v>2387</v>
      </c>
      <c r="D403" s="7888" t="s">
        <v>2388</v>
      </c>
      <c r="E403" s="7888" t="s">
        <v>2389</v>
      </c>
      <c r="F403" s="7888" t="s">
        <v>2390</v>
      </c>
      <c r="G403" s="7888" t="s">
        <v>28</v>
      </c>
      <c r="H403" s="7888" t="s">
        <v>28</v>
      </c>
      <c r="I403" s="7888" t="s">
        <v>978</v>
      </c>
    </row>
    <row customHeight="1" ht="11.25">
      <c r="A404" s="7888" t="s">
        <v>2329</v>
      </c>
      <c r="B404" s="7888" t="s">
        <v>16</v>
      </c>
      <c r="C404" s="7888" t="s">
        <v>2395</v>
      </c>
      <c r="D404" s="7888" t="s">
        <v>2396</v>
      </c>
      <c r="E404" s="7888" t="s">
        <v>2397</v>
      </c>
      <c r="F404" s="7888" t="s">
        <v>2381</v>
      </c>
      <c r="G404" s="7888" t="s">
        <v>28</v>
      </c>
      <c r="H404" s="7888" t="s">
        <v>28</v>
      </c>
      <c r="I404" s="7888" t="s">
        <v>978</v>
      </c>
    </row>
    <row customHeight="1" ht="11.25">
      <c r="A405" s="7888" t="s">
        <v>2329</v>
      </c>
      <c r="B405" s="7888" t="s">
        <v>16</v>
      </c>
      <c r="C405" s="7888" t="s">
        <v>2974</v>
      </c>
      <c r="D405" s="7888" t="s">
        <v>2975</v>
      </c>
      <c r="E405" s="7888" t="s">
        <v>2976</v>
      </c>
      <c r="F405" s="7888" t="s">
        <v>2504</v>
      </c>
      <c r="G405" s="7888" t="s">
        <v>28</v>
      </c>
      <c r="H405" s="7888" t="s">
        <v>28</v>
      </c>
      <c r="I405" s="7888" t="s">
        <v>978</v>
      </c>
    </row>
    <row customHeight="1" ht="11.25">
      <c r="A406" s="7888" t="s">
        <v>2329</v>
      </c>
      <c r="B406" s="7888" t="s">
        <v>16</v>
      </c>
      <c r="C406" s="7888" t="s">
        <v>2421</v>
      </c>
      <c r="D406" s="7888" t="s">
        <v>2422</v>
      </c>
      <c r="E406" s="7888" t="s">
        <v>2423</v>
      </c>
      <c r="F406" s="7888" t="s">
        <v>2424</v>
      </c>
      <c r="G406" s="7888" t="s">
        <v>28</v>
      </c>
      <c r="H406" s="7888" t="s">
        <v>28</v>
      </c>
      <c r="I406" s="7888" t="s">
        <v>978</v>
      </c>
    </row>
    <row customHeight="1" ht="11.25">
      <c r="A407" s="7888" t="s">
        <v>2329</v>
      </c>
      <c r="B407" s="7888" t="s">
        <v>16</v>
      </c>
      <c r="C407" s="7888" t="s">
        <v>2425</v>
      </c>
      <c r="D407" s="7888" t="s">
        <v>2426</v>
      </c>
      <c r="E407" s="7888" t="s">
        <v>2427</v>
      </c>
      <c r="F407" s="7888" t="s">
        <v>2428</v>
      </c>
      <c r="G407" s="7888" t="s">
        <v>28</v>
      </c>
      <c r="H407" s="7888" t="s">
        <v>28</v>
      </c>
      <c r="I407" s="7888" t="s">
        <v>978</v>
      </c>
    </row>
    <row customHeight="1" ht="11.25">
      <c r="A408" s="7888" t="s">
        <v>2329</v>
      </c>
      <c r="B408" s="7888" t="s">
        <v>16</v>
      </c>
      <c r="C408" s="7888" t="s">
        <v>3118</v>
      </c>
      <c r="D408" s="7888" t="s">
        <v>3119</v>
      </c>
      <c r="E408" s="7888" t="s">
        <v>3120</v>
      </c>
      <c r="F408" s="7888" t="s">
        <v>2381</v>
      </c>
      <c r="G408" s="7888" t="s">
        <v>28</v>
      </c>
      <c r="H408" s="7888" t="s">
        <v>28</v>
      </c>
      <c r="I408" s="7888" t="s">
        <v>978</v>
      </c>
    </row>
    <row customHeight="1" ht="11.25">
      <c r="A409" s="7888" t="s">
        <v>2329</v>
      </c>
      <c r="B409" s="7888" t="s">
        <v>16</v>
      </c>
      <c r="C409" s="7888" t="s">
        <v>2436</v>
      </c>
      <c r="D409" s="7888" t="s">
        <v>2437</v>
      </c>
      <c r="E409" s="7888" t="s">
        <v>2438</v>
      </c>
      <c r="F409" s="7888" t="s">
        <v>54</v>
      </c>
      <c r="G409" s="7888" t="s">
        <v>2439</v>
      </c>
      <c r="H409" s="7888" t="s">
        <v>28</v>
      </c>
      <c r="I409" s="7888" t="s">
        <v>978</v>
      </c>
    </row>
    <row customHeight="1" ht="11.25">
      <c r="A410" s="7888" t="s">
        <v>2329</v>
      </c>
      <c r="B410" s="7888" t="s">
        <v>16</v>
      </c>
      <c r="C410" s="7888" t="s">
        <v>28</v>
      </c>
      <c r="D410" s="7888" t="s">
        <v>2440</v>
      </c>
      <c r="E410" s="7888" t="s">
        <v>2441</v>
      </c>
      <c r="F410" s="7888" t="s">
        <v>54</v>
      </c>
      <c r="G410" s="7888" t="s">
        <v>28</v>
      </c>
      <c r="H410" s="7888" t="s">
        <v>28</v>
      </c>
      <c r="I410" s="7888" t="s">
        <v>978</v>
      </c>
    </row>
    <row customHeight="1" ht="11.25">
      <c r="A411" s="7888" t="s">
        <v>2329</v>
      </c>
      <c r="B411" s="7888" t="s">
        <v>16</v>
      </c>
      <c r="C411" s="7888" t="s">
        <v>2442</v>
      </c>
      <c r="D411" s="7888" t="s">
        <v>2443</v>
      </c>
      <c r="E411" s="7888" t="s">
        <v>2444</v>
      </c>
      <c r="F411" s="7888" t="s">
        <v>2445</v>
      </c>
      <c r="G411" s="7888" t="s">
        <v>2446</v>
      </c>
      <c r="H411" s="7888" t="s">
        <v>28</v>
      </c>
      <c r="I411" s="7888" t="s">
        <v>978</v>
      </c>
    </row>
    <row customHeight="1" ht="11.25">
      <c r="A412" s="7888" t="s">
        <v>2329</v>
      </c>
      <c r="B412" s="7888" t="s">
        <v>16</v>
      </c>
      <c r="C412" s="7888" t="s">
        <v>2447</v>
      </c>
      <c r="D412" s="7888" t="s">
        <v>2448</v>
      </c>
      <c r="E412" s="7888" t="s">
        <v>2449</v>
      </c>
      <c r="F412" s="7888" t="s">
        <v>2445</v>
      </c>
      <c r="G412" s="7888" t="s">
        <v>28</v>
      </c>
      <c r="H412" s="7888" t="s">
        <v>2450</v>
      </c>
      <c r="I412" s="7888" t="s">
        <v>978</v>
      </c>
    </row>
    <row customHeight="1" ht="11.25">
      <c r="A413" s="7888" t="s">
        <v>2329</v>
      </c>
      <c r="B413" s="7888" t="s">
        <v>16</v>
      </c>
      <c r="C413" s="7888" t="s">
        <v>2451</v>
      </c>
      <c r="D413" s="7888" t="s">
        <v>2452</v>
      </c>
      <c r="E413" s="7888" t="s">
        <v>2453</v>
      </c>
      <c r="F413" s="7888" t="s">
        <v>2454</v>
      </c>
      <c r="G413" s="7888" t="s">
        <v>28</v>
      </c>
      <c r="H413" s="7888" t="s">
        <v>28</v>
      </c>
      <c r="I413" s="7888" t="s">
        <v>978</v>
      </c>
    </row>
    <row customHeight="1" ht="11.25">
      <c r="A414" s="7888" t="s">
        <v>2329</v>
      </c>
      <c r="B414" s="7888" t="s">
        <v>16</v>
      </c>
      <c r="C414" s="7888" t="s">
        <v>2464</v>
      </c>
      <c r="D414" s="7888" t="s">
        <v>2465</v>
      </c>
      <c r="E414" s="7888" t="s">
        <v>2466</v>
      </c>
      <c r="F414" s="7888" t="s">
        <v>2467</v>
      </c>
      <c r="G414" s="7888" t="s">
        <v>2468</v>
      </c>
      <c r="H414" s="7888" t="s">
        <v>28</v>
      </c>
      <c r="I414" s="7888" t="s">
        <v>978</v>
      </c>
    </row>
    <row customHeight="1" ht="11.25">
      <c r="A415" s="7888" t="s">
        <v>2329</v>
      </c>
      <c r="B415" s="7888" t="s">
        <v>16</v>
      </c>
      <c r="C415" s="7888" t="s">
        <v>2469</v>
      </c>
      <c r="D415" s="7888" t="s">
        <v>2470</v>
      </c>
      <c r="E415" s="7888" t="s">
        <v>2471</v>
      </c>
      <c r="F415" s="7888" t="s">
        <v>2390</v>
      </c>
      <c r="G415" s="7888" t="s">
        <v>28</v>
      </c>
      <c r="H415" s="7888" t="s">
        <v>28</v>
      </c>
      <c r="I415" s="7888" t="s">
        <v>978</v>
      </c>
    </row>
    <row customHeight="1" ht="11.25">
      <c r="A416" s="7888" t="s">
        <v>2329</v>
      </c>
      <c r="B416" s="7888" t="s">
        <v>16</v>
      </c>
      <c r="C416" s="7888" t="s">
        <v>2472</v>
      </c>
      <c r="D416" s="7888" t="s">
        <v>2470</v>
      </c>
      <c r="E416" s="7888" t="s">
        <v>2473</v>
      </c>
      <c r="F416" s="7888" t="s">
        <v>2424</v>
      </c>
      <c r="G416" s="7888" t="s">
        <v>2474</v>
      </c>
      <c r="H416" s="7888" t="s">
        <v>28</v>
      </c>
      <c r="I416" s="7888" t="s">
        <v>978</v>
      </c>
    </row>
    <row customHeight="1" ht="11.25">
      <c r="A417" s="7888" t="s">
        <v>2329</v>
      </c>
      <c r="B417" s="7888" t="s">
        <v>16</v>
      </c>
      <c r="C417" s="7888" t="s">
        <v>3003</v>
      </c>
      <c r="D417" s="7888" t="s">
        <v>3004</v>
      </c>
      <c r="E417" s="7888" t="s">
        <v>3005</v>
      </c>
      <c r="F417" s="7888" t="s">
        <v>2504</v>
      </c>
      <c r="G417" s="7888" t="s">
        <v>3006</v>
      </c>
      <c r="H417" s="7888" t="s">
        <v>28</v>
      </c>
      <c r="I417" s="7888" t="s">
        <v>978</v>
      </c>
    </row>
    <row customHeight="1" ht="11.25">
      <c r="A418" s="7888" t="s">
        <v>2329</v>
      </c>
      <c r="B418" s="7888" t="s">
        <v>16</v>
      </c>
      <c r="C418" s="7888" t="s">
        <v>3007</v>
      </c>
      <c r="D418" s="7888" t="s">
        <v>3008</v>
      </c>
      <c r="E418" s="7888" t="s">
        <v>3009</v>
      </c>
      <c r="F418" s="7888" t="s">
        <v>2478</v>
      </c>
      <c r="G418" s="7888" t="s">
        <v>28</v>
      </c>
      <c r="H418" s="7888" t="s">
        <v>28</v>
      </c>
      <c r="I418" s="7888" t="s">
        <v>978</v>
      </c>
    </row>
    <row customHeight="1" ht="11.25">
      <c r="A419" s="7888" t="s">
        <v>2329</v>
      </c>
      <c r="B419" s="7888" t="s">
        <v>16</v>
      </c>
      <c r="C419" s="7888" t="s">
        <v>3010</v>
      </c>
      <c r="D419" s="7888" t="s">
        <v>3011</v>
      </c>
      <c r="E419" s="7888" t="s">
        <v>3012</v>
      </c>
      <c r="F419" s="7888" t="s">
        <v>2546</v>
      </c>
      <c r="G419" s="7888" t="s">
        <v>28</v>
      </c>
      <c r="H419" s="7888" t="s">
        <v>28</v>
      </c>
      <c r="I419" s="7888" t="s">
        <v>978</v>
      </c>
    </row>
    <row customHeight="1" ht="11.25">
      <c r="A420" s="7888" t="s">
        <v>2329</v>
      </c>
      <c r="B420" s="7888" t="s">
        <v>16</v>
      </c>
      <c r="C420" s="7888" t="s">
        <v>2479</v>
      </c>
      <c r="D420" s="7888" t="s">
        <v>2480</v>
      </c>
      <c r="E420" s="7888" t="s">
        <v>2481</v>
      </c>
      <c r="F420" s="7888" t="s">
        <v>2420</v>
      </c>
      <c r="G420" s="7888" t="s">
        <v>2482</v>
      </c>
      <c r="H420" s="7888" t="s">
        <v>28</v>
      </c>
      <c r="I420" s="7888" t="s">
        <v>978</v>
      </c>
    </row>
    <row customHeight="1" ht="11.25">
      <c r="A421" s="7888" t="s">
        <v>2329</v>
      </c>
      <c r="B421" s="7888" t="s">
        <v>16</v>
      </c>
      <c r="C421" s="7888" t="s">
        <v>2490</v>
      </c>
      <c r="D421" s="7888" t="s">
        <v>2491</v>
      </c>
      <c r="E421" s="7888" t="s">
        <v>2492</v>
      </c>
      <c r="F421" s="7888" t="s">
        <v>2445</v>
      </c>
      <c r="G421" s="7888" t="s">
        <v>28</v>
      </c>
      <c r="H421" s="7888" t="s">
        <v>28</v>
      </c>
      <c r="I421" s="7888" t="s">
        <v>978</v>
      </c>
    </row>
    <row customHeight="1" ht="11.25">
      <c r="A422" s="7888" t="s">
        <v>2329</v>
      </c>
      <c r="B422" s="7888" t="s">
        <v>16</v>
      </c>
      <c r="C422" s="7888" t="s">
        <v>2493</v>
      </c>
      <c r="D422" s="7888" t="s">
        <v>2494</v>
      </c>
      <c r="E422" s="7888" t="s">
        <v>2495</v>
      </c>
      <c r="F422" s="7888" t="s">
        <v>2496</v>
      </c>
      <c r="G422" s="7888" t="s">
        <v>28</v>
      </c>
      <c r="H422" s="7888" t="s">
        <v>28</v>
      </c>
      <c r="I422" s="7888" t="s">
        <v>978</v>
      </c>
    </row>
    <row customHeight="1" ht="11.25">
      <c r="A423" s="7888" t="s">
        <v>2329</v>
      </c>
      <c r="B423" s="7888" t="s">
        <v>16</v>
      </c>
      <c r="C423" s="7888" t="s">
        <v>2497</v>
      </c>
      <c r="D423" s="7888" t="s">
        <v>2498</v>
      </c>
      <c r="E423" s="7888" t="s">
        <v>2499</v>
      </c>
      <c r="F423" s="7888" t="s">
        <v>2478</v>
      </c>
      <c r="G423" s="7888" t="s">
        <v>2500</v>
      </c>
      <c r="H423" s="7888" t="s">
        <v>28</v>
      </c>
      <c r="I423" s="7888" t="s">
        <v>978</v>
      </c>
    </row>
    <row customHeight="1" ht="11.25">
      <c r="A424" s="7888" t="s">
        <v>2329</v>
      </c>
      <c r="B424" s="7888" t="s">
        <v>16</v>
      </c>
      <c r="C424" s="7888" t="s">
        <v>2501</v>
      </c>
      <c r="D424" s="7888" t="s">
        <v>2502</v>
      </c>
      <c r="E424" s="7888" t="s">
        <v>2503</v>
      </c>
      <c r="F424" s="7888" t="s">
        <v>2504</v>
      </c>
      <c r="G424" s="7888" t="s">
        <v>28</v>
      </c>
      <c r="H424" s="7888" t="s">
        <v>28</v>
      </c>
      <c r="I424" s="7888" t="s">
        <v>978</v>
      </c>
    </row>
    <row customHeight="1" ht="11.25">
      <c r="A425" s="7888" t="s">
        <v>2329</v>
      </c>
      <c r="B425" s="7888" t="s">
        <v>16</v>
      </c>
      <c r="C425" s="7888" t="s">
        <v>2505</v>
      </c>
      <c r="D425" s="7888" t="s">
        <v>2506</v>
      </c>
      <c r="E425" s="7888" t="s">
        <v>2507</v>
      </c>
      <c r="F425" s="7888" t="s">
        <v>2504</v>
      </c>
      <c r="G425" s="7888" t="s">
        <v>2508</v>
      </c>
      <c r="H425" s="7888" t="s">
        <v>28</v>
      </c>
      <c r="I425" s="7888" t="s">
        <v>978</v>
      </c>
    </row>
    <row customHeight="1" ht="11.25">
      <c r="A426" s="7888" t="s">
        <v>2329</v>
      </c>
      <c r="B426" s="7888" t="s">
        <v>16</v>
      </c>
      <c r="C426" s="7888" t="s">
        <v>2509</v>
      </c>
      <c r="D426" s="7888" t="s">
        <v>2510</v>
      </c>
      <c r="E426" s="7888" t="s">
        <v>2511</v>
      </c>
      <c r="F426" s="7888" t="s">
        <v>2478</v>
      </c>
      <c r="G426" s="7888" t="s">
        <v>28</v>
      </c>
      <c r="H426" s="7888" t="s">
        <v>28</v>
      </c>
      <c r="I426" s="7888" t="s">
        <v>978</v>
      </c>
    </row>
    <row customHeight="1" ht="11.25">
      <c r="A427" s="7888" t="s">
        <v>2329</v>
      </c>
      <c r="B427" s="7888" t="s">
        <v>16</v>
      </c>
      <c r="C427" s="7888" t="s">
        <v>2512</v>
      </c>
      <c r="D427" s="7888" t="s">
        <v>2513</v>
      </c>
      <c r="E427" s="7888" t="s">
        <v>2514</v>
      </c>
      <c r="F427" s="7888" t="s">
        <v>2515</v>
      </c>
      <c r="G427" s="7888" t="s">
        <v>2516</v>
      </c>
      <c r="H427" s="7888" t="s">
        <v>28</v>
      </c>
      <c r="I427" s="7888" t="s">
        <v>978</v>
      </c>
    </row>
    <row customHeight="1" ht="11.25">
      <c r="A428" s="7888" t="s">
        <v>2329</v>
      </c>
      <c r="B428" s="7888" t="s">
        <v>16</v>
      </c>
      <c r="C428" s="7888" t="s">
        <v>3013</v>
      </c>
      <c r="D428" s="7888" t="s">
        <v>3014</v>
      </c>
      <c r="E428" s="7888" t="s">
        <v>3015</v>
      </c>
      <c r="F428" s="7888" t="s">
        <v>2478</v>
      </c>
      <c r="G428" s="7888" t="s">
        <v>3016</v>
      </c>
      <c r="H428" s="7888" t="s">
        <v>28</v>
      </c>
      <c r="I428" s="7888" t="s">
        <v>978</v>
      </c>
    </row>
    <row customHeight="1" ht="11.25">
      <c r="A429" s="7888" t="s">
        <v>2329</v>
      </c>
      <c r="B429" s="7888" t="s">
        <v>16</v>
      </c>
      <c r="C429" s="7888" t="s">
        <v>3017</v>
      </c>
      <c r="D429" s="7888" t="s">
        <v>3018</v>
      </c>
      <c r="E429" s="7888" t="s">
        <v>3019</v>
      </c>
      <c r="F429" s="7888" t="s">
        <v>2515</v>
      </c>
      <c r="G429" s="7888" t="s">
        <v>3020</v>
      </c>
      <c r="H429" s="7888" t="s">
        <v>28</v>
      </c>
      <c r="I429" s="7888" t="s">
        <v>978</v>
      </c>
    </row>
    <row customHeight="1" ht="11.25">
      <c r="A430" s="7888" t="s">
        <v>2329</v>
      </c>
      <c r="B430" s="7888" t="s">
        <v>16</v>
      </c>
      <c r="C430" s="7888" t="s">
        <v>2521</v>
      </c>
      <c r="D430" s="7888" t="s">
        <v>2522</v>
      </c>
      <c r="E430" s="7888" t="s">
        <v>2523</v>
      </c>
      <c r="F430" s="7888" t="s">
        <v>2524</v>
      </c>
      <c r="G430" s="7888" t="s">
        <v>28</v>
      </c>
      <c r="H430" s="7888" t="s">
        <v>28</v>
      </c>
      <c r="I430" s="7888" t="s">
        <v>978</v>
      </c>
    </row>
    <row customHeight="1" ht="11.25">
      <c r="A431" s="7888" t="s">
        <v>2329</v>
      </c>
      <c r="B431" s="7888" t="s">
        <v>16</v>
      </c>
      <c r="C431" s="7888" t="s">
        <v>3121</v>
      </c>
      <c r="D431" s="7888" t="s">
        <v>3122</v>
      </c>
      <c r="E431" s="7888" t="s">
        <v>3123</v>
      </c>
      <c r="F431" s="7888" t="s">
        <v>2515</v>
      </c>
      <c r="G431" s="7888" t="s">
        <v>3124</v>
      </c>
      <c r="H431" s="7888" t="s">
        <v>28</v>
      </c>
      <c r="I431" s="7888" t="s">
        <v>978</v>
      </c>
    </row>
    <row customHeight="1" ht="11.25">
      <c r="A432" s="7888" t="s">
        <v>2329</v>
      </c>
      <c r="B432" s="7888" t="s">
        <v>16</v>
      </c>
      <c r="C432" s="7888" t="s">
        <v>2533</v>
      </c>
      <c r="D432" s="7888" t="s">
        <v>2534</v>
      </c>
      <c r="E432" s="7888" t="s">
        <v>2535</v>
      </c>
      <c r="F432" s="7888" t="s">
        <v>2504</v>
      </c>
      <c r="G432" s="7888" t="s">
        <v>2536</v>
      </c>
      <c r="H432" s="7888" t="s">
        <v>28</v>
      </c>
      <c r="I432" s="7888" t="s">
        <v>978</v>
      </c>
    </row>
    <row customHeight="1" ht="11.25">
      <c r="A433" s="7888" t="s">
        <v>2329</v>
      </c>
      <c r="B433" s="7888" t="s">
        <v>16</v>
      </c>
      <c r="C433" s="7888" t="s">
        <v>2537</v>
      </c>
      <c r="D433" s="7888" t="s">
        <v>2538</v>
      </c>
      <c r="E433" s="7888" t="s">
        <v>2539</v>
      </c>
      <c r="F433" s="7888" t="s">
        <v>2504</v>
      </c>
      <c r="G433" s="7888" t="s">
        <v>28</v>
      </c>
      <c r="H433" s="7888" t="s">
        <v>28</v>
      </c>
      <c r="I433" s="7888" t="s">
        <v>978</v>
      </c>
    </row>
    <row customHeight="1" ht="11.25">
      <c r="A434" s="7888" t="s">
        <v>2329</v>
      </c>
      <c r="B434" s="7888" t="s">
        <v>16</v>
      </c>
      <c r="C434" s="7888" t="s">
        <v>2540</v>
      </c>
      <c r="D434" s="7888" t="s">
        <v>2541</v>
      </c>
      <c r="E434" s="7888" t="s">
        <v>2542</v>
      </c>
      <c r="F434" s="7888" t="s">
        <v>2424</v>
      </c>
      <c r="G434" s="7888" t="s">
        <v>28</v>
      </c>
      <c r="H434" s="7888" t="s">
        <v>28</v>
      </c>
      <c r="I434" s="7888" t="s">
        <v>978</v>
      </c>
    </row>
    <row customHeight="1" ht="11.25">
      <c r="A435" s="7888" t="s">
        <v>2329</v>
      </c>
      <c r="B435" s="7888" t="s">
        <v>16</v>
      </c>
      <c r="C435" s="7888" t="s">
        <v>3125</v>
      </c>
      <c r="D435" s="7888" t="s">
        <v>3126</v>
      </c>
      <c r="E435" s="7888" t="s">
        <v>3127</v>
      </c>
      <c r="F435" s="7888" t="s">
        <v>2445</v>
      </c>
      <c r="G435" s="7888" t="s">
        <v>3128</v>
      </c>
      <c r="H435" s="7888" t="s">
        <v>28</v>
      </c>
      <c r="I435" s="7888" t="s">
        <v>978</v>
      </c>
    </row>
    <row customHeight="1" ht="11.25">
      <c r="A436" s="7888" t="s">
        <v>2329</v>
      </c>
      <c r="B436" s="7888" t="s">
        <v>16</v>
      </c>
      <c r="C436" s="7888" t="s">
        <v>2547</v>
      </c>
      <c r="D436" s="7888" t="s">
        <v>2548</v>
      </c>
      <c r="E436" s="7888" t="s">
        <v>2549</v>
      </c>
      <c r="F436" s="7888" t="s">
        <v>2467</v>
      </c>
      <c r="G436" s="7888" t="s">
        <v>2550</v>
      </c>
      <c r="H436" s="7888" t="s">
        <v>28</v>
      </c>
      <c r="I436" s="7888" t="s">
        <v>978</v>
      </c>
    </row>
    <row customHeight="1" ht="11.25">
      <c r="A437" s="7888" t="s">
        <v>2329</v>
      </c>
      <c r="B437" s="7888" t="s">
        <v>16</v>
      </c>
      <c r="C437" s="7888" t="s">
        <v>2551</v>
      </c>
      <c r="D437" s="7888" t="s">
        <v>2552</v>
      </c>
      <c r="E437" s="7888" t="s">
        <v>2553</v>
      </c>
      <c r="F437" s="7888" t="s">
        <v>2504</v>
      </c>
      <c r="G437" s="7888" t="s">
        <v>2554</v>
      </c>
      <c r="H437" s="7888" t="s">
        <v>28</v>
      </c>
      <c r="I437" s="7888" t="s">
        <v>978</v>
      </c>
    </row>
    <row customHeight="1" ht="11.25">
      <c r="A438" s="7888" t="s">
        <v>2329</v>
      </c>
      <c r="B438" s="7888" t="s">
        <v>16</v>
      </c>
      <c r="C438" s="7888" t="s">
        <v>2558</v>
      </c>
      <c r="D438" s="7888" t="s">
        <v>2559</v>
      </c>
      <c r="E438" s="7888" t="s">
        <v>2560</v>
      </c>
      <c r="F438" s="7888" t="s">
        <v>2515</v>
      </c>
      <c r="G438" s="7888" t="s">
        <v>28</v>
      </c>
      <c r="H438" s="7888" t="s">
        <v>28</v>
      </c>
      <c r="I438" s="7888" t="s">
        <v>978</v>
      </c>
    </row>
    <row customHeight="1" ht="11.25">
      <c r="A439" s="7888" t="s">
        <v>2329</v>
      </c>
      <c r="B439" s="7888" t="s">
        <v>16</v>
      </c>
      <c r="C439" s="7888" t="s">
        <v>2561</v>
      </c>
      <c r="D439" s="7888" t="s">
        <v>2562</v>
      </c>
      <c r="E439" s="7888" t="s">
        <v>2563</v>
      </c>
      <c r="F439" s="7888" t="s">
        <v>2546</v>
      </c>
      <c r="G439" s="7888" t="s">
        <v>28</v>
      </c>
      <c r="H439" s="7888" t="s">
        <v>28</v>
      </c>
      <c r="I439" s="7888" t="s">
        <v>978</v>
      </c>
    </row>
    <row customHeight="1" ht="11.25">
      <c r="A440" s="7888" t="s">
        <v>2329</v>
      </c>
      <c r="B440" s="7888" t="s">
        <v>16</v>
      </c>
      <c r="C440" s="7888" t="s">
        <v>2564</v>
      </c>
      <c r="D440" s="7888" t="s">
        <v>2565</v>
      </c>
      <c r="E440" s="7888" t="s">
        <v>2566</v>
      </c>
      <c r="F440" s="7888" t="s">
        <v>2504</v>
      </c>
      <c r="G440" s="7888" t="s">
        <v>2567</v>
      </c>
      <c r="H440" s="7888" t="s">
        <v>28</v>
      </c>
      <c r="I440" s="7888" t="s">
        <v>978</v>
      </c>
    </row>
    <row customHeight="1" ht="11.25">
      <c r="A441" s="7888" t="s">
        <v>2329</v>
      </c>
      <c r="B441" s="7888" t="s">
        <v>16</v>
      </c>
      <c r="C441" s="7888" t="s">
        <v>2572</v>
      </c>
      <c r="D441" s="7888" t="s">
        <v>2573</v>
      </c>
      <c r="E441" s="7888" t="s">
        <v>2574</v>
      </c>
      <c r="F441" s="7888" t="s">
        <v>2515</v>
      </c>
      <c r="G441" s="7888" t="s">
        <v>2575</v>
      </c>
      <c r="H441" s="7888" t="s">
        <v>28</v>
      </c>
      <c r="I441" s="7888" t="s">
        <v>978</v>
      </c>
    </row>
    <row customHeight="1" ht="11.25">
      <c r="A442" s="7888" t="s">
        <v>2329</v>
      </c>
      <c r="B442" s="7888" t="s">
        <v>16</v>
      </c>
      <c r="C442" s="7888" t="s">
        <v>2576</v>
      </c>
      <c r="D442" s="7888" t="s">
        <v>2573</v>
      </c>
      <c r="E442" s="7888" t="s">
        <v>2577</v>
      </c>
      <c r="F442" s="7888" t="s">
        <v>2390</v>
      </c>
      <c r="G442" s="7888" t="s">
        <v>2578</v>
      </c>
      <c r="H442" s="7888" t="s">
        <v>28</v>
      </c>
      <c r="I442" s="7888" t="s">
        <v>978</v>
      </c>
    </row>
    <row customHeight="1" ht="11.25">
      <c r="A443" s="7888" t="s">
        <v>2329</v>
      </c>
      <c r="B443" s="7888" t="s">
        <v>16</v>
      </c>
      <c r="C443" s="7888" t="s">
        <v>2579</v>
      </c>
      <c r="D443" s="7888" t="s">
        <v>2580</v>
      </c>
      <c r="E443" s="7888" t="s">
        <v>2581</v>
      </c>
      <c r="F443" s="7888" t="s">
        <v>2496</v>
      </c>
      <c r="G443" s="7888" t="s">
        <v>28</v>
      </c>
      <c r="H443" s="7888" t="s">
        <v>28</v>
      </c>
      <c r="I443" s="7888" t="s">
        <v>978</v>
      </c>
    </row>
    <row customHeight="1" ht="11.25">
      <c r="A444" s="7888" t="s">
        <v>2329</v>
      </c>
      <c r="B444" s="7888" t="s">
        <v>16</v>
      </c>
      <c r="C444" s="7888" t="s">
        <v>2582</v>
      </c>
      <c r="D444" s="7888" t="s">
        <v>2583</v>
      </c>
      <c r="E444" s="7888" t="s">
        <v>2584</v>
      </c>
      <c r="F444" s="7888" t="s">
        <v>2496</v>
      </c>
      <c r="G444" s="7888" t="s">
        <v>2585</v>
      </c>
      <c r="H444" s="7888" t="s">
        <v>28</v>
      </c>
      <c r="I444" s="7888" t="s">
        <v>978</v>
      </c>
    </row>
    <row customHeight="1" ht="11.25">
      <c r="A445" s="7888" t="s">
        <v>2329</v>
      </c>
      <c r="B445" s="7888" t="s">
        <v>16</v>
      </c>
      <c r="C445" s="7888" t="s">
        <v>2586</v>
      </c>
      <c r="D445" s="7888" t="s">
        <v>2587</v>
      </c>
      <c r="E445" s="7888" t="s">
        <v>2588</v>
      </c>
      <c r="F445" s="7888" t="s">
        <v>2458</v>
      </c>
      <c r="G445" s="7888" t="s">
        <v>28</v>
      </c>
      <c r="H445" s="7888" t="s">
        <v>28</v>
      </c>
      <c r="I445" s="7888" t="s">
        <v>978</v>
      </c>
    </row>
    <row customHeight="1" ht="11.25">
      <c r="A446" s="7888" t="s">
        <v>2329</v>
      </c>
      <c r="B446" s="7888" t="s">
        <v>16</v>
      </c>
      <c r="C446" s="7888" t="s">
        <v>2601</v>
      </c>
      <c r="D446" s="7888" t="s">
        <v>2602</v>
      </c>
      <c r="E446" s="7888" t="s">
        <v>2603</v>
      </c>
      <c r="F446" s="7888" t="s">
        <v>2478</v>
      </c>
      <c r="G446" s="7888" t="s">
        <v>2604</v>
      </c>
      <c r="H446" s="7888" t="s">
        <v>28</v>
      </c>
      <c r="I446" s="7888" t="s">
        <v>978</v>
      </c>
    </row>
    <row customHeight="1" ht="11.25">
      <c r="A447" s="7888" t="s">
        <v>2329</v>
      </c>
      <c r="B447" s="7888" t="s">
        <v>16</v>
      </c>
      <c r="C447" s="7888" t="s">
        <v>3028</v>
      </c>
      <c r="D447" s="7888" t="s">
        <v>3029</v>
      </c>
      <c r="E447" s="7888" t="s">
        <v>3030</v>
      </c>
      <c r="F447" s="7888" t="s">
        <v>54</v>
      </c>
      <c r="G447" s="7888" t="s">
        <v>28</v>
      </c>
      <c r="H447" s="7888" t="s">
        <v>28</v>
      </c>
      <c r="I447" s="7888" t="s">
        <v>978</v>
      </c>
    </row>
    <row customHeight="1" ht="11.25">
      <c r="A448" s="7888" t="s">
        <v>2329</v>
      </c>
      <c r="B448" s="7888" t="s">
        <v>16</v>
      </c>
      <c r="C448" s="7888" t="s">
        <v>2608</v>
      </c>
      <c r="D448" s="7888" t="s">
        <v>2609</v>
      </c>
      <c r="E448" s="7888" t="s">
        <v>2610</v>
      </c>
      <c r="F448" s="7888" t="s">
        <v>2524</v>
      </c>
      <c r="G448" s="7888" t="s">
        <v>28</v>
      </c>
      <c r="H448" s="7888" t="s">
        <v>28</v>
      </c>
      <c r="I448" s="7888" t="s">
        <v>978</v>
      </c>
    </row>
    <row customHeight="1" ht="11.25">
      <c r="A449" s="7888" t="s">
        <v>2329</v>
      </c>
      <c r="B449" s="7888" t="s">
        <v>16</v>
      </c>
      <c r="C449" s="7888" t="s">
        <v>2614</v>
      </c>
      <c r="D449" s="7888" t="s">
        <v>2615</v>
      </c>
      <c r="E449" s="7888" t="s">
        <v>2616</v>
      </c>
      <c r="F449" s="7888" t="s">
        <v>2390</v>
      </c>
      <c r="G449" s="7888" t="s">
        <v>2617</v>
      </c>
      <c r="H449" s="7888" t="s">
        <v>28</v>
      </c>
      <c r="I449" s="7888" t="s">
        <v>978</v>
      </c>
    </row>
    <row customHeight="1" ht="11.25">
      <c r="A450" s="7888" t="s">
        <v>2329</v>
      </c>
      <c r="B450" s="7888" t="s">
        <v>16</v>
      </c>
      <c r="C450" s="7888" t="s">
        <v>2618</v>
      </c>
      <c r="D450" s="7888" t="s">
        <v>2619</v>
      </c>
      <c r="E450" s="7888" t="s">
        <v>2620</v>
      </c>
      <c r="F450" s="7888" t="s">
        <v>2458</v>
      </c>
      <c r="G450" s="7888" t="s">
        <v>28</v>
      </c>
      <c r="H450" s="7888" t="s">
        <v>28</v>
      </c>
      <c r="I450" s="7888" t="s">
        <v>978</v>
      </c>
    </row>
    <row customHeight="1" ht="11.25">
      <c r="A451" s="7888" t="s">
        <v>2329</v>
      </c>
      <c r="B451" s="7888" t="s">
        <v>16</v>
      </c>
      <c r="C451" s="7888" t="s">
        <v>2621</v>
      </c>
      <c r="D451" s="7888" t="s">
        <v>2622</v>
      </c>
      <c r="E451" s="7888" t="s">
        <v>2623</v>
      </c>
      <c r="F451" s="7888" t="s">
        <v>2504</v>
      </c>
      <c r="G451" s="7888" t="s">
        <v>28</v>
      </c>
      <c r="H451" s="7888" t="s">
        <v>28</v>
      </c>
      <c r="I451" s="7888" t="s">
        <v>978</v>
      </c>
    </row>
    <row customHeight="1" ht="11.25">
      <c r="A452" s="7888" t="s">
        <v>2329</v>
      </c>
      <c r="B452" s="7888" t="s">
        <v>16</v>
      </c>
      <c r="C452" s="7888" t="s">
        <v>2634</v>
      </c>
      <c r="D452" s="7888" t="s">
        <v>2635</v>
      </c>
      <c r="E452" s="7888" t="s">
        <v>2636</v>
      </c>
      <c r="F452" s="7888" t="s">
        <v>2637</v>
      </c>
      <c r="G452" s="7888" t="s">
        <v>2638</v>
      </c>
      <c r="H452" s="7888" t="s">
        <v>28</v>
      </c>
      <c r="I452" s="7888" t="s">
        <v>978</v>
      </c>
    </row>
    <row customHeight="1" ht="11.25">
      <c r="A453" s="7888" t="s">
        <v>2329</v>
      </c>
      <c r="B453" s="7888" t="s">
        <v>16</v>
      </c>
      <c r="C453" s="7888" t="s">
        <v>2639</v>
      </c>
      <c r="D453" s="7888" t="s">
        <v>2640</v>
      </c>
      <c r="E453" s="7888" t="s">
        <v>2641</v>
      </c>
      <c r="F453" s="7888" t="s">
        <v>2390</v>
      </c>
      <c r="G453" s="7888" t="s">
        <v>28</v>
      </c>
      <c r="H453" s="7888" t="s">
        <v>28</v>
      </c>
      <c r="I453" s="7888" t="s">
        <v>978</v>
      </c>
    </row>
    <row customHeight="1" ht="11.25">
      <c r="A454" s="7888" t="s">
        <v>2329</v>
      </c>
      <c r="B454" s="7888" t="s">
        <v>16</v>
      </c>
      <c r="C454" s="7888" t="s">
        <v>2645</v>
      </c>
      <c r="D454" s="7888" t="s">
        <v>2646</v>
      </c>
      <c r="E454" s="7888" t="s">
        <v>2647</v>
      </c>
      <c r="F454" s="7888" t="s">
        <v>2458</v>
      </c>
      <c r="G454" s="7888" t="s">
        <v>28</v>
      </c>
      <c r="H454" s="7888" t="s">
        <v>28</v>
      </c>
      <c r="I454" s="7888" t="s">
        <v>978</v>
      </c>
    </row>
    <row customHeight="1" ht="11.25">
      <c r="A455" s="7888" t="s">
        <v>2329</v>
      </c>
      <c r="B455" s="7888" t="s">
        <v>16</v>
      </c>
      <c r="C455" s="7888" t="s">
        <v>2651</v>
      </c>
      <c r="D455" s="7888" t="s">
        <v>2652</v>
      </c>
      <c r="E455" s="7888" t="s">
        <v>2653</v>
      </c>
      <c r="F455" s="7888" t="s">
        <v>54</v>
      </c>
      <c r="G455" s="7888" t="s">
        <v>2654</v>
      </c>
      <c r="H455" s="7888" t="s">
        <v>28</v>
      </c>
      <c r="I455" s="7888" t="s">
        <v>978</v>
      </c>
    </row>
    <row customHeight="1" ht="11.25">
      <c r="A456" s="7888" t="s">
        <v>2329</v>
      </c>
      <c r="B456" s="7888" t="s">
        <v>16</v>
      </c>
      <c r="C456" s="7888" t="s">
        <v>3031</v>
      </c>
      <c r="D456" s="7888" t="s">
        <v>3032</v>
      </c>
      <c r="E456" s="7888" t="s">
        <v>3033</v>
      </c>
      <c r="F456" s="7888" t="s">
        <v>2679</v>
      </c>
      <c r="G456" s="7888" t="s">
        <v>28</v>
      </c>
      <c r="H456" s="7888" t="s">
        <v>28</v>
      </c>
      <c r="I456" s="7888" t="s">
        <v>978</v>
      </c>
    </row>
    <row customHeight="1" ht="11.25">
      <c r="A457" s="7888" t="s">
        <v>2329</v>
      </c>
      <c r="B457" s="7888" t="s">
        <v>16</v>
      </c>
      <c r="C457" s="7888" t="s">
        <v>3034</v>
      </c>
      <c r="D457" s="7888" t="s">
        <v>3035</v>
      </c>
      <c r="E457" s="7888" t="s">
        <v>3036</v>
      </c>
      <c r="F457" s="7888" t="s">
        <v>54</v>
      </c>
      <c r="G457" s="7888" t="s">
        <v>3037</v>
      </c>
      <c r="H457" s="7888" t="s">
        <v>28</v>
      </c>
      <c r="I457" s="7888" t="s">
        <v>978</v>
      </c>
    </row>
    <row customHeight="1" ht="11.25">
      <c r="A458" s="7888" t="s">
        <v>2329</v>
      </c>
      <c r="B458" s="7888" t="s">
        <v>16</v>
      </c>
      <c r="C458" s="7888" t="s">
        <v>3038</v>
      </c>
      <c r="D458" s="7888" t="s">
        <v>3039</v>
      </c>
      <c r="E458" s="7888" t="s">
        <v>3040</v>
      </c>
      <c r="F458" s="7888" t="s">
        <v>2679</v>
      </c>
      <c r="G458" s="7888" t="s">
        <v>28</v>
      </c>
      <c r="H458" s="7888" t="s">
        <v>28</v>
      </c>
      <c r="I458" s="7888" t="s">
        <v>978</v>
      </c>
    </row>
    <row customHeight="1" ht="11.25">
      <c r="A459" s="7888" t="s">
        <v>2329</v>
      </c>
      <c r="B459" s="7888" t="s">
        <v>16</v>
      </c>
      <c r="C459" s="7888" t="s">
        <v>3041</v>
      </c>
      <c r="D459" s="7888" t="s">
        <v>3039</v>
      </c>
      <c r="E459" s="7888" t="s">
        <v>3042</v>
      </c>
      <c r="F459" s="7888" t="s">
        <v>2424</v>
      </c>
      <c r="G459" s="7888" t="s">
        <v>28</v>
      </c>
      <c r="H459" s="7888" t="s">
        <v>28</v>
      </c>
      <c r="I459" s="7888" t="s">
        <v>978</v>
      </c>
    </row>
    <row customHeight="1" ht="11.25">
      <c r="A460" s="7888" t="s">
        <v>2329</v>
      </c>
      <c r="B460" s="7888" t="s">
        <v>16</v>
      </c>
      <c r="C460" s="7888" t="s">
        <v>3043</v>
      </c>
      <c r="D460" s="7888" t="s">
        <v>3044</v>
      </c>
      <c r="E460" s="7888" t="s">
        <v>3045</v>
      </c>
      <c r="F460" s="7888" t="s">
        <v>2420</v>
      </c>
      <c r="G460" s="7888" t="s">
        <v>28</v>
      </c>
      <c r="H460" s="7888" t="s">
        <v>28</v>
      </c>
      <c r="I460" s="7888" t="s">
        <v>978</v>
      </c>
    </row>
    <row customHeight="1" ht="11.25">
      <c r="A461" s="7888" t="s">
        <v>2329</v>
      </c>
      <c r="B461" s="7888" t="s">
        <v>16</v>
      </c>
      <c r="C461" s="7888" t="s">
        <v>2673</v>
      </c>
      <c r="D461" s="7888" t="s">
        <v>2674</v>
      </c>
      <c r="E461" s="7888" t="s">
        <v>2675</v>
      </c>
      <c r="F461" s="7888" t="s">
        <v>2504</v>
      </c>
      <c r="G461" s="7888" t="s">
        <v>28</v>
      </c>
      <c r="H461" s="7888" t="s">
        <v>28</v>
      </c>
      <c r="I461" s="7888" t="s">
        <v>978</v>
      </c>
    </row>
    <row customHeight="1" ht="11.25">
      <c r="A462" s="7888" t="s">
        <v>2329</v>
      </c>
      <c r="B462" s="7888" t="s">
        <v>16</v>
      </c>
      <c r="C462" s="7888" t="s">
        <v>2676</v>
      </c>
      <c r="D462" s="7888" t="s">
        <v>2677</v>
      </c>
      <c r="E462" s="7888" t="s">
        <v>2678</v>
      </c>
      <c r="F462" s="7888" t="s">
        <v>2679</v>
      </c>
      <c r="G462" s="7888" t="s">
        <v>28</v>
      </c>
      <c r="H462" s="7888" t="s">
        <v>28</v>
      </c>
      <c r="I462" s="7888" t="s">
        <v>978</v>
      </c>
    </row>
    <row customHeight="1" ht="11.25">
      <c r="A463" s="7888" t="s">
        <v>2329</v>
      </c>
      <c r="B463" s="7888" t="s">
        <v>16</v>
      </c>
      <c r="C463" s="7888" t="s">
        <v>3129</v>
      </c>
      <c r="D463" s="7888" t="s">
        <v>3130</v>
      </c>
      <c r="E463" s="7888" t="s">
        <v>3131</v>
      </c>
      <c r="F463" s="7888" t="s">
        <v>2504</v>
      </c>
      <c r="G463" s="7888" t="s">
        <v>3132</v>
      </c>
      <c r="H463" s="7888" t="s">
        <v>28</v>
      </c>
      <c r="I463" s="7888" t="s">
        <v>978</v>
      </c>
    </row>
    <row customHeight="1" ht="11.25">
      <c r="A464" s="7888" t="s">
        <v>2329</v>
      </c>
      <c r="B464" s="7888" t="s">
        <v>16</v>
      </c>
      <c r="C464" s="7888" t="s">
        <v>2704</v>
      </c>
      <c r="D464" s="7888" t="s">
        <v>2705</v>
      </c>
      <c r="E464" s="7888" t="s">
        <v>2706</v>
      </c>
      <c r="F464" s="7888" t="s">
        <v>2707</v>
      </c>
      <c r="G464" s="7888" t="s">
        <v>28</v>
      </c>
      <c r="H464" s="7888" t="s">
        <v>28</v>
      </c>
      <c r="I464" s="7888" t="s">
        <v>978</v>
      </c>
    </row>
    <row customHeight="1" ht="11.25">
      <c r="A465" s="7888" t="s">
        <v>2329</v>
      </c>
      <c r="B465" s="7888" t="s">
        <v>16</v>
      </c>
      <c r="C465" s="7888" t="s">
        <v>2708</v>
      </c>
      <c r="D465" s="7888" t="s">
        <v>2709</v>
      </c>
      <c r="E465" s="7888" t="s">
        <v>2710</v>
      </c>
      <c r="F465" s="7888" t="s">
        <v>2707</v>
      </c>
      <c r="G465" s="7888" t="s">
        <v>28</v>
      </c>
      <c r="H465" s="7888" t="s">
        <v>28</v>
      </c>
      <c r="I465" s="7888" t="s">
        <v>978</v>
      </c>
    </row>
    <row customHeight="1" ht="11.25">
      <c r="A466" s="7888" t="s">
        <v>2329</v>
      </c>
      <c r="B466" s="7888" t="s">
        <v>16</v>
      </c>
      <c r="C466" s="7888" t="s">
        <v>3058</v>
      </c>
      <c r="D466" s="7888" t="s">
        <v>3059</v>
      </c>
      <c r="E466" s="7888" t="s">
        <v>3060</v>
      </c>
      <c r="F466" s="7888" t="s">
        <v>2463</v>
      </c>
      <c r="G466" s="7888" t="s">
        <v>28</v>
      </c>
      <c r="H466" s="7888" t="s">
        <v>28</v>
      </c>
      <c r="I466" s="7888" t="s">
        <v>978</v>
      </c>
    </row>
    <row customHeight="1" ht="11.25">
      <c r="A467" s="7888" t="s">
        <v>2329</v>
      </c>
      <c r="B467" s="7888" t="s">
        <v>16</v>
      </c>
      <c r="C467" s="7888" t="s">
        <v>2726</v>
      </c>
      <c r="D467" s="7888" t="s">
        <v>2727</v>
      </c>
      <c r="E467" s="7888" t="s">
        <v>2728</v>
      </c>
      <c r="F467" s="7888" t="s">
        <v>2504</v>
      </c>
      <c r="G467" s="7888" t="s">
        <v>28</v>
      </c>
      <c r="H467" s="7888" t="s">
        <v>28</v>
      </c>
      <c r="I467" s="7888" t="s">
        <v>978</v>
      </c>
    </row>
    <row customHeight="1" ht="11.25">
      <c r="A468" s="7888" t="s">
        <v>2329</v>
      </c>
      <c r="B468" s="7888" t="s">
        <v>16</v>
      </c>
      <c r="C468" s="7888" t="s">
        <v>2729</v>
      </c>
      <c r="D468" s="7888" t="s">
        <v>2730</v>
      </c>
      <c r="E468" s="7888" t="s">
        <v>2731</v>
      </c>
      <c r="F468" s="7888" t="s">
        <v>2504</v>
      </c>
      <c r="G468" s="7888" t="s">
        <v>2732</v>
      </c>
      <c r="H468" s="7888" t="s">
        <v>28</v>
      </c>
      <c r="I468" s="7888" t="s">
        <v>978</v>
      </c>
    </row>
    <row customHeight="1" ht="11.25">
      <c r="A469" s="7888" t="s">
        <v>2329</v>
      </c>
      <c r="B469" s="7888" t="s">
        <v>16</v>
      </c>
      <c r="C469" s="7888" t="s">
        <v>2733</v>
      </c>
      <c r="D469" s="7888" t="s">
        <v>2734</v>
      </c>
      <c r="E469" s="7888" t="s">
        <v>2735</v>
      </c>
      <c r="F469" s="7888" t="s">
        <v>2504</v>
      </c>
      <c r="G469" s="7888" t="s">
        <v>28</v>
      </c>
      <c r="H469" s="7888" t="s">
        <v>28</v>
      </c>
      <c r="I469" s="7888" t="s">
        <v>978</v>
      </c>
    </row>
    <row customHeight="1" ht="11.25">
      <c r="A470" s="7888" t="s">
        <v>2329</v>
      </c>
      <c r="B470" s="7888" t="s">
        <v>16</v>
      </c>
      <c r="C470" s="7888" t="s">
        <v>2739</v>
      </c>
      <c r="D470" s="7888" t="s">
        <v>2740</v>
      </c>
      <c r="E470" s="7888" t="s">
        <v>2741</v>
      </c>
      <c r="F470" s="7888" t="s">
        <v>2515</v>
      </c>
      <c r="G470" s="7888" t="s">
        <v>2742</v>
      </c>
      <c r="H470" s="7888" t="s">
        <v>28</v>
      </c>
      <c r="I470" s="7888" t="s">
        <v>978</v>
      </c>
    </row>
    <row customHeight="1" ht="11.25">
      <c r="A471" s="7888" t="s">
        <v>2329</v>
      </c>
      <c r="B471" s="7888" t="s">
        <v>16</v>
      </c>
      <c r="C471" s="7888" t="s">
        <v>2952</v>
      </c>
      <c r="D471" s="7888" t="s">
        <v>2953</v>
      </c>
      <c r="E471" s="7888" t="s">
        <v>2954</v>
      </c>
      <c r="F471" s="7888" t="s">
        <v>2390</v>
      </c>
      <c r="G471" s="7888" t="s">
        <v>28</v>
      </c>
      <c r="H471" s="7888" t="s">
        <v>28</v>
      </c>
      <c r="I471" s="7888" t="s">
        <v>978</v>
      </c>
    </row>
    <row customHeight="1" ht="11.25">
      <c r="A472" s="7888" t="s">
        <v>2329</v>
      </c>
      <c r="B472" s="7888" t="s">
        <v>16</v>
      </c>
      <c r="C472" s="7888" t="s">
        <v>3061</v>
      </c>
      <c r="D472" s="7888" t="s">
        <v>3062</v>
      </c>
      <c r="E472" s="7888" t="s">
        <v>3063</v>
      </c>
      <c r="F472" s="7888" t="s">
        <v>2504</v>
      </c>
      <c r="G472" s="7888" t="s">
        <v>28</v>
      </c>
      <c r="H472" s="7888" t="s">
        <v>28</v>
      </c>
      <c r="I472" s="7888" t="s">
        <v>978</v>
      </c>
    </row>
    <row customHeight="1" ht="11.25">
      <c r="A473" s="7888" t="s">
        <v>2329</v>
      </c>
      <c r="B473" s="7888" t="s">
        <v>16</v>
      </c>
      <c r="C473" s="7888" t="s">
        <v>3068</v>
      </c>
      <c r="D473" s="7888" t="s">
        <v>3069</v>
      </c>
      <c r="E473" s="7888" t="s">
        <v>3070</v>
      </c>
      <c r="F473" s="7888" t="s">
        <v>2504</v>
      </c>
      <c r="G473" s="7888" t="s">
        <v>28</v>
      </c>
      <c r="H473" s="7888" t="s">
        <v>28</v>
      </c>
      <c r="I473" s="7888" t="s">
        <v>978</v>
      </c>
    </row>
    <row customHeight="1" ht="11.25">
      <c r="A474" s="7888" t="s">
        <v>2329</v>
      </c>
      <c r="B474" s="7888" t="s">
        <v>16</v>
      </c>
      <c r="C474" s="7888" t="s">
        <v>2746</v>
      </c>
      <c r="D474" s="7888" t="s">
        <v>2747</v>
      </c>
      <c r="E474" s="7888" t="s">
        <v>2748</v>
      </c>
      <c r="F474" s="7888" t="s">
        <v>2679</v>
      </c>
      <c r="G474" s="7888" t="s">
        <v>28</v>
      </c>
      <c r="H474" s="7888" t="s">
        <v>28</v>
      </c>
      <c r="I474" s="7888" t="s">
        <v>978</v>
      </c>
    </row>
    <row customHeight="1" ht="11.25">
      <c r="A475" s="7888" t="s">
        <v>2329</v>
      </c>
      <c r="B475" s="7888" t="s">
        <v>16</v>
      </c>
      <c r="C475" s="7888" t="s">
        <v>2749</v>
      </c>
      <c r="D475" s="7888" t="s">
        <v>2750</v>
      </c>
      <c r="E475" s="7888" t="s">
        <v>2751</v>
      </c>
      <c r="F475" s="7888" t="s">
        <v>2679</v>
      </c>
      <c r="G475" s="7888" t="s">
        <v>28</v>
      </c>
      <c r="H475" s="7888" t="s">
        <v>28</v>
      </c>
      <c r="I475" s="7888" t="s">
        <v>978</v>
      </c>
    </row>
    <row customHeight="1" ht="11.25">
      <c r="A476" s="7888" t="s">
        <v>2329</v>
      </c>
      <c r="B476" s="7888" t="s">
        <v>16</v>
      </c>
      <c r="C476" s="7888" t="s">
        <v>3133</v>
      </c>
      <c r="D476" s="7888" t="s">
        <v>3134</v>
      </c>
      <c r="E476" s="7888" t="s">
        <v>3135</v>
      </c>
      <c r="F476" s="7888" t="s">
        <v>2504</v>
      </c>
      <c r="G476" s="7888" t="s">
        <v>28</v>
      </c>
      <c r="H476" s="7888" t="s">
        <v>28</v>
      </c>
      <c r="I476" s="7888" t="s">
        <v>978</v>
      </c>
    </row>
    <row customHeight="1" ht="11.25">
      <c r="A477" s="7888" t="s">
        <v>2329</v>
      </c>
      <c r="B477" s="7888" t="s">
        <v>16</v>
      </c>
      <c r="C477" s="7888" t="s">
        <v>2759</v>
      </c>
      <c r="D477" s="7888" t="s">
        <v>2760</v>
      </c>
      <c r="E477" s="7888" t="s">
        <v>2761</v>
      </c>
      <c r="F477" s="7888" t="s">
        <v>2424</v>
      </c>
      <c r="G477" s="7888" t="s">
        <v>28</v>
      </c>
      <c r="H477" s="7888" t="s">
        <v>28</v>
      </c>
      <c r="I477" s="7888" t="s">
        <v>978</v>
      </c>
    </row>
    <row customHeight="1" ht="11.25">
      <c r="A478" s="7888" t="s">
        <v>2329</v>
      </c>
      <c r="B478" s="7888" t="s">
        <v>16</v>
      </c>
      <c r="C478" s="7888" t="s">
        <v>3071</v>
      </c>
      <c r="D478" s="7888" t="s">
        <v>3072</v>
      </c>
      <c r="E478" s="7888" t="s">
        <v>3073</v>
      </c>
      <c r="F478" s="7888" t="s">
        <v>2515</v>
      </c>
      <c r="G478" s="7888" t="s">
        <v>3074</v>
      </c>
      <c r="H478" s="7888" t="s">
        <v>28</v>
      </c>
      <c r="I478" s="7888" t="s">
        <v>978</v>
      </c>
    </row>
    <row customHeight="1" ht="11.25">
      <c r="A479" s="7888" t="s">
        <v>2329</v>
      </c>
      <c r="B479" s="7888" t="s">
        <v>16</v>
      </c>
      <c r="C479" s="7888" t="s">
        <v>3075</v>
      </c>
      <c r="D479" s="7888" t="s">
        <v>3076</v>
      </c>
      <c r="E479" s="7888" t="s">
        <v>3077</v>
      </c>
      <c r="F479" s="7888" t="s">
        <v>2458</v>
      </c>
      <c r="G479" s="7888" t="s">
        <v>3078</v>
      </c>
      <c r="H479" s="7888" t="s">
        <v>28</v>
      </c>
      <c r="I479" s="7888" t="s">
        <v>978</v>
      </c>
    </row>
    <row customHeight="1" ht="11.25">
      <c r="A480" s="7888" t="s">
        <v>2329</v>
      </c>
      <c r="B480" s="7888" t="s">
        <v>16</v>
      </c>
      <c r="C480" s="7888" t="s">
        <v>3136</v>
      </c>
      <c r="D480" s="7888" t="s">
        <v>3137</v>
      </c>
      <c r="E480" s="7888" t="s">
        <v>3138</v>
      </c>
      <c r="F480" s="7888" t="s">
        <v>2445</v>
      </c>
      <c r="G480" s="7888" t="s">
        <v>28</v>
      </c>
      <c r="H480" s="7888" t="s">
        <v>28</v>
      </c>
      <c r="I480" s="7888" t="s">
        <v>978</v>
      </c>
    </row>
    <row customHeight="1" ht="11.25">
      <c r="A481" s="7888" t="s">
        <v>2329</v>
      </c>
      <c r="B481" s="7888" t="s">
        <v>16</v>
      </c>
      <c r="C481" s="7888" t="s">
        <v>2776</v>
      </c>
      <c r="D481" s="7888" t="s">
        <v>2777</v>
      </c>
      <c r="E481" s="7888" t="s">
        <v>2778</v>
      </c>
      <c r="F481" s="7888" t="s">
        <v>2496</v>
      </c>
      <c r="G481" s="7888" t="s">
        <v>2779</v>
      </c>
      <c r="H481" s="7888" t="s">
        <v>2780</v>
      </c>
      <c r="I481" s="7888" t="s">
        <v>978</v>
      </c>
    </row>
    <row customHeight="1" ht="11.25">
      <c r="A482" s="7888" t="s">
        <v>2329</v>
      </c>
      <c r="B482" s="7888" t="s">
        <v>16</v>
      </c>
      <c r="C482" s="7888" t="s">
        <v>2806</v>
      </c>
      <c r="D482" s="7888" t="s">
        <v>2807</v>
      </c>
      <c r="E482" s="7888" t="s">
        <v>2808</v>
      </c>
      <c r="F482" s="7888" t="s">
        <v>2504</v>
      </c>
      <c r="G482" s="7888" t="s">
        <v>28</v>
      </c>
      <c r="H482" s="7888" t="s">
        <v>28</v>
      </c>
      <c r="I482" s="7888" t="s">
        <v>978</v>
      </c>
    </row>
    <row customHeight="1" ht="11.25">
      <c r="A483" s="7888" t="s">
        <v>2329</v>
      </c>
      <c r="B483" s="7888" t="s">
        <v>16</v>
      </c>
      <c r="C483" s="7888" t="s">
        <v>2809</v>
      </c>
      <c r="D483" s="7888" t="s">
        <v>2810</v>
      </c>
      <c r="E483" s="7888" t="s">
        <v>2811</v>
      </c>
      <c r="F483" s="7888" t="s">
        <v>2445</v>
      </c>
      <c r="G483" s="7888" t="s">
        <v>28</v>
      </c>
      <c r="H483" s="7888" t="s">
        <v>28</v>
      </c>
      <c r="I483" s="7888" t="s">
        <v>978</v>
      </c>
    </row>
    <row customHeight="1" ht="11.25">
      <c r="A484" s="7888" t="s">
        <v>2329</v>
      </c>
      <c r="B484" s="7888" t="s">
        <v>16</v>
      </c>
      <c r="C484" s="7888" t="s">
        <v>2815</v>
      </c>
      <c r="D484" s="7888" t="s">
        <v>2816</v>
      </c>
      <c r="E484" s="7888" t="s">
        <v>2817</v>
      </c>
      <c r="F484" s="7888" t="s">
        <v>2463</v>
      </c>
      <c r="G484" s="7888" t="s">
        <v>2818</v>
      </c>
      <c r="H484" s="7888" t="s">
        <v>28</v>
      </c>
      <c r="I484" s="7888" t="s">
        <v>978</v>
      </c>
    </row>
    <row customHeight="1" ht="11.25">
      <c r="A485" s="7888" t="s">
        <v>2329</v>
      </c>
      <c r="B485" s="7888" t="s">
        <v>16</v>
      </c>
      <c r="C485" s="7888" t="s">
        <v>3082</v>
      </c>
      <c r="D485" s="7888" t="s">
        <v>3083</v>
      </c>
      <c r="E485" s="7888" t="s">
        <v>3084</v>
      </c>
      <c r="F485" s="7888" t="s">
        <v>2679</v>
      </c>
      <c r="G485" s="7888" t="s">
        <v>28</v>
      </c>
      <c r="H485" s="7888" t="s">
        <v>28</v>
      </c>
      <c r="I485" s="7888" t="s">
        <v>978</v>
      </c>
    </row>
    <row customHeight="1" ht="11.25">
      <c r="A486" s="7888" t="s">
        <v>2329</v>
      </c>
      <c r="B486" s="7888" t="s">
        <v>16</v>
      </c>
      <c r="C486" s="7888" t="s">
        <v>3085</v>
      </c>
      <c r="D486" s="7888" t="s">
        <v>3086</v>
      </c>
      <c r="E486" s="7888" t="s">
        <v>3087</v>
      </c>
      <c r="F486" s="7888" t="s">
        <v>2478</v>
      </c>
      <c r="G486" s="7888" t="s">
        <v>3088</v>
      </c>
      <c r="H486" s="7888" t="s">
        <v>28</v>
      </c>
      <c r="I486" s="7888" t="s">
        <v>978</v>
      </c>
    </row>
    <row customHeight="1" ht="11.25">
      <c r="A487" s="7888" t="s">
        <v>2329</v>
      </c>
      <c r="B487" s="7888" t="s">
        <v>16</v>
      </c>
      <c r="C487" s="7888" t="s">
        <v>2854</v>
      </c>
      <c r="D487" s="7888" t="s">
        <v>2855</v>
      </c>
      <c r="E487" s="7888" t="s">
        <v>2856</v>
      </c>
      <c r="F487" s="7888" t="s">
        <v>2478</v>
      </c>
      <c r="G487" s="7888" t="s">
        <v>28</v>
      </c>
      <c r="H487" s="7888" t="s">
        <v>28</v>
      </c>
      <c r="I487" s="7888" t="s">
        <v>978</v>
      </c>
    </row>
    <row customHeight="1" ht="11.25">
      <c r="A488" s="7888" t="s">
        <v>2329</v>
      </c>
      <c r="B488" s="7888" t="s">
        <v>16</v>
      </c>
      <c r="C488" s="7888" t="s">
        <v>2860</v>
      </c>
      <c r="D488" s="7888" t="s">
        <v>2861</v>
      </c>
      <c r="E488" s="7888" t="s">
        <v>2862</v>
      </c>
      <c r="F488" s="7888" t="s">
        <v>2504</v>
      </c>
      <c r="G488" s="7888" t="s">
        <v>2863</v>
      </c>
      <c r="H488" s="7888" t="s">
        <v>28</v>
      </c>
      <c r="I488" s="7888" t="s">
        <v>978</v>
      </c>
    </row>
    <row customHeight="1" ht="11.25">
      <c r="A489" s="7888" t="s">
        <v>2329</v>
      </c>
      <c r="B489" s="7888" t="s">
        <v>16</v>
      </c>
      <c r="C489" s="7888" t="s">
        <v>2864</v>
      </c>
      <c r="D489" s="7888" t="s">
        <v>2865</v>
      </c>
      <c r="E489" s="7888" t="s">
        <v>2866</v>
      </c>
      <c r="F489" s="7888" t="s">
        <v>54</v>
      </c>
      <c r="G489" s="7888" t="s">
        <v>28</v>
      </c>
      <c r="H489" s="7888" t="s">
        <v>28</v>
      </c>
      <c r="I489" s="7888" t="s">
        <v>978</v>
      </c>
    </row>
    <row customHeight="1" ht="11.25">
      <c r="A490" s="7888" t="s">
        <v>2329</v>
      </c>
      <c r="B490" s="7888" t="s">
        <v>16</v>
      </c>
      <c r="C490" s="7888" t="s">
        <v>2867</v>
      </c>
      <c r="D490" s="7888" t="s">
        <v>2868</v>
      </c>
      <c r="E490" s="7888" t="s">
        <v>2869</v>
      </c>
      <c r="F490" s="7888" t="s">
        <v>2524</v>
      </c>
      <c r="G490" s="7888" t="s">
        <v>2870</v>
      </c>
      <c r="H490" s="7888" t="s">
        <v>28</v>
      </c>
      <c r="I490" s="7888" t="s">
        <v>978</v>
      </c>
    </row>
    <row customHeight="1" ht="11.25">
      <c r="A491" s="7888" t="s">
        <v>2329</v>
      </c>
      <c r="B491" s="7888" t="s">
        <v>16</v>
      </c>
      <c r="C491" s="7888" t="s">
        <v>3139</v>
      </c>
      <c r="D491" s="7888" t="s">
        <v>3140</v>
      </c>
      <c r="E491" s="7888" t="s">
        <v>3141</v>
      </c>
      <c r="F491" s="7888" t="s">
        <v>2707</v>
      </c>
      <c r="G491" s="7888" t="s">
        <v>28</v>
      </c>
      <c r="H491" s="7888" t="s">
        <v>28</v>
      </c>
      <c r="I491" s="7888" t="s">
        <v>978</v>
      </c>
    </row>
    <row customHeight="1" ht="11.25">
      <c r="A492" s="7888" t="s">
        <v>2329</v>
      </c>
      <c r="B492" s="7888" t="s">
        <v>16</v>
      </c>
      <c r="C492" s="7888" t="s">
        <v>2878</v>
      </c>
      <c r="D492" s="7888" t="s">
        <v>2879</v>
      </c>
      <c r="E492" s="7888" t="s">
        <v>2880</v>
      </c>
      <c r="F492" s="7888" t="s">
        <v>2707</v>
      </c>
      <c r="G492" s="7888" t="s">
        <v>28</v>
      </c>
      <c r="H492" s="7888" t="s">
        <v>28</v>
      </c>
      <c r="I492" s="7888" t="s">
        <v>978</v>
      </c>
    </row>
    <row customHeight="1" ht="11.25">
      <c r="A493" s="7888" t="s">
        <v>2329</v>
      </c>
      <c r="B493" s="7888" t="s">
        <v>16</v>
      </c>
      <c r="C493" s="7888" t="s">
        <v>2881</v>
      </c>
      <c r="D493" s="7888" t="s">
        <v>2882</v>
      </c>
      <c r="E493" s="7888" t="s">
        <v>2883</v>
      </c>
      <c r="F493" s="7888" t="s">
        <v>2454</v>
      </c>
      <c r="G493" s="7888" t="s">
        <v>28</v>
      </c>
      <c r="H493" s="7888" t="s">
        <v>28</v>
      </c>
      <c r="I493" s="7888" t="s">
        <v>978</v>
      </c>
    </row>
    <row customHeight="1" ht="11.25">
      <c r="A494" s="7888" t="s">
        <v>2329</v>
      </c>
      <c r="B494" s="7888" t="s">
        <v>16</v>
      </c>
      <c r="C494" s="7888" t="s">
        <v>3089</v>
      </c>
      <c r="D494" s="7888" t="s">
        <v>3090</v>
      </c>
      <c r="E494" s="7888" t="s">
        <v>3091</v>
      </c>
      <c r="F494" s="7888" t="s">
        <v>2478</v>
      </c>
      <c r="G494" s="7888" t="s">
        <v>3092</v>
      </c>
      <c r="H494" s="7888" t="s">
        <v>28</v>
      </c>
      <c r="I494" s="7888" t="s">
        <v>978</v>
      </c>
    </row>
    <row customHeight="1" ht="11.25">
      <c r="A495" s="7888" t="s">
        <v>2329</v>
      </c>
      <c r="B495" s="7888" t="s">
        <v>16</v>
      </c>
      <c r="C495" s="7888" t="s">
        <v>2891</v>
      </c>
      <c r="D495" s="7888" t="s">
        <v>2892</v>
      </c>
      <c r="E495" s="7888" t="s">
        <v>2893</v>
      </c>
      <c r="F495" s="7888" t="s">
        <v>2707</v>
      </c>
      <c r="G495" s="7888" t="s">
        <v>28</v>
      </c>
      <c r="H495" s="7888" t="s">
        <v>28</v>
      </c>
      <c r="I495" s="7888" t="s">
        <v>978</v>
      </c>
    </row>
    <row customHeight="1" ht="11.25">
      <c r="A496" s="7888" t="s">
        <v>2329</v>
      </c>
      <c r="B496" s="7888" t="s">
        <v>16</v>
      </c>
      <c r="C496" s="7888" t="s">
        <v>3097</v>
      </c>
      <c r="D496" s="7888" t="s">
        <v>3098</v>
      </c>
      <c r="E496" s="7888" t="s">
        <v>3099</v>
      </c>
      <c r="F496" s="7888" t="s">
        <v>2637</v>
      </c>
      <c r="G496" s="7888" t="s">
        <v>3100</v>
      </c>
      <c r="H496" s="7888" t="s">
        <v>28</v>
      </c>
      <c r="I496" s="7888" t="s">
        <v>978</v>
      </c>
    </row>
    <row customHeight="1" ht="11.25">
      <c r="A497" s="7888" t="s">
        <v>2329</v>
      </c>
      <c r="B497" s="7888" t="s">
        <v>16</v>
      </c>
      <c r="C497" s="7888" t="s">
        <v>2905</v>
      </c>
      <c r="D497" s="7888" t="s">
        <v>2906</v>
      </c>
      <c r="E497" s="7888" t="s">
        <v>2907</v>
      </c>
      <c r="F497" s="7888" t="s">
        <v>2496</v>
      </c>
      <c r="G497" s="7888" t="s">
        <v>28</v>
      </c>
      <c r="H497" s="7888" t="s">
        <v>28</v>
      </c>
      <c r="I497" s="7888" t="s">
        <v>978</v>
      </c>
    </row>
    <row customHeight="1" ht="11.25">
      <c r="A498" s="7888" t="s">
        <v>2329</v>
      </c>
      <c r="B498" s="7888" t="s">
        <v>16</v>
      </c>
      <c r="C498" s="7888" t="s">
        <v>3142</v>
      </c>
      <c r="D498" s="7888" t="s">
        <v>3143</v>
      </c>
      <c r="E498" s="7888" t="s">
        <v>3144</v>
      </c>
      <c r="F498" s="7888" t="s">
        <v>2546</v>
      </c>
      <c r="G498" s="7888" t="s">
        <v>28</v>
      </c>
      <c r="H498" s="7888" t="s">
        <v>28</v>
      </c>
      <c r="I498" s="7888" t="s">
        <v>978</v>
      </c>
    </row>
    <row customHeight="1" ht="11.25">
      <c r="A499" s="7888" t="s">
        <v>2329</v>
      </c>
      <c r="B499" s="7888" t="s">
        <v>16</v>
      </c>
      <c r="C499" s="7888" t="s">
        <v>3109</v>
      </c>
      <c r="D499" s="7888" t="s">
        <v>3110</v>
      </c>
      <c r="E499" s="7888" t="s">
        <v>3111</v>
      </c>
      <c r="F499" s="7888" t="s">
        <v>2420</v>
      </c>
      <c r="G499" s="7888" t="s">
        <v>28</v>
      </c>
      <c r="H499" s="7888" t="s">
        <v>28</v>
      </c>
      <c r="I499" s="7888" t="s">
        <v>978</v>
      </c>
    </row>
    <row customHeight="1" ht="11.25">
      <c r="A500" s="7888" t="s">
        <v>2329</v>
      </c>
      <c r="B500" s="7888" t="s">
        <v>16</v>
      </c>
      <c r="C500" s="7888" t="s">
        <v>3145</v>
      </c>
      <c r="D500" s="7888" t="s">
        <v>3146</v>
      </c>
      <c r="E500" s="7888" t="s">
        <v>3147</v>
      </c>
      <c r="F500" s="7888" t="s">
        <v>2679</v>
      </c>
      <c r="G500" s="7888" t="s">
        <v>3148</v>
      </c>
      <c r="H500" s="7888" t="s">
        <v>28</v>
      </c>
      <c r="I500" s="7888" t="s">
        <v>978</v>
      </c>
    </row>
    <row customHeight="1" ht="11.25">
      <c r="A501" s="7888" t="s">
        <v>2329</v>
      </c>
      <c r="B501" s="7888" t="s">
        <v>16</v>
      </c>
      <c r="C501" s="7888" t="s">
        <v>2913</v>
      </c>
      <c r="D501" s="7888" t="s">
        <v>2914</v>
      </c>
      <c r="E501" s="7888" t="s">
        <v>2915</v>
      </c>
      <c r="F501" s="7888" t="s">
        <v>2546</v>
      </c>
      <c r="G501" s="7888" t="s">
        <v>28</v>
      </c>
      <c r="H501" s="7888" t="s">
        <v>28</v>
      </c>
      <c r="I501" s="7888" t="s">
        <v>978</v>
      </c>
    </row>
    <row customHeight="1" ht="11.25">
      <c r="A502" s="7888" t="s">
        <v>2329</v>
      </c>
      <c r="B502" s="7888" t="s">
        <v>16</v>
      </c>
      <c r="C502" s="7888" t="s">
        <v>2919</v>
      </c>
      <c r="D502" s="7888" t="s">
        <v>2920</v>
      </c>
      <c r="E502" s="7888" t="s">
        <v>2921</v>
      </c>
      <c r="F502" s="7888" t="s">
        <v>54</v>
      </c>
      <c r="G502" s="7888" t="s">
        <v>28</v>
      </c>
      <c r="H502" s="7888" t="s">
        <v>28</v>
      </c>
      <c r="I502" s="7888" t="s">
        <v>978</v>
      </c>
    </row>
    <row customHeight="1" ht="11.25">
      <c r="A503" s="7888" t="s">
        <v>2329</v>
      </c>
      <c r="B503" s="7888" t="s">
        <v>16</v>
      </c>
      <c r="C503" s="7888" t="s">
        <v>2922</v>
      </c>
      <c r="D503" s="7888" t="s">
        <v>2923</v>
      </c>
      <c r="E503" s="7888" t="s">
        <v>2924</v>
      </c>
      <c r="F503" s="7888" t="s">
        <v>2394</v>
      </c>
      <c r="G503" s="7888" t="s">
        <v>2925</v>
      </c>
      <c r="H503" s="7888" t="s">
        <v>28</v>
      </c>
      <c r="I503" s="7888" t="s">
        <v>978</v>
      </c>
    </row>
    <row customHeight="1" ht="11.25">
      <c r="A504" s="7888" t="s">
        <v>2329</v>
      </c>
      <c r="B504" s="7888" t="s">
        <v>16</v>
      </c>
      <c r="C504" s="7888" t="s">
        <v>2929</v>
      </c>
      <c r="D504" s="7888" t="s">
        <v>2930</v>
      </c>
      <c r="E504" s="7888" t="s">
        <v>2931</v>
      </c>
      <c r="F504" s="7888" t="s">
        <v>2932</v>
      </c>
      <c r="G504" s="7888" t="s">
        <v>28</v>
      </c>
      <c r="H504" s="7888" t="s">
        <v>28</v>
      </c>
      <c r="I504" s="7888" t="s">
        <v>978</v>
      </c>
    </row>
    <row customHeight="1" ht="11.25">
      <c r="A505" s="7888" t="s">
        <v>2329</v>
      </c>
      <c r="B505" s="7888" t="s">
        <v>16</v>
      </c>
      <c r="C505" s="7888" t="s">
        <v>2940</v>
      </c>
      <c r="D505" s="7888" t="s">
        <v>2941</v>
      </c>
      <c r="E505" s="7888" t="s">
        <v>2942</v>
      </c>
      <c r="F505" s="7888" t="s">
        <v>2943</v>
      </c>
      <c r="G505" s="7888" t="s">
        <v>2944</v>
      </c>
      <c r="H505" s="7888" t="s">
        <v>28</v>
      </c>
      <c r="I505" s="7888" t="s">
        <v>978</v>
      </c>
    </row>
    <row customHeight="1" ht="11.25">
      <c r="A506" s="7888" t="s">
        <v>2329</v>
      </c>
      <c r="B506" s="7888" t="s">
        <v>16</v>
      </c>
      <c r="C506" s="7888" t="s">
        <v>2949</v>
      </c>
      <c r="D506" s="7888" t="s">
        <v>2950</v>
      </c>
      <c r="E506" s="7888" t="s">
        <v>2951</v>
      </c>
      <c r="F506" s="7888" t="s">
        <v>2504</v>
      </c>
      <c r="G506" s="7888" t="s">
        <v>28</v>
      </c>
      <c r="H506" s="7888" t="s">
        <v>28</v>
      </c>
      <c r="I506" s="7888" t="s">
        <v>978</v>
      </c>
    </row>
    <row customHeight="1" ht="11.25">
      <c r="A507" s="7888" t="s">
        <v>2329</v>
      </c>
      <c r="B507" s="7888" t="s">
        <v>16</v>
      </c>
      <c r="C507" s="7888" t="s">
        <v>2383</v>
      </c>
      <c r="D507" s="7888" t="s">
        <v>2384</v>
      </c>
      <c r="E507" s="7888" t="s">
        <v>2385</v>
      </c>
      <c r="F507" s="7888" t="s">
        <v>2381</v>
      </c>
      <c r="G507" s="7888" t="s">
        <v>2386</v>
      </c>
      <c r="H507" s="7888" t="s">
        <v>28</v>
      </c>
      <c r="I507" s="7888" t="s">
        <v>1700</v>
      </c>
    </row>
    <row customHeight="1" ht="11.25">
      <c r="A508" s="7888" t="s">
        <v>2329</v>
      </c>
      <c r="B508" s="7888" t="s">
        <v>16</v>
      </c>
      <c r="C508" s="7888" t="s">
        <v>28</v>
      </c>
      <c r="D508" s="7888" t="s">
        <v>2440</v>
      </c>
      <c r="E508" s="7888" t="s">
        <v>2441</v>
      </c>
      <c r="F508" s="7888" t="s">
        <v>54</v>
      </c>
      <c r="G508" s="7888" t="s">
        <v>28</v>
      </c>
      <c r="H508" s="7888" t="s">
        <v>28</v>
      </c>
      <c r="I508" s="7888" t="s">
        <v>1700</v>
      </c>
    </row>
    <row customHeight="1" ht="11.25">
      <c r="A509" s="7888" t="s">
        <v>2329</v>
      </c>
      <c r="B509" s="7888" t="s">
        <v>16</v>
      </c>
      <c r="C509" s="7888" t="s">
        <v>3149</v>
      </c>
      <c r="D509" s="7888" t="s">
        <v>3150</v>
      </c>
      <c r="E509" s="7888" t="s">
        <v>3151</v>
      </c>
      <c r="F509" s="7888" t="s">
        <v>2546</v>
      </c>
      <c r="G509" s="7888" t="s">
        <v>28</v>
      </c>
      <c r="H509" s="7888" t="s">
        <v>28</v>
      </c>
      <c r="I509" s="7888" t="s">
        <v>1700</v>
      </c>
    </row>
    <row customHeight="1" ht="11.25">
      <c r="A510" s="7888" t="s">
        <v>2329</v>
      </c>
      <c r="B510" s="7888" t="s">
        <v>16</v>
      </c>
      <c r="C510" s="7888" t="s">
        <v>3152</v>
      </c>
      <c r="D510" s="7888" t="s">
        <v>3153</v>
      </c>
      <c r="E510" s="7888" t="s">
        <v>3154</v>
      </c>
      <c r="F510" s="7888" t="s">
        <v>2679</v>
      </c>
      <c r="G510" s="7888" t="s">
        <v>3155</v>
      </c>
      <c r="H510" s="7888" t="s">
        <v>28</v>
      </c>
      <c r="I510" s="7888" t="s">
        <v>1700</v>
      </c>
    </row>
    <row customHeight="1" ht="11.25">
      <c r="A511" s="7888" t="s">
        <v>2329</v>
      </c>
      <c r="B511" s="7888" t="s">
        <v>16</v>
      </c>
      <c r="C511" s="7888" t="s">
        <v>3156</v>
      </c>
      <c r="D511" s="7888" t="s">
        <v>3157</v>
      </c>
      <c r="E511" s="7888" t="s">
        <v>3158</v>
      </c>
      <c r="F511" s="7888" t="s">
        <v>2381</v>
      </c>
      <c r="G511" s="7888" t="s">
        <v>3159</v>
      </c>
      <c r="H511" s="7888" t="s">
        <v>28</v>
      </c>
      <c r="I511" s="7888" t="s">
        <v>1700</v>
      </c>
    </row>
    <row customHeight="1" ht="11.25">
      <c r="A512" s="7888" t="s">
        <v>2329</v>
      </c>
      <c r="B512" s="7888" t="s">
        <v>16</v>
      </c>
      <c r="C512" s="7888" t="s">
        <v>3160</v>
      </c>
      <c r="D512" s="7888" t="s">
        <v>3161</v>
      </c>
      <c r="E512" s="7888" t="s">
        <v>3162</v>
      </c>
      <c r="F512" s="7888" t="s">
        <v>54</v>
      </c>
      <c r="G512" s="7888" t="s">
        <v>28</v>
      </c>
      <c r="H512" s="7888" t="s">
        <v>28</v>
      </c>
      <c r="I512" s="7888" t="s">
        <v>1700</v>
      </c>
    </row>
    <row customHeight="1" ht="11.25">
      <c r="A513" s="7888" t="s">
        <v>2329</v>
      </c>
      <c r="B513" s="7888" t="s">
        <v>16</v>
      </c>
      <c r="C513" s="7888" t="s">
        <v>3163</v>
      </c>
      <c r="D513" s="7888" t="s">
        <v>3164</v>
      </c>
      <c r="E513" s="7888" t="s">
        <v>3165</v>
      </c>
      <c r="F513" s="7888" t="s">
        <v>2504</v>
      </c>
      <c r="G513" s="7888" t="s">
        <v>28</v>
      </c>
      <c r="H513" s="7888" t="s">
        <v>28</v>
      </c>
      <c r="I513" s="7888" t="s">
        <v>1700</v>
      </c>
    </row>
    <row customHeight="1" ht="11.25">
      <c r="A514" s="7888" t="s">
        <v>2329</v>
      </c>
      <c r="B514" s="7888" t="s">
        <v>16</v>
      </c>
      <c r="C514" s="7888" t="s">
        <v>3166</v>
      </c>
      <c r="D514" s="7888" t="s">
        <v>3167</v>
      </c>
      <c r="E514" s="7888" t="s">
        <v>3168</v>
      </c>
      <c r="F514" s="7888" t="s">
        <v>2381</v>
      </c>
      <c r="G514" s="7888" t="s">
        <v>28</v>
      </c>
      <c r="H514" s="7888" t="s">
        <v>28</v>
      </c>
      <c r="I514" s="7888" t="s">
        <v>1700</v>
      </c>
    </row>
    <row customHeight="1" ht="11.25">
      <c r="A515" s="7888" t="s">
        <v>2329</v>
      </c>
      <c r="B515" s="7888" t="s">
        <v>16</v>
      </c>
      <c r="C515" s="7888" t="s">
        <v>3169</v>
      </c>
      <c r="D515" s="7888" t="s">
        <v>3170</v>
      </c>
      <c r="E515" s="7888" t="s">
        <v>3171</v>
      </c>
      <c r="F515" s="7888" t="s">
        <v>2381</v>
      </c>
      <c r="G515" s="7888" t="s">
        <v>28</v>
      </c>
      <c r="H515" s="7888" t="s">
        <v>28</v>
      </c>
      <c r="I515" s="7888" t="s">
        <v>1700</v>
      </c>
    </row>
    <row customHeight="1" ht="11.25">
      <c r="A516" s="7888" t="s">
        <v>2329</v>
      </c>
      <c r="B516" s="7888" t="s">
        <v>16</v>
      </c>
      <c r="C516" s="7888" t="s">
        <v>3172</v>
      </c>
      <c r="D516" s="7888" t="s">
        <v>3173</v>
      </c>
      <c r="E516" s="7888" t="s">
        <v>3174</v>
      </c>
      <c r="F516" s="7888" t="s">
        <v>2463</v>
      </c>
      <c r="G516" s="7888" t="s">
        <v>3175</v>
      </c>
      <c r="H516" s="7888" t="s">
        <v>28</v>
      </c>
      <c r="I516" s="7888" t="s">
        <v>1700</v>
      </c>
    </row>
    <row customHeight="1" ht="11.25">
      <c r="A517" s="7888" t="s">
        <v>2329</v>
      </c>
      <c r="B517" s="7888" t="s">
        <v>16</v>
      </c>
      <c r="C517" s="7888" t="s">
        <v>3176</v>
      </c>
      <c r="D517" s="7888" t="s">
        <v>3177</v>
      </c>
      <c r="E517" s="7888" t="s">
        <v>3178</v>
      </c>
      <c r="F517" s="7888" t="s">
        <v>2445</v>
      </c>
      <c r="G517" s="7888" t="s">
        <v>28</v>
      </c>
      <c r="H517" s="7888" t="s">
        <v>28</v>
      </c>
      <c r="I517" s="7888" t="s">
        <v>1700</v>
      </c>
    </row>
    <row customHeight="1" ht="11.25">
      <c r="A518" s="7888" t="s">
        <v>2329</v>
      </c>
      <c r="B518" s="7888" t="s">
        <v>16</v>
      </c>
      <c r="C518" s="7888" t="s">
        <v>3179</v>
      </c>
      <c r="D518" s="7888" t="s">
        <v>3180</v>
      </c>
      <c r="E518" s="7888" t="s">
        <v>3181</v>
      </c>
      <c r="F518" s="7888" t="s">
        <v>2637</v>
      </c>
      <c r="G518" s="7888" t="s">
        <v>3182</v>
      </c>
      <c r="H518" s="7888" t="s">
        <v>28</v>
      </c>
      <c r="I518" s="7888" t="s">
        <v>1700</v>
      </c>
    </row>
    <row customHeight="1" ht="11.25">
      <c r="A519" s="7888" t="s">
        <v>2329</v>
      </c>
      <c r="B519" s="7888" t="s">
        <v>16</v>
      </c>
      <c r="C519" s="7888" t="s">
        <v>2832</v>
      </c>
      <c r="D519" s="7888" t="s">
        <v>2833</v>
      </c>
      <c r="E519" s="7888" t="s">
        <v>2834</v>
      </c>
      <c r="F519" s="7888" t="s">
        <v>2381</v>
      </c>
      <c r="G519" s="7888" t="s">
        <v>2835</v>
      </c>
      <c r="H519" s="7888" t="s">
        <v>28</v>
      </c>
      <c r="I519" s="7888" t="s">
        <v>1700</v>
      </c>
    </row>
    <row customHeight="1" ht="11.25">
      <c r="A520" s="7888" t="s">
        <v>2329</v>
      </c>
      <c r="B520" s="7888" t="s">
        <v>16</v>
      </c>
      <c r="C520" s="7888" t="s">
        <v>3183</v>
      </c>
      <c r="D520" s="7888" t="s">
        <v>3184</v>
      </c>
      <c r="E520" s="7888" t="s">
        <v>3185</v>
      </c>
      <c r="F520" s="7888" t="s">
        <v>2390</v>
      </c>
      <c r="G520" s="7888" t="s">
        <v>28</v>
      </c>
      <c r="H520" s="7888" t="s">
        <v>28</v>
      </c>
      <c r="I520" s="7888" t="s">
        <v>1700</v>
      </c>
    </row>
    <row customHeight="1" ht="11.25">
      <c r="A521" s="7888" t="s">
        <v>2329</v>
      </c>
      <c r="B521" s="7888" t="s">
        <v>16</v>
      </c>
      <c r="C521" s="7888" t="s">
        <v>3186</v>
      </c>
      <c r="D521" s="7888" t="s">
        <v>3187</v>
      </c>
      <c r="E521" s="7888" t="s">
        <v>3188</v>
      </c>
      <c r="F521" s="7888" t="s">
        <v>2637</v>
      </c>
      <c r="G521" s="7888" t="s">
        <v>3189</v>
      </c>
      <c r="H521" s="7888" t="s">
        <v>28</v>
      </c>
      <c r="I521" s="7888" t="s">
        <v>1700</v>
      </c>
    </row>
    <row customHeight="1" ht="11.25">
      <c r="A522" s="7888" t="s">
        <v>2329</v>
      </c>
      <c r="B522" s="7888" t="s">
        <v>16</v>
      </c>
      <c r="C522" s="7888" t="s">
        <v>3190</v>
      </c>
      <c r="D522" s="7888" t="s">
        <v>3191</v>
      </c>
      <c r="E522" s="7888" t="s">
        <v>3192</v>
      </c>
      <c r="F522" s="7888" t="s">
        <v>54</v>
      </c>
      <c r="G522" s="7888" t="s">
        <v>3193</v>
      </c>
      <c r="H522" s="7888" t="s">
        <v>28</v>
      </c>
      <c r="I522" s="7888" t="s">
        <v>1700</v>
      </c>
    </row>
    <row customHeight="1" ht="11.25">
      <c r="A523" s="7888" t="s">
        <v>2329</v>
      </c>
      <c r="B523" s="7888" t="s">
        <v>16</v>
      </c>
      <c r="C523" s="7888" t="s">
        <v>3194</v>
      </c>
      <c r="D523" s="7888" t="s">
        <v>3195</v>
      </c>
      <c r="E523" s="7888" t="s">
        <v>3196</v>
      </c>
      <c r="F523" s="7888" t="s">
        <v>2637</v>
      </c>
      <c r="G523" s="7888" t="s">
        <v>3197</v>
      </c>
      <c r="H523" s="7888" t="s">
        <v>28</v>
      </c>
      <c r="I523" s="7888" t="s">
        <v>1700</v>
      </c>
    </row>
    <row customHeight="1" ht="11.25">
      <c r="A524" s="7888" t="s">
        <v>2329</v>
      </c>
      <c r="B524" s="7888" t="s">
        <v>16</v>
      </c>
      <c r="C524" s="7888" t="s">
        <v>3198</v>
      </c>
      <c r="D524" s="7888" t="s">
        <v>3199</v>
      </c>
      <c r="E524" s="7888" t="s">
        <v>3200</v>
      </c>
      <c r="F524" s="7888" t="s">
        <v>2390</v>
      </c>
      <c r="G524" s="7888" t="s">
        <v>28</v>
      </c>
      <c r="H524" s="7888" t="s">
        <v>28</v>
      </c>
      <c r="I524" s="7888" t="s">
        <v>1700</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D881ED-7256-B902-B834-C8745567F377}" mc:Ignorable="x14ac xr xr2 xr3">
  <sheetPr>
    <tabColor rgb="FFFFCC99"/>
  </sheetPr>
  <dimension ref="A1:G240"/>
  <sheetViews>
    <sheetView topLeftCell="A1" showGridLines="0" workbookViewId="0">
      <selection activeCell="A1" sqref="A1"/>
    </sheetView>
  </sheetViews>
  <sheetFormatPr customHeight="1" defaultRowHeight="11.25"/>
  <cols>
    <col min="1" max="1" style="30681" width="9.140625"/>
  </cols>
  <sheetData>
    <row customHeight="1" ht="11.25">
      <c r="A1" s="657" t="s">
        <v>3201</v>
      </c>
      <c r="B1" s="346" t="s">
        <v>3202</v>
      </c>
      <c r="C1" s="346" t="s">
        <v>3203</v>
      </c>
      <c r="D1" s="346" t="s">
        <v>3204</v>
      </c>
      <c r="E1" s="233" t="s">
        <v>3205</v>
      </c>
      <c r="F1" s="233" t="s">
        <v>3206</v>
      </c>
      <c r="G1" s="233" t="s">
        <v>3207</v>
      </c>
    </row>
    <row customHeight="1" ht="11.25">
      <c r="A2" s="657" t="s">
        <v>16</v>
      </c>
      <c r="B2" s="0" t="s">
        <v>116</v>
      </c>
      <c r="C2" s="0" t="s">
        <v>3208</v>
      </c>
      <c r="D2" s="0" t="s">
        <v>116</v>
      </c>
      <c r="E2" s="0" t="s">
        <v>3208</v>
      </c>
      <c r="F2" s="0" t="s">
        <v>3209</v>
      </c>
      <c r="G2" s="0" t="s">
        <v>141</v>
      </c>
    </row>
    <row customHeight="1" ht="11.25">
      <c r="A3" s="657" t="s">
        <v>16</v>
      </c>
      <c r="B3" s="0" t="s">
        <v>116</v>
      </c>
      <c r="C3" s="0" t="s">
        <v>3208</v>
      </c>
      <c r="D3" s="0" t="s">
        <v>3210</v>
      </c>
      <c r="E3" s="0" t="s">
        <v>3211</v>
      </c>
      <c r="F3" s="0" t="s">
        <v>3212</v>
      </c>
      <c r="G3" s="0" t="s">
        <v>105</v>
      </c>
    </row>
    <row customHeight="1" ht="11.25">
      <c r="A4" s="657" t="s">
        <v>16</v>
      </c>
      <c r="B4" s="0" t="s">
        <v>116</v>
      </c>
      <c r="C4" s="0" t="s">
        <v>3208</v>
      </c>
      <c r="D4" s="0" t="s">
        <v>3213</v>
      </c>
      <c r="E4" s="0" t="s">
        <v>3214</v>
      </c>
      <c r="F4" s="0" t="s">
        <v>3212</v>
      </c>
      <c r="G4" s="0" t="s">
        <v>93</v>
      </c>
    </row>
    <row customHeight="1" ht="11.25">
      <c r="A5" s="657" t="s">
        <v>16</v>
      </c>
      <c r="B5" s="0" t="s">
        <v>116</v>
      </c>
      <c r="C5" s="0" t="s">
        <v>3208</v>
      </c>
      <c r="D5" s="0" t="s">
        <v>117</v>
      </c>
      <c r="E5" s="0" t="s">
        <v>118</v>
      </c>
      <c r="F5" s="0" t="s">
        <v>3215</v>
      </c>
      <c r="G5" s="0" t="s">
        <v>94</v>
      </c>
    </row>
    <row customHeight="1" ht="11.25">
      <c r="A6" s="657" t="s">
        <v>16</v>
      </c>
      <c r="B6" s="0" t="s">
        <v>116</v>
      </c>
      <c r="C6" s="0" t="s">
        <v>3208</v>
      </c>
      <c r="D6" s="0" t="s">
        <v>3216</v>
      </c>
      <c r="E6" s="0" t="s">
        <v>3217</v>
      </c>
      <c r="F6" s="0" t="s">
        <v>3212</v>
      </c>
      <c r="G6" s="0" t="s">
        <v>124</v>
      </c>
    </row>
    <row customHeight="1" ht="11.25">
      <c r="A7" s="657" t="s">
        <v>16</v>
      </c>
      <c r="B7" s="0" t="s">
        <v>116</v>
      </c>
      <c r="C7" s="0" t="s">
        <v>3208</v>
      </c>
      <c r="D7" s="0" t="s">
        <v>3218</v>
      </c>
      <c r="E7" s="0" t="s">
        <v>3219</v>
      </c>
      <c r="F7" s="0" t="s">
        <v>3212</v>
      </c>
      <c r="G7" s="0" t="s">
        <v>95</v>
      </c>
    </row>
    <row customHeight="1" ht="11.25">
      <c r="A8" s="657" t="s">
        <v>16</v>
      </c>
      <c r="B8" s="0" t="s">
        <v>116</v>
      </c>
      <c r="C8" s="0" t="s">
        <v>3208</v>
      </c>
      <c r="D8" s="0" t="s">
        <v>3220</v>
      </c>
      <c r="E8" s="0" t="s">
        <v>3221</v>
      </c>
      <c r="F8" s="0" t="s">
        <v>3212</v>
      </c>
      <c r="G8" s="0" t="s">
        <v>96</v>
      </c>
    </row>
    <row customHeight="1" ht="11.25">
      <c r="A9" s="657" t="s">
        <v>16</v>
      </c>
      <c r="B9" s="0" t="s">
        <v>116</v>
      </c>
      <c r="C9" s="0" t="s">
        <v>3208</v>
      </c>
      <c r="D9" s="0" t="s">
        <v>3222</v>
      </c>
      <c r="E9" s="0" t="s">
        <v>3223</v>
      </c>
      <c r="F9" s="0" t="s">
        <v>3212</v>
      </c>
      <c r="G9" s="0" t="s">
        <v>142</v>
      </c>
    </row>
    <row customHeight="1" ht="11.25">
      <c r="A10" s="657" t="s">
        <v>16</v>
      </c>
      <c r="B10" s="0" t="s">
        <v>116</v>
      </c>
      <c r="C10" s="0" t="s">
        <v>3208</v>
      </c>
      <c r="D10" s="0" t="s">
        <v>3224</v>
      </c>
      <c r="E10" s="0" t="s">
        <v>3225</v>
      </c>
      <c r="F10" s="0" t="s">
        <v>3212</v>
      </c>
      <c r="G10" s="0" t="s">
        <v>178</v>
      </c>
    </row>
    <row customHeight="1" ht="11.25">
      <c r="A11" s="657" t="s">
        <v>16</v>
      </c>
      <c r="B11" s="0" t="s">
        <v>116</v>
      </c>
      <c r="C11" s="0" t="s">
        <v>3208</v>
      </c>
      <c r="D11" s="0" t="s">
        <v>3226</v>
      </c>
      <c r="E11" s="0" t="s">
        <v>3227</v>
      </c>
      <c r="F11" s="0" t="s">
        <v>3228</v>
      </c>
      <c r="G11" s="0" t="s">
        <v>179</v>
      </c>
    </row>
    <row customHeight="1" ht="11.25">
      <c r="A12" s="657" t="s">
        <v>16</v>
      </c>
      <c r="B12" s="0" t="s">
        <v>116</v>
      </c>
      <c r="C12" s="0" t="s">
        <v>3208</v>
      </c>
      <c r="D12" s="0" t="s">
        <v>3229</v>
      </c>
      <c r="E12" s="0" t="s">
        <v>3230</v>
      </c>
      <c r="F12" s="0" t="s">
        <v>3212</v>
      </c>
      <c r="G12" s="0" t="s">
        <v>180</v>
      </c>
    </row>
    <row customHeight="1" ht="11.25">
      <c r="A13" s="657" t="s">
        <v>16</v>
      </c>
      <c r="B13" s="0" t="s">
        <v>3231</v>
      </c>
      <c r="C13" s="0" t="s">
        <v>3232</v>
      </c>
      <c r="D13" s="0" t="s">
        <v>3233</v>
      </c>
      <c r="E13" s="0" t="s">
        <v>3234</v>
      </c>
      <c r="F13" s="0" t="s">
        <v>3212</v>
      </c>
      <c r="G13" s="0" t="s">
        <v>181</v>
      </c>
    </row>
    <row customHeight="1" ht="11.25">
      <c r="A14" s="657" t="s">
        <v>16</v>
      </c>
      <c r="B14" s="0" t="s">
        <v>3231</v>
      </c>
      <c r="C14" s="0" t="s">
        <v>3232</v>
      </c>
      <c r="D14" s="0" t="s">
        <v>3231</v>
      </c>
      <c r="E14" s="0" t="s">
        <v>3232</v>
      </c>
      <c r="F14" s="0" t="s">
        <v>3209</v>
      </c>
      <c r="G14" s="0" t="s">
        <v>182</v>
      </c>
    </row>
    <row customHeight="1" ht="11.25">
      <c r="A15" s="657" t="s">
        <v>16</v>
      </c>
      <c r="B15" s="0" t="s">
        <v>3231</v>
      </c>
      <c r="C15" s="0" t="s">
        <v>3232</v>
      </c>
      <c r="D15" s="0" t="s">
        <v>3235</v>
      </c>
      <c r="E15" s="0" t="s">
        <v>3236</v>
      </c>
      <c r="F15" s="0" t="s">
        <v>3212</v>
      </c>
      <c r="G15" s="0" t="s">
        <v>183</v>
      </c>
    </row>
    <row customHeight="1" ht="11.25">
      <c r="A16" s="657" t="s">
        <v>16</v>
      </c>
      <c r="B16" s="0" t="s">
        <v>3231</v>
      </c>
      <c r="C16" s="0" t="s">
        <v>3232</v>
      </c>
      <c r="D16" s="0" t="s">
        <v>3237</v>
      </c>
      <c r="E16" s="0" t="s">
        <v>3238</v>
      </c>
      <c r="F16" s="0" t="s">
        <v>3239</v>
      </c>
      <c r="G16" s="0" t="s">
        <v>1544</v>
      </c>
    </row>
    <row customHeight="1" ht="11.25">
      <c r="A17" s="657" t="s">
        <v>16</v>
      </c>
      <c r="B17" s="0" t="s">
        <v>3231</v>
      </c>
      <c r="C17" s="0" t="s">
        <v>3232</v>
      </c>
      <c r="D17" s="0" t="s">
        <v>3240</v>
      </c>
      <c r="E17" s="0" t="s">
        <v>3241</v>
      </c>
      <c r="F17" s="0" t="s">
        <v>3212</v>
      </c>
      <c r="G17" s="0" t="s">
        <v>1550</v>
      </c>
    </row>
    <row customHeight="1" ht="11.25">
      <c r="A18" s="657" t="s">
        <v>16</v>
      </c>
      <c r="B18" s="0" t="s">
        <v>3231</v>
      </c>
      <c r="C18" s="0" t="s">
        <v>3232</v>
      </c>
      <c r="D18" s="0" t="s">
        <v>3242</v>
      </c>
      <c r="E18" s="0" t="s">
        <v>3243</v>
      </c>
      <c r="F18" s="0" t="s">
        <v>3212</v>
      </c>
      <c r="G18" s="0" t="s">
        <v>1562</v>
      </c>
    </row>
    <row customHeight="1" ht="11.25">
      <c r="A19" s="657" t="s">
        <v>16</v>
      </c>
      <c r="B19" s="0" t="s">
        <v>3244</v>
      </c>
      <c r="C19" s="0" t="s">
        <v>3245</v>
      </c>
      <c r="D19" s="0" t="s">
        <v>3244</v>
      </c>
      <c r="E19" s="0" t="s">
        <v>3245</v>
      </c>
      <c r="F19" s="0" t="s">
        <v>3209</v>
      </c>
      <c r="G19" s="0" t="s">
        <v>1576</v>
      </c>
    </row>
    <row customHeight="1" ht="11.25">
      <c r="A20" s="657" t="s">
        <v>16</v>
      </c>
      <c r="B20" s="0" t="s">
        <v>3244</v>
      </c>
      <c r="C20" s="0" t="s">
        <v>3245</v>
      </c>
      <c r="D20" s="0" t="s">
        <v>3246</v>
      </c>
      <c r="E20" s="0" t="s">
        <v>3247</v>
      </c>
      <c r="F20" s="0" t="s">
        <v>3212</v>
      </c>
      <c r="G20" s="0" t="s">
        <v>1588</v>
      </c>
    </row>
    <row customHeight="1" ht="11.25">
      <c r="A21" s="657" t="s">
        <v>16</v>
      </c>
      <c r="B21" s="0" t="s">
        <v>3244</v>
      </c>
      <c r="C21" s="0" t="s">
        <v>3245</v>
      </c>
      <c r="D21" s="0" t="s">
        <v>3248</v>
      </c>
      <c r="E21" s="0" t="s">
        <v>3249</v>
      </c>
      <c r="F21" s="0" t="s">
        <v>3215</v>
      </c>
      <c r="G21" s="0" t="s">
        <v>1597</v>
      </c>
    </row>
    <row customHeight="1" ht="11.25">
      <c r="A22" s="657" t="s">
        <v>16</v>
      </c>
      <c r="B22" s="0" t="s">
        <v>3244</v>
      </c>
      <c r="C22" s="0" t="s">
        <v>3245</v>
      </c>
      <c r="D22" s="0" t="s">
        <v>3250</v>
      </c>
      <c r="E22" s="0" t="s">
        <v>3251</v>
      </c>
      <c r="F22" s="0" t="s">
        <v>3212</v>
      </c>
      <c r="G22" s="0" t="s">
        <v>1613</v>
      </c>
    </row>
    <row customHeight="1" ht="11.25">
      <c r="A23" s="657" t="s">
        <v>16</v>
      </c>
      <c r="B23" s="0" t="s">
        <v>3244</v>
      </c>
      <c r="C23" s="0" t="s">
        <v>3245</v>
      </c>
      <c r="D23" s="0" t="s">
        <v>3252</v>
      </c>
      <c r="E23" s="0" t="s">
        <v>3253</v>
      </c>
      <c r="F23" s="0" t="s">
        <v>3212</v>
      </c>
      <c r="G23" s="0" t="s">
        <v>1620</v>
      </c>
    </row>
    <row customHeight="1" ht="11.25">
      <c r="A24" s="657" t="s">
        <v>16</v>
      </c>
      <c r="B24" s="0" t="s">
        <v>3244</v>
      </c>
      <c r="C24" s="0" t="s">
        <v>3245</v>
      </c>
      <c r="D24" s="0" t="s">
        <v>3254</v>
      </c>
      <c r="E24" s="0" t="s">
        <v>3255</v>
      </c>
      <c r="F24" s="0" t="s">
        <v>3212</v>
      </c>
      <c r="G24" s="0" t="s">
        <v>1628</v>
      </c>
    </row>
    <row customHeight="1" ht="11.25">
      <c r="A25" s="657" t="s">
        <v>16</v>
      </c>
      <c r="B25" s="0" t="s">
        <v>3244</v>
      </c>
      <c r="C25" s="0" t="s">
        <v>3245</v>
      </c>
      <c r="D25" s="0" t="s">
        <v>3256</v>
      </c>
      <c r="E25" s="0" t="s">
        <v>3257</v>
      </c>
      <c r="F25" s="0" t="s">
        <v>3212</v>
      </c>
      <c r="G25" s="0" t="s">
        <v>1635</v>
      </c>
    </row>
    <row customHeight="1" ht="11.25">
      <c r="A26" s="657" t="s">
        <v>16</v>
      </c>
      <c r="B26" s="0" t="s">
        <v>3244</v>
      </c>
      <c r="C26" s="0" t="s">
        <v>3245</v>
      </c>
      <c r="D26" s="0" t="s">
        <v>3258</v>
      </c>
      <c r="E26" s="0" t="s">
        <v>3259</v>
      </c>
      <c r="F26" s="0" t="s">
        <v>3212</v>
      </c>
      <c r="G26" s="0" t="s">
        <v>1639</v>
      </c>
    </row>
    <row customHeight="1" ht="11.25">
      <c r="A27" s="657" t="s">
        <v>16</v>
      </c>
      <c r="B27" s="0" t="s">
        <v>3244</v>
      </c>
      <c r="C27" s="0" t="s">
        <v>3245</v>
      </c>
      <c r="D27" s="0" t="s">
        <v>3260</v>
      </c>
      <c r="E27" s="0" t="s">
        <v>3261</v>
      </c>
      <c r="F27" s="0" t="s">
        <v>3212</v>
      </c>
      <c r="G27" s="0" t="s">
        <v>1644</v>
      </c>
    </row>
    <row customHeight="1" ht="11.25">
      <c r="A28" s="657" t="s">
        <v>16</v>
      </c>
      <c r="B28" s="0" t="s">
        <v>3244</v>
      </c>
      <c r="C28" s="0" t="s">
        <v>3245</v>
      </c>
      <c r="D28" s="0" t="s">
        <v>3262</v>
      </c>
      <c r="E28" s="0" t="s">
        <v>3263</v>
      </c>
      <c r="F28" s="0" t="s">
        <v>3212</v>
      </c>
      <c r="G28" s="0" t="s">
        <v>1652</v>
      </c>
    </row>
    <row customHeight="1" ht="11.25">
      <c r="A29" s="657" t="s">
        <v>16</v>
      </c>
      <c r="B29" s="0" t="s">
        <v>3264</v>
      </c>
      <c r="C29" s="0" t="s">
        <v>3265</v>
      </c>
      <c r="D29" s="0" t="s">
        <v>3264</v>
      </c>
      <c r="E29" s="0" t="s">
        <v>3265</v>
      </c>
      <c r="F29" s="0" t="s">
        <v>3209</v>
      </c>
      <c r="G29" s="0" t="s">
        <v>1654</v>
      </c>
    </row>
    <row customHeight="1" ht="11.25">
      <c r="A30" s="657" t="s">
        <v>16</v>
      </c>
      <c r="B30" s="0" t="s">
        <v>3264</v>
      </c>
      <c r="C30" s="0" t="s">
        <v>3265</v>
      </c>
      <c r="D30" s="0" t="s">
        <v>3266</v>
      </c>
      <c r="E30" s="0" t="s">
        <v>3267</v>
      </c>
      <c r="F30" s="0" t="s">
        <v>3212</v>
      </c>
      <c r="G30" s="0" t="s">
        <v>1657</v>
      </c>
    </row>
    <row customHeight="1" ht="11.25">
      <c r="A31" s="657" t="s">
        <v>16</v>
      </c>
      <c r="B31" s="0" t="s">
        <v>3264</v>
      </c>
      <c r="C31" s="0" t="s">
        <v>3265</v>
      </c>
      <c r="D31" s="0" t="s">
        <v>3268</v>
      </c>
      <c r="E31" s="0" t="s">
        <v>3269</v>
      </c>
      <c r="F31" s="0" t="s">
        <v>3212</v>
      </c>
      <c r="G31" s="0" t="s">
        <v>1662</v>
      </c>
    </row>
    <row customHeight="1" ht="11.25">
      <c r="A32" s="657" t="s">
        <v>16</v>
      </c>
      <c r="B32" s="0" t="s">
        <v>3264</v>
      </c>
      <c r="C32" s="0" t="s">
        <v>3265</v>
      </c>
      <c r="D32" s="0" t="s">
        <v>3270</v>
      </c>
      <c r="E32" s="0" t="s">
        <v>3271</v>
      </c>
      <c r="F32" s="0" t="s">
        <v>3212</v>
      </c>
      <c r="G32" s="0" t="s">
        <v>1664</v>
      </c>
    </row>
    <row customHeight="1" ht="11.25">
      <c r="A33" s="657" t="s">
        <v>16</v>
      </c>
      <c r="B33" s="0" t="s">
        <v>3264</v>
      </c>
      <c r="C33" s="0" t="s">
        <v>3265</v>
      </c>
      <c r="D33" s="0" t="s">
        <v>3272</v>
      </c>
      <c r="E33" s="0" t="s">
        <v>3273</v>
      </c>
      <c r="F33" s="0" t="s">
        <v>3228</v>
      </c>
      <c r="G33" s="0" t="s">
        <v>1666</v>
      </c>
    </row>
    <row customHeight="1" ht="11.25">
      <c r="A34" s="657" t="s">
        <v>16</v>
      </c>
      <c r="B34" s="0" t="s">
        <v>3264</v>
      </c>
      <c r="C34" s="0" t="s">
        <v>3265</v>
      </c>
      <c r="D34" s="0" t="s">
        <v>3274</v>
      </c>
      <c r="E34" s="0" t="s">
        <v>3275</v>
      </c>
      <c r="F34" s="0" t="s">
        <v>3228</v>
      </c>
      <c r="G34" s="0" t="s">
        <v>1668</v>
      </c>
    </row>
    <row customHeight="1" ht="11.25">
      <c r="A35" s="657" t="s">
        <v>16</v>
      </c>
      <c r="B35" s="0" t="s">
        <v>3264</v>
      </c>
      <c r="C35" s="0" t="s">
        <v>3265</v>
      </c>
      <c r="D35" s="0" t="s">
        <v>3276</v>
      </c>
      <c r="E35" s="0" t="s">
        <v>3277</v>
      </c>
      <c r="F35" s="0" t="s">
        <v>3228</v>
      </c>
      <c r="G35" s="0" t="s">
        <v>1673</v>
      </c>
    </row>
    <row customHeight="1" ht="11.25">
      <c r="A36" s="657" t="s">
        <v>16</v>
      </c>
      <c r="B36" s="0" t="s">
        <v>3264</v>
      </c>
      <c r="C36" s="0" t="s">
        <v>3265</v>
      </c>
      <c r="D36" s="0" t="s">
        <v>3278</v>
      </c>
      <c r="E36" s="0" t="s">
        <v>3279</v>
      </c>
      <c r="F36" s="0" t="s">
        <v>3212</v>
      </c>
      <c r="G36" s="0" t="s">
        <v>1678</v>
      </c>
    </row>
    <row customHeight="1" ht="11.25">
      <c r="A37" s="657" t="s">
        <v>16</v>
      </c>
      <c r="B37" s="0" t="s">
        <v>3264</v>
      </c>
      <c r="C37" s="0" t="s">
        <v>3265</v>
      </c>
      <c r="D37" s="0" t="s">
        <v>3280</v>
      </c>
      <c r="E37" s="0" t="s">
        <v>3281</v>
      </c>
      <c r="F37" s="0" t="s">
        <v>3212</v>
      </c>
      <c r="G37" s="0" t="s">
        <v>1682</v>
      </c>
    </row>
    <row customHeight="1" ht="11.25">
      <c r="A38" s="657" t="s">
        <v>16</v>
      </c>
      <c r="B38" s="0" t="s">
        <v>3264</v>
      </c>
      <c r="C38" s="0" t="s">
        <v>3265</v>
      </c>
      <c r="D38" s="0" t="s">
        <v>3282</v>
      </c>
      <c r="E38" s="0" t="s">
        <v>3283</v>
      </c>
      <c r="F38" s="0" t="s">
        <v>3212</v>
      </c>
      <c r="G38" s="0" t="s">
        <v>1690</v>
      </c>
    </row>
    <row customHeight="1" ht="11.25">
      <c r="A39" s="657" t="s">
        <v>16</v>
      </c>
      <c r="B39" s="0" t="s">
        <v>3264</v>
      </c>
      <c r="C39" s="0" t="s">
        <v>3265</v>
      </c>
      <c r="D39" s="0" t="s">
        <v>3284</v>
      </c>
      <c r="E39" s="0" t="s">
        <v>3285</v>
      </c>
      <c r="F39" s="0" t="s">
        <v>3212</v>
      </c>
      <c r="G39" s="0" t="s">
        <v>1696</v>
      </c>
    </row>
    <row customHeight="1" ht="11.25">
      <c r="A40" s="657" t="s">
        <v>16</v>
      </c>
      <c r="B40" s="0" t="s">
        <v>127</v>
      </c>
      <c r="C40" s="0" t="s">
        <v>3286</v>
      </c>
      <c r="D40" s="0" t="s">
        <v>3287</v>
      </c>
      <c r="E40" s="0" t="s">
        <v>3288</v>
      </c>
      <c r="F40" s="0" t="s">
        <v>3212</v>
      </c>
      <c r="G40" s="0" t="s">
        <v>1701</v>
      </c>
    </row>
    <row customHeight="1" ht="11.25">
      <c r="A41" s="657" t="s">
        <v>16</v>
      </c>
      <c r="B41" s="0" t="s">
        <v>127</v>
      </c>
      <c r="C41" s="0" t="s">
        <v>3286</v>
      </c>
      <c r="D41" s="0" t="s">
        <v>3289</v>
      </c>
      <c r="E41" s="0" t="s">
        <v>3290</v>
      </c>
      <c r="F41" s="0" t="s">
        <v>3212</v>
      </c>
      <c r="G41" s="0" t="s">
        <v>1705</v>
      </c>
    </row>
    <row customHeight="1" ht="11.25">
      <c r="A42" s="657" t="s">
        <v>16</v>
      </c>
      <c r="B42" s="0" t="s">
        <v>127</v>
      </c>
      <c r="C42" s="0" t="s">
        <v>3286</v>
      </c>
      <c r="D42" s="0" t="s">
        <v>127</v>
      </c>
      <c r="E42" s="0" t="s">
        <v>3286</v>
      </c>
      <c r="F42" s="0" t="s">
        <v>3209</v>
      </c>
      <c r="G42" s="0" t="s">
        <v>1708</v>
      </c>
    </row>
    <row customHeight="1" ht="11.25">
      <c r="A43" s="657" t="s">
        <v>16</v>
      </c>
      <c r="B43" s="0" t="s">
        <v>127</v>
      </c>
      <c r="C43" s="0" t="s">
        <v>3286</v>
      </c>
      <c r="D43" s="0" t="s">
        <v>3291</v>
      </c>
      <c r="E43" s="0" t="s">
        <v>3292</v>
      </c>
      <c r="F43" s="0" t="s">
        <v>3212</v>
      </c>
      <c r="G43" s="0" t="s">
        <v>1715</v>
      </c>
    </row>
    <row customHeight="1" ht="11.25">
      <c r="A44" s="657" t="s">
        <v>16</v>
      </c>
      <c r="B44" s="0" t="s">
        <v>127</v>
      </c>
      <c r="C44" s="0" t="s">
        <v>3286</v>
      </c>
      <c r="D44" s="0" t="s">
        <v>3293</v>
      </c>
      <c r="E44" s="0" t="s">
        <v>3294</v>
      </c>
      <c r="F44" s="0" t="s">
        <v>3239</v>
      </c>
      <c r="G44" s="0" t="s">
        <v>1724</v>
      </c>
    </row>
    <row customHeight="1" ht="11.25">
      <c r="A45" s="657" t="s">
        <v>16</v>
      </c>
      <c r="B45" s="0" t="s">
        <v>127</v>
      </c>
      <c r="C45" s="0" t="s">
        <v>3286</v>
      </c>
      <c r="D45" s="0" t="s">
        <v>3295</v>
      </c>
      <c r="E45" s="0" t="s">
        <v>3296</v>
      </c>
      <c r="F45" s="0" t="s">
        <v>3228</v>
      </c>
      <c r="G45" s="0" t="s">
        <v>1729</v>
      </c>
    </row>
    <row customHeight="1" ht="11.25">
      <c r="A46" s="657" t="s">
        <v>16</v>
      </c>
      <c r="B46" s="0" t="s">
        <v>127</v>
      </c>
      <c r="C46" s="0" t="s">
        <v>3286</v>
      </c>
      <c r="D46" s="0" t="s">
        <v>128</v>
      </c>
      <c r="E46" s="0" t="s">
        <v>129</v>
      </c>
      <c r="F46" s="0" t="s">
        <v>3228</v>
      </c>
      <c r="G46" s="0" t="s">
        <v>126</v>
      </c>
    </row>
    <row customHeight="1" ht="11.25">
      <c r="A47" s="657" t="s">
        <v>16</v>
      </c>
      <c r="B47" s="0" t="s">
        <v>127</v>
      </c>
      <c r="C47" s="0" t="s">
        <v>3286</v>
      </c>
      <c r="D47" s="0" t="s">
        <v>3297</v>
      </c>
      <c r="E47" s="0" t="s">
        <v>3298</v>
      </c>
      <c r="F47" s="0" t="s">
        <v>3212</v>
      </c>
      <c r="G47" s="0" t="s">
        <v>1738</v>
      </c>
    </row>
    <row customHeight="1" ht="11.25">
      <c r="A48" s="657" t="s">
        <v>16</v>
      </c>
      <c r="B48" s="0" t="s">
        <v>127</v>
      </c>
      <c r="C48" s="0" t="s">
        <v>3286</v>
      </c>
      <c r="D48" s="0" t="s">
        <v>3299</v>
      </c>
      <c r="E48" s="0" t="s">
        <v>3300</v>
      </c>
      <c r="F48" s="0" t="s">
        <v>3212</v>
      </c>
      <c r="G48" s="0" t="s">
        <v>1743</v>
      </c>
    </row>
    <row customHeight="1" ht="11.25">
      <c r="A49" s="657" t="s">
        <v>16</v>
      </c>
      <c r="B49" s="0" t="s">
        <v>127</v>
      </c>
      <c r="C49" s="0" t="s">
        <v>3286</v>
      </c>
      <c r="D49" s="0" t="s">
        <v>3301</v>
      </c>
      <c r="E49" s="0" t="s">
        <v>3302</v>
      </c>
      <c r="F49" s="0" t="s">
        <v>3212</v>
      </c>
      <c r="G49" s="0" t="s">
        <v>1746</v>
      </c>
    </row>
    <row customHeight="1" ht="11.25">
      <c r="A50" s="657" t="s">
        <v>16</v>
      </c>
      <c r="B50" s="0" t="s">
        <v>127</v>
      </c>
      <c r="C50" s="0" t="s">
        <v>3286</v>
      </c>
      <c r="D50" s="0" t="s">
        <v>3303</v>
      </c>
      <c r="E50" s="0" t="s">
        <v>3304</v>
      </c>
      <c r="F50" s="0" t="s">
        <v>3212</v>
      </c>
      <c r="G50" s="0" t="s">
        <v>1750</v>
      </c>
    </row>
    <row customHeight="1" ht="11.25">
      <c r="A51" s="657" t="s">
        <v>16</v>
      </c>
      <c r="B51" s="0" t="s">
        <v>127</v>
      </c>
      <c r="C51" s="0" t="s">
        <v>3286</v>
      </c>
      <c r="D51" s="0" t="s">
        <v>3305</v>
      </c>
      <c r="E51" s="0" t="s">
        <v>3306</v>
      </c>
      <c r="F51" s="0" t="s">
        <v>3212</v>
      </c>
      <c r="G51" s="0" t="s">
        <v>1754</v>
      </c>
    </row>
    <row customHeight="1" ht="11.25">
      <c r="A52" s="657" t="s">
        <v>16</v>
      </c>
      <c r="B52" s="0" t="s">
        <v>127</v>
      </c>
      <c r="C52" s="0" t="s">
        <v>3286</v>
      </c>
      <c r="D52" s="0" t="s">
        <v>3307</v>
      </c>
      <c r="E52" s="0" t="s">
        <v>3308</v>
      </c>
      <c r="F52" s="0" t="s">
        <v>3212</v>
      </c>
      <c r="G52" s="0" t="s">
        <v>1758</v>
      </c>
    </row>
    <row customHeight="1" ht="11.25">
      <c r="A53" s="657" t="s">
        <v>16</v>
      </c>
      <c r="B53" s="0" t="s">
        <v>127</v>
      </c>
      <c r="C53" s="0" t="s">
        <v>3286</v>
      </c>
      <c r="D53" s="0" t="s">
        <v>3309</v>
      </c>
      <c r="E53" s="0" t="s">
        <v>3310</v>
      </c>
      <c r="F53" s="0" t="s">
        <v>3212</v>
      </c>
      <c r="G53" s="0" t="s">
        <v>1760</v>
      </c>
    </row>
    <row customHeight="1" ht="11.25">
      <c r="A54" s="657" t="s">
        <v>16</v>
      </c>
      <c r="B54" s="0" t="s">
        <v>127</v>
      </c>
      <c r="C54" s="0" t="s">
        <v>3286</v>
      </c>
      <c r="D54" s="0" t="s">
        <v>3311</v>
      </c>
      <c r="E54" s="0" t="s">
        <v>3312</v>
      </c>
      <c r="F54" s="0" t="s">
        <v>3212</v>
      </c>
      <c r="G54" s="0" t="s">
        <v>1763</v>
      </c>
    </row>
    <row customHeight="1" ht="11.25">
      <c r="A55" s="657" t="s">
        <v>16</v>
      </c>
      <c r="B55" s="0" t="s">
        <v>3313</v>
      </c>
      <c r="C55" s="0" t="s">
        <v>3314</v>
      </c>
      <c r="D55" s="0" t="s">
        <v>3315</v>
      </c>
      <c r="E55" s="0" t="s">
        <v>3316</v>
      </c>
      <c r="F55" s="0" t="s">
        <v>3212</v>
      </c>
      <c r="G55" s="0" t="s">
        <v>1768</v>
      </c>
    </row>
    <row customHeight="1" ht="11.25">
      <c r="A56" s="657" t="s">
        <v>16</v>
      </c>
      <c r="B56" s="0" t="s">
        <v>3313</v>
      </c>
      <c r="C56" s="0" t="s">
        <v>3314</v>
      </c>
      <c r="D56" s="0" t="s">
        <v>3317</v>
      </c>
      <c r="E56" s="0" t="s">
        <v>3318</v>
      </c>
      <c r="F56" s="0" t="s">
        <v>3212</v>
      </c>
      <c r="G56" s="0" t="s">
        <v>1771</v>
      </c>
    </row>
    <row customHeight="1" ht="11.25">
      <c r="A57" s="657" t="s">
        <v>16</v>
      </c>
      <c r="B57" s="0" t="s">
        <v>3313</v>
      </c>
      <c r="C57" s="0" t="s">
        <v>3314</v>
      </c>
      <c r="D57" s="0" t="s">
        <v>3319</v>
      </c>
      <c r="E57" s="0" t="s">
        <v>3320</v>
      </c>
      <c r="F57" s="0" t="s">
        <v>3212</v>
      </c>
      <c r="G57" s="0" t="s">
        <v>1774</v>
      </c>
    </row>
    <row customHeight="1" ht="11.25">
      <c r="A58" s="657" t="s">
        <v>16</v>
      </c>
      <c r="B58" s="0" t="s">
        <v>3313</v>
      </c>
      <c r="C58" s="0" t="s">
        <v>3314</v>
      </c>
      <c r="D58" s="0" t="s">
        <v>3321</v>
      </c>
      <c r="E58" s="0" t="s">
        <v>3322</v>
      </c>
      <c r="F58" s="0" t="s">
        <v>3212</v>
      </c>
      <c r="G58" s="0" t="s">
        <v>1777</v>
      </c>
    </row>
    <row customHeight="1" ht="11.25">
      <c r="A59" s="657" t="s">
        <v>16</v>
      </c>
      <c r="B59" s="0" t="s">
        <v>3313</v>
      </c>
      <c r="C59" s="0" t="s">
        <v>3314</v>
      </c>
      <c r="D59" s="0" t="s">
        <v>3313</v>
      </c>
      <c r="E59" s="0" t="s">
        <v>3314</v>
      </c>
      <c r="F59" s="0" t="s">
        <v>3209</v>
      </c>
      <c r="G59" s="0" t="s">
        <v>1781</v>
      </c>
    </row>
    <row customHeight="1" ht="11.25">
      <c r="A60" s="657" t="s">
        <v>16</v>
      </c>
      <c r="B60" s="0" t="s">
        <v>3313</v>
      </c>
      <c r="C60" s="0" t="s">
        <v>3314</v>
      </c>
      <c r="D60" s="0" t="s">
        <v>3323</v>
      </c>
      <c r="E60" s="0" t="s">
        <v>3324</v>
      </c>
      <c r="F60" s="0" t="s">
        <v>3212</v>
      </c>
      <c r="G60" s="0" t="s">
        <v>1785</v>
      </c>
    </row>
    <row customHeight="1" ht="11.25">
      <c r="A61" s="657" t="s">
        <v>16</v>
      </c>
      <c r="B61" s="0" t="s">
        <v>3313</v>
      </c>
      <c r="C61" s="0" t="s">
        <v>3314</v>
      </c>
      <c r="D61" s="0" t="s">
        <v>3325</v>
      </c>
      <c r="E61" s="0" t="s">
        <v>3326</v>
      </c>
      <c r="F61" s="0" t="s">
        <v>3215</v>
      </c>
      <c r="G61" s="0" t="s">
        <v>3327</v>
      </c>
    </row>
    <row customHeight="1" ht="11.25">
      <c r="A62" s="657" t="s">
        <v>16</v>
      </c>
      <c r="B62" s="0" t="s">
        <v>3313</v>
      </c>
      <c r="C62" s="0" t="s">
        <v>3314</v>
      </c>
      <c r="D62" s="0" t="s">
        <v>3328</v>
      </c>
      <c r="E62" s="0" t="s">
        <v>3329</v>
      </c>
      <c r="F62" s="0" t="s">
        <v>3212</v>
      </c>
      <c r="G62" s="0" t="s">
        <v>3330</v>
      </c>
    </row>
    <row customHeight="1" ht="11.25">
      <c r="A63" s="657" t="s">
        <v>16</v>
      </c>
      <c r="B63" s="0" t="s">
        <v>3313</v>
      </c>
      <c r="C63" s="0" t="s">
        <v>3314</v>
      </c>
      <c r="D63" s="0" t="s">
        <v>3331</v>
      </c>
      <c r="E63" s="0" t="s">
        <v>3332</v>
      </c>
      <c r="F63" s="0" t="s">
        <v>3212</v>
      </c>
      <c r="G63" s="0" t="s">
        <v>3333</v>
      </c>
    </row>
    <row customHeight="1" ht="11.25">
      <c r="A64" s="657" t="s">
        <v>16</v>
      </c>
      <c r="B64" s="0" t="s">
        <v>3313</v>
      </c>
      <c r="C64" s="0" t="s">
        <v>3314</v>
      </c>
      <c r="D64" s="0" t="s">
        <v>3334</v>
      </c>
      <c r="E64" s="0" t="s">
        <v>3335</v>
      </c>
      <c r="F64" s="0" t="s">
        <v>3212</v>
      </c>
      <c r="G64" s="0" t="s">
        <v>3336</v>
      </c>
    </row>
    <row customHeight="1" ht="11.25">
      <c r="A65" s="657" t="s">
        <v>16</v>
      </c>
      <c r="B65" s="0" t="s">
        <v>3313</v>
      </c>
      <c r="C65" s="0" t="s">
        <v>3314</v>
      </c>
      <c r="D65" s="0" t="s">
        <v>3337</v>
      </c>
      <c r="E65" s="0" t="s">
        <v>3338</v>
      </c>
      <c r="F65" s="0" t="s">
        <v>3212</v>
      </c>
      <c r="G65" s="0" t="s">
        <v>3339</v>
      </c>
    </row>
    <row customHeight="1" ht="11.25">
      <c r="A66" s="657" t="s">
        <v>16</v>
      </c>
      <c r="B66" s="0" t="s">
        <v>3313</v>
      </c>
      <c r="C66" s="0" t="s">
        <v>3314</v>
      </c>
      <c r="D66" s="0" t="s">
        <v>3340</v>
      </c>
      <c r="E66" s="0" t="s">
        <v>3341</v>
      </c>
      <c r="F66" s="0" t="s">
        <v>3212</v>
      </c>
      <c r="G66" s="0" t="s">
        <v>3342</v>
      </c>
    </row>
    <row customHeight="1" ht="11.25">
      <c r="A67" s="657" t="s">
        <v>16</v>
      </c>
      <c r="B67" s="0" t="s">
        <v>3313</v>
      </c>
      <c r="C67" s="0" t="s">
        <v>3314</v>
      </c>
      <c r="D67" s="0" t="s">
        <v>3343</v>
      </c>
      <c r="E67" s="0" t="s">
        <v>3344</v>
      </c>
      <c r="F67" s="0" t="s">
        <v>3212</v>
      </c>
      <c r="G67" s="0" t="s">
        <v>2103</v>
      </c>
    </row>
    <row customHeight="1" ht="11.25">
      <c r="A68" s="657" t="s">
        <v>16</v>
      </c>
      <c r="B68" s="0" t="s">
        <v>3313</v>
      </c>
      <c r="C68" s="0" t="s">
        <v>3314</v>
      </c>
      <c r="D68" s="0" t="s">
        <v>3345</v>
      </c>
      <c r="E68" s="0" t="s">
        <v>3346</v>
      </c>
      <c r="F68" s="0" t="s">
        <v>3212</v>
      </c>
      <c r="G68" s="0" t="s">
        <v>3347</v>
      </c>
    </row>
    <row customHeight="1" ht="11.25">
      <c r="A69" s="657" t="s">
        <v>16</v>
      </c>
      <c r="B69" s="0" t="s">
        <v>3313</v>
      </c>
      <c r="C69" s="0" t="s">
        <v>3314</v>
      </c>
      <c r="D69" s="0" t="s">
        <v>3348</v>
      </c>
      <c r="E69" s="0" t="s">
        <v>3349</v>
      </c>
      <c r="F69" s="0" t="s">
        <v>3212</v>
      </c>
      <c r="G69" s="0" t="s">
        <v>2306</v>
      </c>
    </row>
    <row customHeight="1" ht="11.25">
      <c r="A70" s="657" t="s">
        <v>16</v>
      </c>
      <c r="B70" s="0" t="s">
        <v>3313</v>
      </c>
      <c r="C70" s="0" t="s">
        <v>3314</v>
      </c>
      <c r="D70" s="0" t="s">
        <v>3350</v>
      </c>
      <c r="E70" s="0" t="s">
        <v>3351</v>
      </c>
      <c r="F70" s="0" t="s">
        <v>3212</v>
      </c>
      <c r="G70" s="0" t="s">
        <v>3352</v>
      </c>
    </row>
    <row customHeight="1" ht="11.25">
      <c r="A71" s="657" t="s">
        <v>16</v>
      </c>
      <c r="B71" s="0" t="s">
        <v>3313</v>
      </c>
      <c r="C71" s="0" t="s">
        <v>3314</v>
      </c>
      <c r="D71" s="0" t="s">
        <v>3353</v>
      </c>
      <c r="E71" s="0" t="s">
        <v>3354</v>
      </c>
      <c r="F71" s="0" t="s">
        <v>3212</v>
      </c>
      <c r="G71" s="0" t="s">
        <v>3355</v>
      </c>
    </row>
    <row customHeight="1" ht="11.25">
      <c r="A72" s="657" t="s">
        <v>16</v>
      </c>
      <c r="B72" s="0" t="s">
        <v>3313</v>
      </c>
      <c r="C72" s="0" t="s">
        <v>3314</v>
      </c>
      <c r="D72" s="0" t="s">
        <v>3356</v>
      </c>
      <c r="E72" s="0" t="s">
        <v>3357</v>
      </c>
      <c r="F72" s="0" t="s">
        <v>3212</v>
      </c>
      <c r="G72" s="0" t="s">
        <v>3358</v>
      </c>
    </row>
    <row customHeight="1" ht="11.25">
      <c r="A73" s="657" t="s">
        <v>16</v>
      </c>
      <c r="B73" s="0" t="s">
        <v>3313</v>
      </c>
      <c r="C73" s="0" t="s">
        <v>3314</v>
      </c>
      <c r="D73" s="0" t="s">
        <v>3359</v>
      </c>
      <c r="E73" s="0" t="s">
        <v>3360</v>
      </c>
      <c r="F73" s="0" t="s">
        <v>3212</v>
      </c>
      <c r="G73" s="0" t="s">
        <v>3361</v>
      </c>
    </row>
    <row customHeight="1" ht="11.25">
      <c r="A74" s="657" t="s">
        <v>16</v>
      </c>
      <c r="B74" s="0" t="s">
        <v>3313</v>
      </c>
      <c r="C74" s="0" t="s">
        <v>3314</v>
      </c>
      <c r="D74" s="0" t="s">
        <v>3362</v>
      </c>
      <c r="E74" s="0" t="s">
        <v>3363</v>
      </c>
      <c r="F74" s="0" t="s">
        <v>3212</v>
      </c>
      <c r="G74" s="0" t="s">
        <v>3364</v>
      </c>
    </row>
    <row customHeight="1" ht="11.25">
      <c r="A75" s="657" t="s">
        <v>16</v>
      </c>
      <c r="B75" s="0" t="s">
        <v>113</v>
      </c>
      <c r="C75" s="0" t="s">
        <v>114</v>
      </c>
      <c r="D75" s="0" t="s">
        <v>113</v>
      </c>
      <c r="E75" s="0" t="s">
        <v>114</v>
      </c>
      <c r="F75" s="0" t="s">
        <v>3365</v>
      </c>
      <c r="G75" s="0" t="s">
        <v>112</v>
      </c>
    </row>
    <row customHeight="1" ht="11.25">
      <c r="A76" s="657" t="s">
        <v>16</v>
      </c>
      <c r="B76" s="0" t="s">
        <v>103</v>
      </c>
      <c r="C76" s="0" t="s">
        <v>104</v>
      </c>
      <c r="D76" s="0" t="s">
        <v>103</v>
      </c>
      <c r="E76" s="0" t="s">
        <v>104</v>
      </c>
      <c r="F76" s="0" t="s">
        <v>3365</v>
      </c>
      <c r="G76" s="0" t="s">
        <v>102</v>
      </c>
    </row>
    <row customHeight="1" ht="11.25">
      <c r="A77" s="657" t="s">
        <v>16</v>
      </c>
      <c r="B77" s="0" t="s">
        <v>3366</v>
      </c>
      <c r="C77" s="0" t="s">
        <v>3367</v>
      </c>
      <c r="D77" s="0" t="s">
        <v>3368</v>
      </c>
      <c r="E77" s="0" t="s">
        <v>3369</v>
      </c>
      <c r="F77" s="0" t="s">
        <v>3212</v>
      </c>
      <c r="G77" s="0" t="s">
        <v>3370</v>
      </c>
    </row>
    <row customHeight="1" ht="11.25">
      <c r="A78" s="657" t="s">
        <v>16</v>
      </c>
      <c r="B78" s="0" t="s">
        <v>3366</v>
      </c>
      <c r="C78" s="0" t="s">
        <v>3367</v>
      </c>
      <c r="D78" s="0" t="s">
        <v>3371</v>
      </c>
      <c r="E78" s="0" t="s">
        <v>3372</v>
      </c>
      <c r="F78" s="0" t="s">
        <v>3212</v>
      </c>
      <c r="G78" s="0" t="s">
        <v>3373</v>
      </c>
    </row>
    <row customHeight="1" ht="11.25">
      <c r="A79" s="657" t="s">
        <v>16</v>
      </c>
      <c r="B79" s="0" t="s">
        <v>3366</v>
      </c>
      <c r="C79" s="0" t="s">
        <v>3367</v>
      </c>
      <c r="D79" s="0" t="s">
        <v>3374</v>
      </c>
      <c r="E79" s="0" t="s">
        <v>3375</v>
      </c>
      <c r="F79" s="0" t="s">
        <v>3212</v>
      </c>
      <c r="G79" s="0" t="s">
        <v>3376</v>
      </c>
    </row>
    <row customHeight="1" ht="11.25">
      <c r="A80" s="657" t="s">
        <v>16</v>
      </c>
      <c r="B80" s="0" t="s">
        <v>3366</v>
      </c>
      <c r="C80" s="0" t="s">
        <v>3367</v>
      </c>
      <c r="D80" s="0" t="s">
        <v>3377</v>
      </c>
      <c r="E80" s="0" t="s">
        <v>3378</v>
      </c>
      <c r="F80" s="0" t="s">
        <v>3212</v>
      </c>
      <c r="G80" s="0" t="s">
        <v>3379</v>
      </c>
    </row>
    <row customHeight="1" ht="11.25">
      <c r="A81" s="657" t="s">
        <v>16</v>
      </c>
      <c r="B81" s="0" t="s">
        <v>3366</v>
      </c>
      <c r="C81" s="0" t="s">
        <v>3367</v>
      </c>
      <c r="D81" s="0" t="s">
        <v>3380</v>
      </c>
      <c r="E81" s="0" t="s">
        <v>3381</v>
      </c>
      <c r="F81" s="0" t="s">
        <v>3212</v>
      </c>
      <c r="G81" s="0" t="s">
        <v>3382</v>
      </c>
    </row>
    <row customHeight="1" ht="11.25">
      <c r="A82" s="657" t="s">
        <v>16</v>
      </c>
      <c r="B82" s="0" t="s">
        <v>3366</v>
      </c>
      <c r="C82" s="0" t="s">
        <v>3367</v>
      </c>
      <c r="D82" s="0" t="s">
        <v>3383</v>
      </c>
      <c r="E82" s="0" t="s">
        <v>3384</v>
      </c>
      <c r="F82" s="0" t="s">
        <v>3212</v>
      </c>
      <c r="G82" s="0" t="s">
        <v>3385</v>
      </c>
    </row>
    <row customHeight="1" ht="11.25">
      <c r="A83" s="657" t="s">
        <v>16</v>
      </c>
      <c r="B83" s="0" t="s">
        <v>3366</v>
      </c>
      <c r="C83" s="0" t="s">
        <v>3367</v>
      </c>
      <c r="D83" s="0" t="s">
        <v>3386</v>
      </c>
      <c r="E83" s="0" t="s">
        <v>3387</v>
      </c>
      <c r="F83" s="0" t="s">
        <v>3212</v>
      </c>
      <c r="G83" s="0" t="s">
        <v>3388</v>
      </c>
    </row>
    <row customHeight="1" ht="11.25">
      <c r="A84" s="657" t="s">
        <v>16</v>
      </c>
      <c r="B84" s="0" t="s">
        <v>3366</v>
      </c>
      <c r="C84" s="0" t="s">
        <v>3367</v>
      </c>
      <c r="D84" s="0" t="s">
        <v>3389</v>
      </c>
      <c r="E84" s="0" t="s">
        <v>3390</v>
      </c>
      <c r="F84" s="0" t="s">
        <v>3212</v>
      </c>
      <c r="G84" s="0" t="s">
        <v>3391</v>
      </c>
    </row>
    <row customHeight="1" ht="11.25">
      <c r="A85" s="657" t="s">
        <v>16</v>
      </c>
      <c r="B85" s="0" t="s">
        <v>3366</v>
      </c>
      <c r="C85" s="0" t="s">
        <v>3367</v>
      </c>
      <c r="D85" s="0" t="s">
        <v>3392</v>
      </c>
      <c r="E85" s="0" t="s">
        <v>3393</v>
      </c>
      <c r="F85" s="0" t="s">
        <v>3212</v>
      </c>
      <c r="G85" s="0" t="s">
        <v>3394</v>
      </c>
    </row>
    <row customHeight="1" ht="11.25">
      <c r="A86" s="657" t="s">
        <v>16</v>
      </c>
      <c r="B86" s="0" t="s">
        <v>3366</v>
      </c>
      <c r="C86" s="0" t="s">
        <v>3367</v>
      </c>
      <c r="D86" s="0" t="s">
        <v>3366</v>
      </c>
      <c r="E86" s="0" t="s">
        <v>3367</v>
      </c>
      <c r="F86" s="0" t="s">
        <v>3209</v>
      </c>
      <c r="G86" s="0" t="s">
        <v>3395</v>
      </c>
    </row>
    <row customHeight="1" ht="11.25">
      <c r="A87" s="657" t="s">
        <v>16</v>
      </c>
      <c r="B87" s="0" t="s">
        <v>3366</v>
      </c>
      <c r="C87" s="0" t="s">
        <v>3367</v>
      </c>
      <c r="D87" s="0" t="s">
        <v>3396</v>
      </c>
      <c r="E87" s="0" t="s">
        <v>3397</v>
      </c>
      <c r="F87" s="0" t="s">
        <v>3212</v>
      </c>
      <c r="G87" s="0" t="s">
        <v>3398</v>
      </c>
    </row>
    <row customHeight="1" ht="11.25">
      <c r="A88" s="657" t="s">
        <v>16</v>
      </c>
      <c r="B88" s="0" t="s">
        <v>3366</v>
      </c>
      <c r="C88" s="0" t="s">
        <v>3367</v>
      </c>
      <c r="D88" s="0" t="s">
        <v>3399</v>
      </c>
      <c r="E88" s="0" t="s">
        <v>3400</v>
      </c>
      <c r="F88" s="0" t="s">
        <v>3212</v>
      </c>
      <c r="G88" s="0" t="s">
        <v>3401</v>
      </c>
    </row>
    <row customHeight="1" ht="11.25">
      <c r="A89" s="657" t="s">
        <v>16</v>
      </c>
      <c r="B89" s="0" t="s">
        <v>3366</v>
      </c>
      <c r="C89" s="0" t="s">
        <v>3367</v>
      </c>
      <c r="D89" s="0" t="s">
        <v>3402</v>
      </c>
      <c r="E89" s="0" t="s">
        <v>3403</v>
      </c>
      <c r="F89" s="0" t="s">
        <v>3212</v>
      </c>
      <c r="G89" s="0" t="s">
        <v>3404</v>
      </c>
    </row>
    <row customHeight="1" ht="11.25">
      <c r="A90" s="657" t="s">
        <v>16</v>
      </c>
      <c r="B90" s="0" t="s">
        <v>3366</v>
      </c>
      <c r="C90" s="0" t="s">
        <v>3367</v>
      </c>
      <c r="D90" s="0" t="s">
        <v>3405</v>
      </c>
      <c r="E90" s="0" t="s">
        <v>3406</v>
      </c>
      <c r="F90" s="0" t="s">
        <v>3212</v>
      </c>
      <c r="G90" s="0" t="s">
        <v>3407</v>
      </c>
    </row>
    <row customHeight="1" ht="11.25">
      <c r="A91" s="657" t="s">
        <v>16</v>
      </c>
      <c r="B91" s="0" t="s">
        <v>3366</v>
      </c>
      <c r="C91" s="0" t="s">
        <v>3367</v>
      </c>
      <c r="D91" s="0" t="s">
        <v>3408</v>
      </c>
      <c r="E91" s="0" t="s">
        <v>3409</v>
      </c>
      <c r="F91" s="0" t="s">
        <v>3212</v>
      </c>
      <c r="G91" s="0" t="s">
        <v>3410</v>
      </c>
    </row>
    <row customHeight="1" ht="11.25">
      <c r="A92" s="657" t="s">
        <v>16</v>
      </c>
      <c r="B92" s="0" t="s">
        <v>3366</v>
      </c>
      <c r="C92" s="0" t="s">
        <v>3367</v>
      </c>
      <c r="D92" s="0" t="s">
        <v>3411</v>
      </c>
      <c r="E92" s="0" t="s">
        <v>3412</v>
      </c>
      <c r="F92" s="0" t="s">
        <v>3212</v>
      </c>
      <c r="G92" s="0" t="s">
        <v>3413</v>
      </c>
    </row>
    <row customHeight="1" ht="11.25">
      <c r="A93" s="657" t="s">
        <v>16</v>
      </c>
      <c r="B93" s="0" t="s">
        <v>3366</v>
      </c>
      <c r="C93" s="0" t="s">
        <v>3367</v>
      </c>
      <c r="D93" s="0" t="s">
        <v>3414</v>
      </c>
      <c r="E93" s="0" t="s">
        <v>3415</v>
      </c>
      <c r="F93" s="0" t="s">
        <v>3212</v>
      </c>
      <c r="G93" s="0" t="s">
        <v>3416</v>
      </c>
    </row>
    <row customHeight="1" ht="11.25">
      <c r="A94" s="657" t="s">
        <v>16</v>
      </c>
      <c r="B94" s="0" t="s">
        <v>3366</v>
      </c>
      <c r="C94" s="0" t="s">
        <v>3367</v>
      </c>
      <c r="D94" s="0" t="s">
        <v>3417</v>
      </c>
      <c r="E94" s="0" t="s">
        <v>3418</v>
      </c>
      <c r="F94" s="0" t="s">
        <v>3212</v>
      </c>
      <c r="G94" s="0" t="s">
        <v>3419</v>
      </c>
    </row>
    <row customHeight="1" ht="11.25">
      <c r="A95" s="657" t="s">
        <v>16</v>
      </c>
      <c r="B95" s="0" t="s">
        <v>3366</v>
      </c>
      <c r="C95" s="0" t="s">
        <v>3367</v>
      </c>
      <c r="D95" s="0" t="s">
        <v>3420</v>
      </c>
      <c r="E95" s="0" t="s">
        <v>3421</v>
      </c>
      <c r="F95" s="0" t="s">
        <v>3212</v>
      </c>
      <c r="G95" s="0" t="s">
        <v>3422</v>
      </c>
    </row>
    <row customHeight="1" ht="11.25">
      <c r="A96" s="657" t="s">
        <v>16</v>
      </c>
      <c r="B96" s="0" t="s">
        <v>3366</v>
      </c>
      <c r="C96" s="0" t="s">
        <v>3367</v>
      </c>
      <c r="D96" s="0" t="s">
        <v>3423</v>
      </c>
      <c r="E96" s="0" t="s">
        <v>3424</v>
      </c>
      <c r="F96" s="0" t="s">
        <v>3212</v>
      </c>
      <c r="G96" s="0" t="s">
        <v>3425</v>
      </c>
    </row>
    <row customHeight="1" ht="11.25">
      <c r="A97" s="657" t="s">
        <v>16</v>
      </c>
      <c r="B97" s="0" t="s">
        <v>3366</v>
      </c>
      <c r="C97" s="0" t="s">
        <v>3367</v>
      </c>
      <c r="D97" s="0" t="s">
        <v>3426</v>
      </c>
      <c r="E97" s="0" t="s">
        <v>3427</v>
      </c>
      <c r="F97" s="0" t="s">
        <v>3212</v>
      </c>
      <c r="G97" s="0" t="s">
        <v>3428</v>
      </c>
    </row>
    <row customHeight="1" ht="11.25">
      <c r="A98" s="657" t="s">
        <v>16</v>
      </c>
      <c r="B98" s="0" t="s">
        <v>3366</v>
      </c>
      <c r="C98" s="0" t="s">
        <v>3367</v>
      </c>
      <c r="D98" s="0" t="s">
        <v>3429</v>
      </c>
      <c r="E98" s="0" t="s">
        <v>3430</v>
      </c>
      <c r="F98" s="0" t="s">
        <v>3212</v>
      </c>
      <c r="G98" s="0" t="s">
        <v>3431</v>
      </c>
    </row>
    <row customHeight="1" ht="11.25">
      <c r="A99" s="657" t="s">
        <v>16</v>
      </c>
      <c r="B99" s="0" t="s">
        <v>3432</v>
      </c>
      <c r="C99" s="0" t="s">
        <v>3433</v>
      </c>
      <c r="D99" s="0" t="s">
        <v>3434</v>
      </c>
      <c r="E99" s="0" t="s">
        <v>3435</v>
      </c>
      <c r="F99" s="0" t="s">
        <v>3212</v>
      </c>
      <c r="G99" s="0" t="s">
        <v>3436</v>
      </c>
    </row>
    <row customHeight="1" ht="11.25">
      <c r="A100" s="657" t="s">
        <v>16</v>
      </c>
      <c r="B100" s="0" t="s">
        <v>3432</v>
      </c>
      <c r="C100" s="0" t="s">
        <v>3433</v>
      </c>
      <c r="D100" s="0" t="s">
        <v>3437</v>
      </c>
      <c r="E100" s="0" t="s">
        <v>3438</v>
      </c>
      <c r="F100" s="0" t="s">
        <v>3212</v>
      </c>
      <c r="G100" s="0" t="s">
        <v>3439</v>
      </c>
    </row>
    <row customHeight="1" ht="11.25">
      <c r="A101" s="657" t="s">
        <v>16</v>
      </c>
      <c r="B101" s="0" t="s">
        <v>3432</v>
      </c>
      <c r="C101" s="0" t="s">
        <v>3433</v>
      </c>
      <c r="D101" s="0" t="s">
        <v>3440</v>
      </c>
      <c r="E101" s="0" t="s">
        <v>3441</v>
      </c>
      <c r="F101" s="0" t="s">
        <v>3212</v>
      </c>
      <c r="G101" s="0" t="s">
        <v>3442</v>
      </c>
    </row>
    <row customHeight="1" ht="11.25">
      <c r="A102" s="657" t="s">
        <v>16</v>
      </c>
      <c r="B102" s="0" t="s">
        <v>3432</v>
      </c>
      <c r="C102" s="0" t="s">
        <v>3433</v>
      </c>
      <c r="D102" s="0" t="s">
        <v>3443</v>
      </c>
      <c r="E102" s="0" t="s">
        <v>3444</v>
      </c>
      <c r="F102" s="0" t="s">
        <v>3212</v>
      </c>
      <c r="G102" s="0" t="s">
        <v>3445</v>
      </c>
    </row>
    <row customHeight="1" ht="11.25">
      <c r="A103" s="657" t="s">
        <v>16</v>
      </c>
      <c r="B103" s="0" t="s">
        <v>3432</v>
      </c>
      <c r="C103" s="0" t="s">
        <v>3433</v>
      </c>
      <c r="D103" s="0" t="s">
        <v>3446</v>
      </c>
      <c r="E103" s="0" t="s">
        <v>3447</v>
      </c>
      <c r="F103" s="0" t="s">
        <v>3212</v>
      </c>
      <c r="G103" s="0" t="s">
        <v>3448</v>
      </c>
    </row>
    <row customHeight="1" ht="11.25">
      <c r="A104" s="657" t="s">
        <v>16</v>
      </c>
      <c r="B104" s="0" t="s">
        <v>3432</v>
      </c>
      <c r="C104" s="0" t="s">
        <v>3433</v>
      </c>
      <c r="D104" s="0" t="s">
        <v>3449</v>
      </c>
      <c r="E104" s="0" t="s">
        <v>3450</v>
      </c>
      <c r="F104" s="0" t="s">
        <v>3212</v>
      </c>
      <c r="G104" s="0" t="s">
        <v>3451</v>
      </c>
    </row>
    <row customHeight="1" ht="11.25">
      <c r="A105" s="657" t="s">
        <v>16</v>
      </c>
      <c r="B105" s="0" t="s">
        <v>3432</v>
      </c>
      <c r="C105" s="0" t="s">
        <v>3433</v>
      </c>
      <c r="D105" s="0" t="s">
        <v>3452</v>
      </c>
      <c r="E105" s="0" t="s">
        <v>3453</v>
      </c>
      <c r="F105" s="0" t="s">
        <v>3212</v>
      </c>
      <c r="G105" s="0" t="s">
        <v>3454</v>
      </c>
    </row>
    <row customHeight="1" ht="11.25">
      <c r="A106" s="657" t="s">
        <v>16</v>
      </c>
      <c r="B106" s="0" t="s">
        <v>3432</v>
      </c>
      <c r="C106" s="0" t="s">
        <v>3433</v>
      </c>
      <c r="D106" s="0" t="s">
        <v>3455</v>
      </c>
      <c r="E106" s="0" t="s">
        <v>3456</v>
      </c>
      <c r="F106" s="0" t="s">
        <v>3212</v>
      </c>
      <c r="G106" s="0" t="s">
        <v>3457</v>
      </c>
    </row>
    <row customHeight="1" ht="11.25">
      <c r="A107" s="657" t="s">
        <v>16</v>
      </c>
      <c r="B107" s="0" t="s">
        <v>3432</v>
      </c>
      <c r="C107" s="0" t="s">
        <v>3433</v>
      </c>
      <c r="D107" s="0" t="s">
        <v>3458</v>
      </c>
      <c r="E107" s="0" t="s">
        <v>3459</v>
      </c>
      <c r="F107" s="0" t="s">
        <v>3212</v>
      </c>
      <c r="G107" s="0" t="s">
        <v>3460</v>
      </c>
    </row>
    <row customHeight="1" ht="11.25">
      <c r="A108" s="657" t="s">
        <v>16</v>
      </c>
      <c r="B108" s="0" t="s">
        <v>3432</v>
      </c>
      <c r="C108" s="0" t="s">
        <v>3433</v>
      </c>
      <c r="D108" s="0" t="s">
        <v>3461</v>
      </c>
      <c r="E108" s="0" t="s">
        <v>3462</v>
      </c>
      <c r="F108" s="0" t="s">
        <v>3212</v>
      </c>
      <c r="G108" s="0" t="s">
        <v>3463</v>
      </c>
    </row>
    <row customHeight="1" ht="11.25">
      <c r="A109" s="657" t="s">
        <v>16</v>
      </c>
      <c r="B109" s="0" t="s">
        <v>3432</v>
      </c>
      <c r="C109" s="0" t="s">
        <v>3433</v>
      </c>
      <c r="D109" s="0" t="s">
        <v>3464</v>
      </c>
      <c r="E109" s="0" t="s">
        <v>3465</v>
      </c>
      <c r="F109" s="0" t="s">
        <v>3212</v>
      </c>
      <c r="G109" s="0" t="s">
        <v>3466</v>
      </c>
    </row>
    <row customHeight="1" ht="11.25">
      <c r="A110" s="657" t="s">
        <v>16</v>
      </c>
      <c r="B110" s="0" t="s">
        <v>3432</v>
      </c>
      <c r="C110" s="0" t="s">
        <v>3433</v>
      </c>
      <c r="D110" s="0" t="s">
        <v>3432</v>
      </c>
      <c r="E110" s="0" t="s">
        <v>3433</v>
      </c>
      <c r="F110" s="0" t="s">
        <v>3209</v>
      </c>
      <c r="G110" s="0" t="s">
        <v>3467</v>
      </c>
    </row>
    <row customHeight="1" ht="11.25">
      <c r="A111" s="657" t="s">
        <v>16</v>
      </c>
      <c r="B111" s="0" t="s">
        <v>3432</v>
      </c>
      <c r="C111" s="0" t="s">
        <v>3433</v>
      </c>
      <c r="D111" s="0" t="s">
        <v>3468</v>
      </c>
      <c r="E111" s="0" t="s">
        <v>3469</v>
      </c>
      <c r="F111" s="0" t="s">
        <v>3212</v>
      </c>
      <c r="G111" s="0" t="s">
        <v>3470</v>
      </c>
    </row>
    <row customHeight="1" ht="11.25">
      <c r="A112" s="657" t="s">
        <v>16</v>
      </c>
      <c r="B112" s="0" t="s">
        <v>3432</v>
      </c>
      <c r="C112" s="0" t="s">
        <v>3433</v>
      </c>
      <c r="D112" s="0" t="s">
        <v>3471</v>
      </c>
      <c r="E112" s="0" t="s">
        <v>3472</v>
      </c>
      <c r="F112" s="0" t="s">
        <v>3212</v>
      </c>
      <c r="G112" s="0" t="s">
        <v>3473</v>
      </c>
    </row>
    <row customHeight="1" ht="11.25">
      <c r="A113" s="657" t="s">
        <v>16</v>
      </c>
      <c r="B113" s="0" t="s">
        <v>3432</v>
      </c>
      <c r="C113" s="0" t="s">
        <v>3433</v>
      </c>
      <c r="D113" s="0" t="s">
        <v>3474</v>
      </c>
      <c r="E113" s="0" t="s">
        <v>3475</v>
      </c>
      <c r="F113" s="0" t="s">
        <v>3212</v>
      </c>
      <c r="G113" s="0" t="s">
        <v>3476</v>
      </c>
    </row>
    <row customHeight="1" ht="11.25">
      <c r="A114" s="657" t="s">
        <v>16</v>
      </c>
      <c r="B114" s="0" t="s">
        <v>121</v>
      </c>
      <c r="C114" s="0" t="s">
        <v>3477</v>
      </c>
      <c r="D114" s="0" t="s">
        <v>122</v>
      </c>
      <c r="E114" s="0" t="s">
        <v>123</v>
      </c>
      <c r="F114" s="0" t="s">
        <v>3215</v>
      </c>
      <c r="G114" s="0" t="s">
        <v>120</v>
      </c>
    </row>
    <row customHeight="1" ht="11.25">
      <c r="A115" s="657" t="s">
        <v>16</v>
      </c>
      <c r="B115" s="0" t="s">
        <v>121</v>
      </c>
      <c r="C115" s="0" t="s">
        <v>3477</v>
      </c>
      <c r="D115" s="0" t="s">
        <v>3455</v>
      </c>
      <c r="E115" s="0" t="s">
        <v>3478</v>
      </c>
      <c r="F115" s="0" t="s">
        <v>3212</v>
      </c>
      <c r="G115" s="0" t="s">
        <v>3479</v>
      </c>
    </row>
    <row customHeight="1" ht="11.25">
      <c r="A116" s="657" t="s">
        <v>16</v>
      </c>
      <c r="B116" s="0" t="s">
        <v>121</v>
      </c>
      <c r="C116" s="0" t="s">
        <v>3477</v>
      </c>
      <c r="D116" s="0" t="s">
        <v>3480</v>
      </c>
      <c r="E116" s="0" t="s">
        <v>3481</v>
      </c>
      <c r="F116" s="0" t="s">
        <v>3212</v>
      </c>
      <c r="G116" s="0" t="s">
        <v>3482</v>
      </c>
    </row>
    <row customHeight="1" ht="11.25">
      <c r="A117" s="657" t="s">
        <v>16</v>
      </c>
      <c r="B117" s="0" t="s">
        <v>121</v>
      </c>
      <c r="C117" s="0" t="s">
        <v>3477</v>
      </c>
      <c r="D117" s="0" t="s">
        <v>3483</v>
      </c>
      <c r="E117" s="0" t="s">
        <v>3484</v>
      </c>
      <c r="F117" s="0" t="s">
        <v>3212</v>
      </c>
      <c r="G117" s="0" t="s">
        <v>3485</v>
      </c>
    </row>
    <row customHeight="1" ht="11.25">
      <c r="A118" s="657" t="s">
        <v>16</v>
      </c>
      <c r="B118" s="0" t="s">
        <v>121</v>
      </c>
      <c r="C118" s="0" t="s">
        <v>3477</v>
      </c>
      <c r="D118" s="0" t="s">
        <v>3486</v>
      </c>
      <c r="E118" s="0" t="s">
        <v>3487</v>
      </c>
      <c r="F118" s="0" t="s">
        <v>3212</v>
      </c>
      <c r="G118" s="0" t="s">
        <v>3488</v>
      </c>
    </row>
    <row customHeight="1" ht="11.25">
      <c r="A119" s="657" t="s">
        <v>16</v>
      </c>
      <c r="B119" s="0" t="s">
        <v>121</v>
      </c>
      <c r="C119" s="0" t="s">
        <v>3477</v>
      </c>
      <c r="D119" s="0" t="s">
        <v>3489</v>
      </c>
      <c r="E119" s="0" t="s">
        <v>3490</v>
      </c>
      <c r="F119" s="0" t="s">
        <v>3239</v>
      </c>
      <c r="G119" s="0" t="s">
        <v>3491</v>
      </c>
    </row>
    <row customHeight="1" ht="11.25">
      <c r="A120" s="657" t="s">
        <v>16</v>
      </c>
      <c r="B120" s="0" t="s">
        <v>121</v>
      </c>
      <c r="C120" s="0" t="s">
        <v>3477</v>
      </c>
      <c r="D120" s="0" t="s">
        <v>3492</v>
      </c>
      <c r="E120" s="0" t="s">
        <v>3493</v>
      </c>
      <c r="F120" s="0" t="s">
        <v>3212</v>
      </c>
      <c r="G120" s="0" t="s">
        <v>3494</v>
      </c>
    </row>
    <row customHeight="1" ht="11.25">
      <c r="A121" s="657" t="s">
        <v>16</v>
      </c>
      <c r="B121" s="0" t="s">
        <v>121</v>
      </c>
      <c r="C121" s="0" t="s">
        <v>3477</v>
      </c>
      <c r="D121" s="0" t="s">
        <v>3495</v>
      </c>
      <c r="E121" s="0" t="s">
        <v>3496</v>
      </c>
      <c r="F121" s="0" t="s">
        <v>3212</v>
      </c>
      <c r="G121" s="0" t="s">
        <v>3497</v>
      </c>
    </row>
    <row customHeight="1" ht="11.25">
      <c r="A122" s="657" t="s">
        <v>16</v>
      </c>
      <c r="B122" s="0" t="s">
        <v>121</v>
      </c>
      <c r="C122" s="0" t="s">
        <v>3477</v>
      </c>
      <c r="D122" s="0" t="s">
        <v>121</v>
      </c>
      <c r="E122" s="0" t="s">
        <v>3477</v>
      </c>
      <c r="F122" s="0" t="s">
        <v>3209</v>
      </c>
      <c r="G122" s="0" t="s">
        <v>3498</v>
      </c>
    </row>
    <row customHeight="1" ht="11.25">
      <c r="A123" s="657" t="s">
        <v>16</v>
      </c>
      <c r="B123" s="0" t="s">
        <v>121</v>
      </c>
      <c r="C123" s="0" t="s">
        <v>3477</v>
      </c>
      <c r="D123" s="0" t="s">
        <v>3499</v>
      </c>
      <c r="E123" s="0" t="s">
        <v>3500</v>
      </c>
      <c r="F123" s="0" t="s">
        <v>3212</v>
      </c>
      <c r="G123" s="0" t="s">
        <v>3501</v>
      </c>
    </row>
    <row customHeight="1" ht="11.25">
      <c r="A124" s="657" t="s">
        <v>16</v>
      </c>
      <c r="B124" s="0" t="s">
        <v>121</v>
      </c>
      <c r="C124" s="0" t="s">
        <v>3477</v>
      </c>
      <c r="D124" s="0" t="s">
        <v>3502</v>
      </c>
      <c r="E124" s="0" t="s">
        <v>3503</v>
      </c>
      <c r="F124" s="0" t="s">
        <v>3212</v>
      </c>
      <c r="G124" s="0" t="s">
        <v>3504</v>
      </c>
    </row>
    <row customHeight="1" ht="11.25">
      <c r="A125" s="657" t="s">
        <v>16</v>
      </c>
      <c r="B125" s="0" t="s">
        <v>121</v>
      </c>
      <c r="C125" s="0" t="s">
        <v>3477</v>
      </c>
      <c r="D125" s="0" t="s">
        <v>3505</v>
      </c>
      <c r="E125" s="0" t="s">
        <v>3506</v>
      </c>
      <c r="F125" s="0" t="s">
        <v>3212</v>
      </c>
      <c r="G125" s="0" t="s">
        <v>3507</v>
      </c>
    </row>
    <row customHeight="1" ht="11.25">
      <c r="A126" s="657" t="s">
        <v>16</v>
      </c>
      <c r="B126" s="0" t="s">
        <v>121</v>
      </c>
      <c r="C126" s="0" t="s">
        <v>3477</v>
      </c>
      <c r="D126" s="0" t="s">
        <v>3508</v>
      </c>
      <c r="E126" s="0" t="s">
        <v>3509</v>
      </c>
      <c r="F126" s="0" t="s">
        <v>3228</v>
      </c>
      <c r="G126" s="0" t="s">
        <v>3510</v>
      </c>
    </row>
    <row customHeight="1" ht="11.25">
      <c r="A127" s="657" t="s">
        <v>16</v>
      </c>
      <c r="B127" s="0" t="s">
        <v>121</v>
      </c>
      <c r="C127" s="0" t="s">
        <v>3477</v>
      </c>
      <c r="D127" s="0" t="s">
        <v>3511</v>
      </c>
      <c r="E127" s="0" t="s">
        <v>3512</v>
      </c>
      <c r="F127" s="0" t="s">
        <v>3228</v>
      </c>
      <c r="G127" s="0" t="s">
        <v>3513</v>
      </c>
    </row>
    <row customHeight="1" ht="11.25">
      <c r="A128" s="657" t="s">
        <v>16</v>
      </c>
      <c r="B128" s="0" t="s">
        <v>121</v>
      </c>
      <c r="C128" s="0" t="s">
        <v>3477</v>
      </c>
      <c r="D128" s="0" t="s">
        <v>3514</v>
      </c>
      <c r="E128" s="0" t="s">
        <v>3515</v>
      </c>
      <c r="F128" s="0" t="s">
        <v>3212</v>
      </c>
      <c r="G128" s="0" t="s">
        <v>3516</v>
      </c>
    </row>
    <row customHeight="1" ht="11.25">
      <c r="A129" s="657" t="s">
        <v>16</v>
      </c>
      <c r="B129" s="0" t="s">
        <v>121</v>
      </c>
      <c r="C129" s="0" t="s">
        <v>3477</v>
      </c>
      <c r="D129" s="0" t="s">
        <v>3517</v>
      </c>
      <c r="E129" s="0" t="s">
        <v>3518</v>
      </c>
      <c r="F129" s="0" t="s">
        <v>3212</v>
      </c>
      <c r="G129" s="0" t="s">
        <v>3519</v>
      </c>
    </row>
    <row customHeight="1" ht="11.25">
      <c r="A130" s="657" t="s">
        <v>16</v>
      </c>
      <c r="B130" s="0" t="s">
        <v>3520</v>
      </c>
      <c r="C130" s="0" t="s">
        <v>3521</v>
      </c>
      <c r="D130" s="0" t="s">
        <v>3520</v>
      </c>
      <c r="E130" s="0" t="s">
        <v>3521</v>
      </c>
      <c r="F130" s="0" t="s">
        <v>3522</v>
      </c>
      <c r="G130" s="0" t="s">
        <v>3523</v>
      </c>
    </row>
    <row customHeight="1" ht="11.25">
      <c r="A131" s="657" t="s">
        <v>16</v>
      </c>
      <c r="B131" s="0" t="s">
        <v>3524</v>
      </c>
      <c r="C131" s="0" t="s">
        <v>3525</v>
      </c>
      <c r="D131" s="0" t="s">
        <v>3526</v>
      </c>
      <c r="E131" s="0" t="s">
        <v>3527</v>
      </c>
      <c r="F131" s="0" t="s">
        <v>3212</v>
      </c>
      <c r="G131" s="0" t="s">
        <v>3528</v>
      </c>
    </row>
    <row customHeight="1" ht="11.25">
      <c r="A132" s="657" t="s">
        <v>16</v>
      </c>
      <c r="B132" s="0" t="s">
        <v>3524</v>
      </c>
      <c r="C132" s="0" t="s">
        <v>3525</v>
      </c>
      <c r="D132" s="0" t="s">
        <v>3529</v>
      </c>
      <c r="E132" s="0" t="s">
        <v>3530</v>
      </c>
      <c r="F132" s="0" t="s">
        <v>3212</v>
      </c>
      <c r="G132" s="0" t="s">
        <v>3531</v>
      </c>
    </row>
    <row customHeight="1" ht="11.25">
      <c r="A133" s="657" t="s">
        <v>16</v>
      </c>
      <c r="B133" s="0" t="s">
        <v>3524</v>
      </c>
      <c r="C133" s="0" t="s">
        <v>3525</v>
      </c>
      <c r="D133" s="0" t="s">
        <v>3532</v>
      </c>
      <c r="E133" s="0" t="s">
        <v>3533</v>
      </c>
      <c r="F133" s="0" t="s">
        <v>3212</v>
      </c>
      <c r="G133" s="0" t="s">
        <v>3534</v>
      </c>
    </row>
    <row customHeight="1" ht="11.25">
      <c r="A134" s="657" t="s">
        <v>16</v>
      </c>
      <c r="B134" s="0" t="s">
        <v>3524</v>
      </c>
      <c r="C134" s="0" t="s">
        <v>3525</v>
      </c>
      <c r="D134" s="0" t="s">
        <v>3535</v>
      </c>
      <c r="E134" s="0" t="s">
        <v>3536</v>
      </c>
      <c r="F134" s="0" t="s">
        <v>3212</v>
      </c>
      <c r="G134" s="0" t="s">
        <v>3537</v>
      </c>
    </row>
    <row customHeight="1" ht="11.25">
      <c r="A135" s="657" t="s">
        <v>16</v>
      </c>
      <c r="B135" s="0" t="s">
        <v>3524</v>
      </c>
      <c r="C135" s="0" t="s">
        <v>3525</v>
      </c>
      <c r="D135" s="0" t="s">
        <v>3538</v>
      </c>
      <c r="E135" s="0" t="s">
        <v>3539</v>
      </c>
      <c r="F135" s="0" t="s">
        <v>3212</v>
      </c>
      <c r="G135" s="0" t="s">
        <v>3540</v>
      </c>
    </row>
    <row customHeight="1" ht="11.25">
      <c r="A136" s="657" t="s">
        <v>16</v>
      </c>
      <c r="B136" s="0" t="s">
        <v>3524</v>
      </c>
      <c r="C136" s="0" t="s">
        <v>3525</v>
      </c>
      <c r="D136" s="0" t="s">
        <v>3541</v>
      </c>
      <c r="E136" s="0" t="s">
        <v>3542</v>
      </c>
      <c r="F136" s="0" t="s">
        <v>3212</v>
      </c>
      <c r="G136" s="0" t="s">
        <v>3543</v>
      </c>
    </row>
    <row customHeight="1" ht="11.25">
      <c r="A137" s="657" t="s">
        <v>16</v>
      </c>
      <c r="B137" s="0" t="s">
        <v>3524</v>
      </c>
      <c r="C137" s="0" t="s">
        <v>3525</v>
      </c>
      <c r="D137" s="0" t="s">
        <v>3524</v>
      </c>
      <c r="E137" s="0" t="s">
        <v>3525</v>
      </c>
      <c r="F137" s="0" t="s">
        <v>3209</v>
      </c>
      <c r="G137" s="0" t="s">
        <v>3544</v>
      </c>
    </row>
    <row customHeight="1" ht="11.25">
      <c r="A138" s="657" t="s">
        <v>16</v>
      </c>
      <c r="B138" s="0" t="s">
        <v>3524</v>
      </c>
      <c r="C138" s="0" t="s">
        <v>3525</v>
      </c>
      <c r="D138" s="0" t="s">
        <v>3545</v>
      </c>
      <c r="E138" s="0" t="s">
        <v>3546</v>
      </c>
      <c r="F138" s="0" t="s">
        <v>3228</v>
      </c>
      <c r="G138" s="0" t="s">
        <v>3547</v>
      </c>
    </row>
    <row customHeight="1" ht="11.25">
      <c r="A139" s="657" t="s">
        <v>16</v>
      </c>
      <c r="B139" s="0" t="s">
        <v>3524</v>
      </c>
      <c r="C139" s="0" t="s">
        <v>3525</v>
      </c>
      <c r="D139" s="0" t="s">
        <v>3548</v>
      </c>
      <c r="E139" s="0" t="s">
        <v>3549</v>
      </c>
      <c r="F139" s="0" t="s">
        <v>3212</v>
      </c>
      <c r="G139" s="0" t="s">
        <v>3550</v>
      </c>
    </row>
    <row customHeight="1" ht="11.25">
      <c r="A140" s="657" t="s">
        <v>16</v>
      </c>
      <c r="B140" s="0" t="s">
        <v>132</v>
      </c>
      <c r="C140" s="0" t="s">
        <v>3551</v>
      </c>
      <c r="D140" s="0" t="s">
        <v>3552</v>
      </c>
      <c r="E140" s="0" t="s">
        <v>3553</v>
      </c>
      <c r="F140" s="0" t="s">
        <v>3212</v>
      </c>
      <c r="G140" s="0" t="s">
        <v>3554</v>
      </c>
    </row>
    <row customHeight="1" ht="11.25">
      <c r="A141" s="657" t="s">
        <v>16</v>
      </c>
      <c r="B141" s="0" t="s">
        <v>132</v>
      </c>
      <c r="C141" s="0" t="s">
        <v>3551</v>
      </c>
      <c r="D141" s="0" t="s">
        <v>3555</v>
      </c>
      <c r="E141" s="0" t="s">
        <v>3556</v>
      </c>
      <c r="F141" s="0" t="s">
        <v>3215</v>
      </c>
      <c r="G141" s="0" t="s">
        <v>3557</v>
      </c>
    </row>
    <row customHeight="1" ht="11.25">
      <c r="A142" s="657" t="s">
        <v>16</v>
      </c>
      <c r="B142" s="0" t="s">
        <v>132</v>
      </c>
      <c r="C142" s="0" t="s">
        <v>3551</v>
      </c>
      <c r="D142" s="0" t="s">
        <v>3558</v>
      </c>
      <c r="E142" s="0" t="s">
        <v>3559</v>
      </c>
      <c r="F142" s="0" t="s">
        <v>3239</v>
      </c>
      <c r="G142" s="0" t="s">
        <v>3560</v>
      </c>
    </row>
    <row customHeight="1" ht="11.25">
      <c r="A143" s="657" t="s">
        <v>16</v>
      </c>
      <c r="B143" s="0" t="s">
        <v>132</v>
      </c>
      <c r="C143" s="0" t="s">
        <v>3551</v>
      </c>
      <c r="D143" s="0" t="s">
        <v>3561</v>
      </c>
      <c r="E143" s="0" t="s">
        <v>3562</v>
      </c>
      <c r="F143" s="0" t="s">
        <v>3228</v>
      </c>
      <c r="G143" s="0" t="s">
        <v>3563</v>
      </c>
    </row>
    <row customHeight="1" ht="11.25">
      <c r="A144" s="657" t="s">
        <v>16</v>
      </c>
      <c r="B144" s="0" t="s">
        <v>132</v>
      </c>
      <c r="C144" s="0" t="s">
        <v>3551</v>
      </c>
      <c r="D144" s="0" t="s">
        <v>3564</v>
      </c>
      <c r="E144" s="0" t="s">
        <v>3565</v>
      </c>
      <c r="F144" s="0" t="s">
        <v>3228</v>
      </c>
      <c r="G144" s="0" t="s">
        <v>3566</v>
      </c>
    </row>
    <row customHeight="1" ht="11.25">
      <c r="A145" s="657" t="s">
        <v>16</v>
      </c>
      <c r="B145" s="0" t="s">
        <v>132</v>
      </c>
      <c r="C145" s="0" t="s">
        <v>3551</v>
      </c>
      <c r="D145" s="0" t="s">
        <v>133</v>
      </c>
      <c r="E145" s="0" t="s">
        <v>134</v>
      </c>
      <c r="F145" s="0" t="s">
        <v>3228</v>
      </c>
      <c r="G145" s="0" t="s">
        <v>131</v>
      </c>
    </row>
    <row customHeight="1" ht="11.25">
      <c r="A146" s="657" t="s">
        <v>16</v>
      </c>
      <c r="B146" s="0" t="s">
        <v>132</v>
      </c>
      <c r="C146" s="0" t="s">
        <v>3551</v>
      </c>
      <c r="D146" s="0" t="s">
        <v>132</v>
      </c>
      <c r="E146" s="0" t="s">
        <v>3551</v>
      </c>
      <c r="F146" s="0" t="s">
        <v>3209</v>
      </c>
      <c r="G146" s="0" t="s">
        <v>3567</v>
      </c>
    </row>
    <row customHeight="1" ht="11.25">
      <c r="A147" s="657" t="s">
        <v>16</v>
      </c>
      <c r="B147" s="0" t="s">
        <v>3568</v>
      </c>
      <c r="C147" s="0" t="s">
        <v>3569</v>
      </c>
      <c r="D147" s="0" t="s">
        <v>3570</v>
      </c>
      <c r="E147" s="0" t="s">
        <v>3571</v>
      </c>
      <c r="F147" s="0" t="s">
        <v>3212</v>
      </c>
      <c r="G147" s="0" t="s">
        <v>3572</v>
      </c>
    </row>
    <row customHeight="1" ht="11.25">
      <c r="A148" s="657" t="s">
        <v>16</v>
      </c>
      <c r="B148" s="0" t="s">
        <v>3568</v>
      </c>
      <c r="C148" s="0" t="s">
        <v>3569</v>
      </c>
      <c r="D148" s="0" t="s">
        <v>3573</v>
      </c>
      <c r="E148" s="0" t="s">
        <v>3574</v>
      </c>
      <c r="F148" s="0" t="s">
        <v>3212</v>
      </c>
      <c r="G148" s="0" t="s">
        <v>3575</v>
      </c>
    </row>
    <row customHeight="1" ht="11.25">
      <c r="A149" s="657" t="s">
        <v>16</v>
      </c>
      <c r="B149" s="0" t="s">
        <v>3568</v>
      </c>
      <c r="C149" s="0" t="s">
        <v>3569</v>
      </c>
      <c r="D149" s="0" t="s">
        <v>3576</v>
      </c>
      <c r="E149" s="0" t="s">
        <v>3577</v>
      </c>
      <c r="F149" s="0" t="s">
        <v>3212</v>
      </c>
      <c r="G149" s="0" t="s">
        <v>3578</v>
      </c>
    </row>
    <row customHeight="1" ht="11.25">
      <c r="A150" s="657" t="s">
        <v>16</v>
      </c>
      <c r="B150" s="0" t="s">
        <v>3568</v>
      </c>
      <c r="C150" s="0" t="s">
        <v>3569</v>
      </c>
      <c r="D150" s="0" t="s">
        <v>3579</v>
      </c>
      <c r="E150" s="0" t="s">
        <v>3580</v>
      </c>
      <c r="F150" s="0" t="s">
        <v>3212</v>
      </c>
      <c r="G150" s="0" t="s">
        <v>3581</v>
      </c>
    </row>
    <row customHeight="1" ht="11.25">
      <c r="A151" s="657" t="s">
        <v>16</v>
      </c>
      <c r="B151" s="0" t="s">
        <v>3568</v>
      </c>
      <c r="C151" s="0" t="s">
        <v>3569</v>
      </c>
      <c r="D151" s="0" t="s">
        <v>3582</v>
      </c>
      <c r="E151" s="0" t="s">
        <v>3583</v>
      </c>
      <c r="F151" s="0" t="s">
        <v>3212</v>
      </c>
      <c r="G151" s="0" t="s">
        <v>3584</v>
      </c>
    </row>
    <row customHeight="1" ht="11.25">
      <c r="A152" s="657" t="s">
        <v>16</v>
      </c>
      <c r="B152" s="0" t="s">
        <v>3568</v>
      </c>
      <c r="C152" s="0" t="s">
        <v>3569</v>
      </c>
      <c r="D152" s="0" t="s">
        <v>3585</v>
      </c>
      <c r="E152" s="0" t="s">
        <v>3586</v>
      </c>
      <c r="F152" s="0" t="s">
        <v>3212</v>
      </c>
      <c r="G152" s="0" t="s">
        <v>3587</v>
      </c>
    </row>
    <row customHeight="1" ht="11.25">
      <c r="A153" s="657" t="s">
        <v>16</v>
      </c>
      <c r="B153" s="0" t="s">
        <v>3568</v>
      </c>
      <c r="C153" s="0" t="s">
        <v>3569</v>
      </c>
      <c r="D153" s="0" t="s">
        <v>3588</v>
      </c>
      <c r="E153" s="0" t="s">
        <v>3589</v>
      </c>
      <c r="F153" s="0" t="s">
        <v>3212</v>
      </c>
      <c r="G153" s="0" t="s">
        <v>3590</v>
      </c>
    </row>
    <row customHeight="1" ht="11.25">
      <c r="A154" s="657" t="s">
        <v>16</v>
      </c>
      <c r="B154" s="0" t="s">
        <v>3568</v>
      </c>
      <c r="C154" s="0" t="s">
        <v>3569</v>
      </c>
      <c r="D154" s="0" t="s">
        <v>3591</v>
      </c>
      <c r="E154" s="0" t="s">
        <v>3592</v>
      </c>
      <c r="F154" s="0" t="s">
        <v>3228</v>
      </c>
      <c r="G154" s="0" t="s">
        <v>3593</v>
      </c>
    </row>
    <row customHeight="1" ht="11.25">
      <c r="A155" s="657" t="s">
        <v>16</v>
      </c>
      <c r="B155" s="0" t="s">
        <v>3568</v>
      </c>
      <c r="C155" s="0" t="s">
        <v>3569</v>
      </c>
      <c r="D155" s="0" t="s">
        <v>3568</v>
      </c>
      <c r="E155" s="0" t="s">
        <v>3569</v>
      </c>
      <c r="F155" s="0" t="s">
        <v>3209</v>
      </c>
      <c r="G155" s="0" t="s">
        <v>3594</v>
      </c>
    </row>
    <row customHeight="1" ht="11.25">
      <c r="A156" s="657" t="s">
        <v>16</v>
      </c>
      <c r="B156" s="0" t="s">
        <v>3568</v>
      </c>
      <c r="C156" s="0" t="s">
        <v>3569</v>
      </c>
      <c r="D156" s="0" t="s">
        <v>3595</v>
      </c>
      <c r="E156" s="0" t="s">
        <v>3596</v>
      </c>
      <c r="F156" s="0" t="s">
        <v>3212</v>
      </c>
      <c r="G156" s="0" t="s">
        <v>3597</v>
      </c>
    </row>
    <row customHeight="1" ht="11.25">
      <c r="A157" s="657" t="s">
        <v>16</v>
      </c>
      <c r="B157" s="0" t="s">
        <v>3568</v>
      </c>
      <c r="C157" s="0" t="s">
        <v>3569</v>
      </c>
      <c r="D157" s="0" t="s">
        <v>3598</v>
      </c>
      <c r="E157" s="0" t="s">
        <v>3599</v>
      </c>
      <c r="F157" s="0" t="s">
        <v>3212</v>
      </c>
      <c r="G157" s="0" t="s">
        <v>3600</v>
      </c>
    </row>
    <row customHeight="1" ht="11.25">
      <c r="A158" s="657" t="s">
        <v>16</v>
      </c>
      <c r="B158" s="0" t="s">
        <v>3568</v>
      </c>
      <c r="C158" s="0" t="s">
        <v>3569</v>
      </c>
      <c r="D158" s="0" t="s">
        <v>3601</v>
      </c>
      <c r="E158" s="0" t="s">
        <v>3602</v>
      </c>
      <c r="F158" s="0" t="s">
        <v>3212</v>
      </c>
      <c r="G158" s="0" t="s">
        <v>3603</v>
      </c>
    </row>
    <row customHeight="1" ht="11.25">
      <c r="A159" s="657" t="s">
        <v>16</v>
      </c>
      <c r="B159" s="0" t="s">
        <v>3604</v>
      </c>
      <c r="C159" s="0" t="s">
        <v>3605</v>
      </c>
      <c r="D159" s="0" t="s">
        <v>3606</v>
      </c>
      <c r="E159" s="0" t="s">
        <v>3607</v>
      </c>
      <c r="F159" s="0" t="s">
        <v>3212</v>
      </c>
      <c r="G159" s="0" t="s">
        <v>3608</v>
      </c>
    </row>
    <row customHeight="1" ht="11.25">
      <c r="A160" s="657" t="s">
        <v>16</v>
      </c>
      <c r="B160" s="0" t="s">
        <v>3604</v>
      </c>
      <c r="C160" s="0" t="s">
        <v>3605</v>
      </c>
      <c r="D160" s="0" t="s">
        <v>3609</v>
      </c>
      <c r="E160" s="0" t="s">
        <v>3610</v>
      </c>
      <c r="F160" s="0" t="s">
        <v>3239</v>
      </c>
      <c r="G160" s="0" t="s">
        <v>3611</v>
      </c>
    </row>
    <row customHeight="1" ht="11.25">
      <c r="A161" s="657" t="s">
        <v>16</v>
      </c>
      <c r="B161" s="0" t="s">
        <v>3604</v>
      </c>
      <c r="C161" s="0" t="s">
        <v>3605</v>
      </c>
      <c r="D161" s="0" t="s">
        <v>3612</v>
      </c>
      <c r="E161" s="0" t="s">
        <v>3613</v>
      </c>
      <c r="F161" s="0" t="s">
        <v>3212</v>
      </c>
      <c r="G161" s="0" t="s">
        <v>3614</v>
      </c>
    </row>
    <row customHeight="1" ht="11.25">
      <c r="A162" s="657" t="s">
        <v>16</v>
      </c>
      <c r="B162" s="0" t="s">
        <v>3604</v>
      </c>
      <c r="C162" s="0" t="s">
        <v>3605</v>
      </c>
      <c r="D162" s="0" t="s">
        <v>3604</v>
      </c>
      <c r="E162" s="0" t="s">
        <v>3605</v>
      </c>
      <c r="F162" s="0" t="s">
        <v>3209</v>
      </c>
      <c r="G162" s="0" t="s">
        <v>3615</v>
      </c>
    </row>
    <row customHeight="1" ht="11.25">
      <c r="A163" s="657" t="s">
        <v>16</v>
      </c>
      <c r="B163" s="0" t="s">
        <v>3604</v>
      </c>
      <c r="C163" s="0" t="s">
        <v>3605</v>
      </c>
      <c r="D163" s="0" t="s">
        <v>3616</v>
      </c>
      <c r="E163" s="0" t="s">
        <v>3617</v>
      </c>
      <c r="F163" s="0" t="s">
        <v>3212</v>
      </c>
      <c r="G163" s="0" t="s">
        <v>3618</v>
      </c>
    </row>
    <row customHeight="1" ht="11.25">
      <c r="A164" s="657" t="s">
        <v>16</v>
      </c>
      <c r="B164" s="0" t="s">
        <v>3604</v>
      </c>
      <c r="C164" s="0" t="s">
        <v>3605</v>
      </c>
      <c r="D164" s="0" t="s">
        <v>3619</v>
      </c>
      <c r="E164" s="0" t="s">
        <v>3620</v>
      </c>
      <c r="F164" s="0" t="s">
        <v>3212</v>
      </c>
      <c r="G164" s="0" t="s">
        <v>3621</v>
      </c>
    </row>
    <row customHeight="1" ht="11.25">
      <c r="A165" s="657" t="s">
        <v>16</v>
      </c>
      <c r="B165" s="0" t="s">
        <v>3604</v>
      </c>
      <c r="C165" s="0" t="s">
        <v>3605</v>
      </c>
      <c r="D165" s="0" t="s">
        <v>3622</v>
      </c>
      <c r="E165" s="0" t="s">
        <v>3623</v>
      </c>
      <c r="F165" s="0" t="s">
        <v>3212</v>
      </c>
      <c r="G165" s="0" t="s">
        <v>3624</v>
      </c>
    </row>
    <row customHeight="1" ht="11.25">
      <c r="A166" s="657" t="s">
        <v>16</v>
      </c>
      <c r="B166" s="0" t="s">
        <v>3625</v>
      </c>
      <c r="C166" s="0" t="s">
        <v>3626</v>
      </c>
      <c r="D166" s="0" t="s">
        <v>3627</v>
      </c>
      <c r="E166" s="0" t="s">
        <v>3628</v>
      </c>
      <c r="F166" s="0" t="s">
        <v>3212</v>
      </c>
      <c r="G166" s="0" t="s">
        <v>3629</v>
      </c>
    </row>
    <row customHeight="1" ht="11.25">
      <c r="A167" s="657" t="s">
        <v>16</v>
      </c>
      <c r="B167" s="0" t="s">
        <v>3625</v>
      </c>
      <c r="C167" s="0" t="s">
        <v>3626</v>
      </c>
      <c r="D167" s="0" t="s">
        <v>3630</v>
      </c>
      <c r="E167" s="0" t="s">
        <v>3631</v>
      </c>
      <c r="F167" s="0" t="s">
        <v>3212</v>
      </c>
      <c r="G167" s="0" t="s">
        <v>3632</v>
      </c>
    </row>
    <row customHeight="1" ht="11.25">
      <c r="A168" s="657" t="s">
        <v>16</v>
      </c>
      <c r="B168" s="0" t="s">
        <v>3625</v>
      </c>
      <c r="C168" s="0" t="s">
        <v>3626</v>
      </c>
      <c r="D168" s="0" t="s">
        <v>3633</v>
      </c>
      <c r="E168" s="0" t="s">
        <v>3634</v>
      </c>
      <c r="F168" s="0" t="s">
        <v>3212</v>
      </c>
      <c r="G168" s="0" t="s">
        <v>3635</v>
      </c>
    </row>
    <row customHeight="1" ht="11.25">
      <c r="A169" s="657" t="s">
        <v>16</v>
      </c>
      <c r="B169" s="0" t="s">
        <v>3625</v>
      </c>
      <c r="C169" s="0" t="s">
        <v>3626</v>
      </c>
      <c r="D169" s="0" t="s">
        <v>3636</v>
      </c>
      <c r="E169" s="0" t="s">
        <v>3637</v>
      </c>
      <c r="F169" s="0" t="s">
        <v>3212</v>
      </c>
      <c r="G169" s="0" t="s">
        <v>3638</v>
      </c>
    </row>
    <row customHeight="1" ht="11.25">
      <c r="A170" s="657" t="s">
        <v>16</v>
      </c>
      <c r="B170" s="0" t="s">
        <v>3625</v>
      </c>
      <c r="C170" s="0" t="s">
        <v>3626</v>
      </c>
      <c r="D170" s="0" t="s">
        <v>3639</v>
      </c>
      <c r="E170" s="0" t="s">
        <v>3640</v>
      </c>
      <c r="F170" s="0" t="s">
        <v>3212</v>
      </c>
      <c r="G170" s="0" t="s">
        <v>3641</v>
      </c>
    </row>
    <row customHeight="1" ht="11.25">
      <c r="A171" s="657" t="s">
        <v>16</v>
      </c>
      <c r="B171" s="0" t="s">
        <v>3625</v>
      </c>
      <c r="C171" s="0" t="s">
        <v>3626</v>
      </c>
      <c r="D171" s="0" t="s">
        <v>3642</v>
      </c>
      <c r="E171" s="0" t="s">
        <v>3643</v>
      </c>
      <c r="F171" s="0" t="s">
        <v>3212</v>
      </c>
      <c r="G171" s="0" t="s">
        <v>3644</v>
      </c>
    </row>
    <row customHeight="1" ht="11.25">
      <c r="A172" s="657" t="s">
        <v>16</v>
      </c>
      <c r="B172" s="0" t="s">
        <v>3625</v>
      </c>
      <c r="C172" s="0" t="s">
        <v>3626</v>
      </c>
      <c r="D172" s="0" t="s">
        <v>3645</v>
      </c>
      <c r="E172" s="0" t="s">
        <v>3646</v>
      </c>
      <c r="F172" s="0" t="s">
        <v>3212</v>
      </c>
      <c r="G172" s="0" t="s">
        <v>3647</v>
      </c>
    </row>
    <row customHeight="1" ht="11.25">
      <c r="A173" s="657" t="s">
        <v>16</v>
      </c>
      <c r="B173" s="0" t="s">
        <v>3625</v>
      </c>
      <c r="C173" s="0" t="s">
        <v>3626</v>
      </c>
      <c r="D173" s="0" t="s">
        <v>3648</v>
      </c>
      <c r="E173" s="0" t="s">
        <v>3649</v>
      </c>
      <c r="F173" s="0" t="s">
        <v>3212</v>
      </c>
      <c r="G173" s="0" t="s">
        <v>3650</v>
      </c>
    </row>
    <row customHeight="1" ht="11.25">
      <c r="A174" s="657" t="s">
        <v>16</v>
      </c>
      <c r="B174" s="0" t="s">
        <v>3625</v>
      </c>
      <c r="C174" s="0" t="s">
        <v>3626</v>
      </c>
      <c r="D174" s="0" t="s">
        <v>3651</v>
      </c>
      <c r="E174" s="0" t="s">
        <v>3652</v>
      </c>
      <c r="F174" s="0" t="s">
        <v>3212</v>
      </c>
      <c r="G174" s="0" t="s">
        <v>3653</v>
      </c>
    </row>
    <row customHeight="1" ht="11.25">
      <c r="A175" s="657" t="s">
        <v>16</v>
      </c>
      <c r="B175" s="0" t="s">
        <v>3625</v>
      </c>
      <c r="C175" s="0" t="s">
        <v>3626</v>
      </c>
      <c r="D175" s="0" t="s">
        <v>3654</v>
      </c>
      <c r="E175" s="0" t="s">
        <v>3655</v>
      </c>
      <c r="F175" s="0" t="s">
        <v>3212</v>
      </c>
      <c r="G175" s="0" t="s">
        <v>3656</v>
      </c>
    </row>
    <row customHeight="1" ht="11.25">
      <c r="A176" s="657" t="s">
        <v>16</v>
      </c>
      <c r="B176" s="0" t="s">
        <v>3625</v>
      </c>
      <c r="C176" s="0" t="s">
        <v>3626</v>
      </c>
      <c r="D176" s="0" t="s">
        <v>3657</v>
      </c>
      <c r="E176" s="0" t="s">
        <v>3658</v>
      </c>
      <c r="F176" s="0" t="s">
        <v>3212</v>
      </c>
      <c r="G176" s="0" t="s">
        <v>3659</v>
      </c>
    </row>
    <row customHeight="1" ht="11.25">
      <c r="A177" s="657" t="s">
        <v>16</v>
      </c>
      <c r="B177" s="0" t="s">
        <v>3625</v>
      </c>
      <c r="C177" s="0" t="s">
        <v>3626</v>
      </c>
      <c r="D177" s="0" t="s">
        <v>3660</v>
      </c>
      <c r="E177" s="0" t="s">
        <v>3661</v>
      </c>
      <c r="F177" s="0" t="s">
        <v>3212</v>
      </c>
      <c r="G177" s="0" t="s">
        <v>3662</v>
      </c>
    </row>
    <row customHeight="1" ht="11.25">
      <c r="A178" s="657" t="s">
        <v>16</v>
      </c>
      <c r="B178" s="0" t="s">
        <v>3625</v>
      </c>
      <c r="C178" s="0" t="s">
        <v>3626</v>
      </c>
      <c r="D178" s="0" t="s">
        <v>3663</v>
      </c>
      <c r="E178" s="0" t="s">
        <v>3664</v>
      </c>
      <c r="F178" s="0" t="s">
        <v>3212</v>
      </c>
      <c r="G178" s="0" t="s">
        <v>3665</v>
      </c>
    </row>
    <row customHeight="1" ht="11.25">
      <c r="A179" s="657" t="s">
        <v>16</v>
      </c>
      <c r="B179" s="0" t="s">
        <v>3625</v>
      </c>
      <c r="C179" s="0" t="s">
        <v>3626</v>
      </c>
      <c r="D179" s="0" t="s">
        <v>3666</v>
      </c>
      <c r="E179" s="0" t="s">
        <v>3667</v>
      </c>
      <c r="F179" s="0" t="s">
        <v>3212</v>
      </c>
      <c r="G179" s="0" t="s">
        <v>3668</v>
      </c>
    </row>
    <row customHeight="1" ht="11.25">
      <c r="A180" s="657" t="s">
        <v>16</v>
      </c>
      <c r="B180" s="0" t="s">
        <v>3625</v>
      </c>
      <c r="C180" s="0" t="s">
        <v>3626</v>
      </c>
      <c r="D180" s="0" t="s">
        <v>3669</v>
      </c>
      <c r="E180" s="0" t="s">
        <v>3670</v>
      </c>
      <c r="F180" s="0" t="s">
        <v>3212</v>
      </c>
      <c r="G180" s="0" t="s">
        <v>3671</v>
      </c>
    </row>
    <row customHeight="1" ht="11.25">
      <c r="A181" s="657" t="s">
        <v>16</v>
      </c>
      <c r="B181" s="0" t="s">
        <v>3625</v>
      </c>
      <c r="C181" s="0" t="s">
        <v>3626</v>
      </c>
      <c r="D181" s="0" t="s">
        <v>3672</v>
      </c>
      <c r="E181" s="0" t="s">
        <v>3673</v>
      </c>
      <c r="F181" s="0" t="s">
        <v>3212</v>
      </c>
      <c r="G181" s="0" t="s">
        <v>3674</v>
      </c>
    </row>
    <row customHeight="1" ht="11.25">
      <c r="A182" s="657" t="s">
        <v>16</v>
      </c>
      <c r="B182" s="0" t="s">
        <v>3625</v>
      </c>
      <c r="C182" s="0" t="s">
        <v>3626</v>
      </c>
      <c r="D182" s="0" t="s">
        <v>3625</v>
      </c>
      <c r="E182" s="0" t="s">
        <v>3626</v>
      </c>
      <c r="F182" s="0" t="s">
        <v>3209</v>
      </c>
      <c r="G182" s="0" t="s">
        <v>3675</v>
      </c>
    </row>
    <row customHeight="1" ht="11.25">
      <c r="A183" s="657" t="s">
        <v>16</v>
      </c>
      <c r="B183" s="0" t="s">
        <v>3625</v>
      </c>
      <c r="C183" s="0" t="s">
        <v>3626</v>
      </c>
      <c r="D183" s="0" t="s">
        <v>3676</v>
      </c>
      <c r="E183" s="0" t="s">
        <v>3677</v>
      </c>
      <c r="F183" s="0" t="s">
        <v>3212</v>
      </c>
      <c r="G183" s="0" t="s">
        <v>3678</v>
      </c>
    </row>
    <row customHeight="1" ht="11.25">
      <c r="A184" s="657" t="s">
        <v>16</v>
      </c>
      <c r="B184" s="0" t="s">
        <v>3625</v>
      </c>
      <c r="C184" s="0" t="s">
        <v>3626</v>
      </c>
      <c r="D184" s="0" t="s">
        <v>3679</v>
      </c>
      <c r="E184" s="0" t="s">
        <v>3680</v>
      </c>
      <c r="F184" s="0" t="s">
        <v>3212</v>
      </c>
      <c r="G184" s="0" t="s">
        <v>3681</v>
      </c>
    </row>
    <row customHeight="1" ht="11.25">
      <c r="A185" s="657" t="s">
        <v>16</v>
      </c>
      <c r="B185" s="0" t="s">
        <v>108</v>
      </c>
      <c r="C185" s="0" t="s">
        <v>109</v>
      </c>
      <c r="D185" s="0" t="s">
        <v>3682</v>
      </c>
      <c r="E185" s="0" t="s">
        <v>3683</v>
      </c>
      <c r="F185" s="0" t="s">
        <v>3212</v>
      </c>
      <c r="G185" s="0" t="s">
        <v>3684</v>
      </c>
    </row>
    <row customHeight="1" ht="11.25">
      <c r="A186" s="657" t="s">
        <v>16</v>
      </c>
      <c r="B186" s="0" t="s">
        <v>108</v>
      </c>
      <c r="C186" s="0" t="s">
        <v>109</v>
      </c>
      <c r="D186" s="0" t="s">
        <v>3685</v>
      </c>
      <c r="E186" s="0" t="s">
        <v>3686</v>
      </c>
      <c r="F186" s="0" t="s">
        <v>3212</v>
      </c>
      <c r="G186" s="0" t="s">
        <v>3687</v>
      </c>
    </row>
    <row customHeight="1" ht="11.25">
      <c r="A187" s="657" t="s">
        <v>16</v>
      </c>
      <c r="B187" s="0" t="s">
        <v>108</v>
      </c>
      <c r="C187" s="0" t="s">
        <v>109</v>
      </c>
      <c r="D187" s="0" t="s">
        <v>3688</v>
      </c>
      <c r="E187" s="0" t="s">
        <v>3689</v>
      </c>
      <c r="F187" s="0" t="s">
        <v>3212</v>
      </c>
      <c r="G187" s="0" t="s">
        <v>3690</v>
      </c>
    </row>
    <row customHeight="1" ht="11.25">
      <c r="A188" s="657" t="s">
        <v>16</v>
      </c>
      <c r="B188" s="0" t="s">
        <v>108</v>
      </c>
      <c r="C188" s="0" t="s">
        <v>109</v>
      </c>
      <c r="D188" s="0" t="s">
        <v>3691</v>
      </c>
      <c r="E188" s="0" t="s">
        <v>3692</v>
      </c>
      <c r="F188" s="0" t="s">
        <v>3212</v>
      </c>
      <c r="G188" s="0" t="s">
        <v>3693</v>
      </c>
    </row>
    <row customHeight="1" ht="11.25">
      <c r="A189" s="657" t="s">
        <v>16</v>
      </c>
      <c r="B189" s="0" t="s">
        <v>108</v>
      </c>
      <c r="C189" s="0" t="s">
        <v>109</v>
      </c>
      <c r="D189" s="0" t="s">
        <v>3694</v>
      </c>
      <c r="E189" s="0" t="s">
        <v>3695</v>
      </c>
      <c r="F189" s="0" t="s">
        <v>3212</v>
      </c>
      <c r="G189" s="0" t="s">
        <v>3696</v>
      </c>
    </row>
    <row customHeight="1" ht="11.25">
      <c r="A190" s="657" t="s">
        <v>16</v>
      </c>
      <c r="B190" s="0" t="s">
        <v>108</v>
      </c>
      <c r="C190" s="0" t="s">
        <v>109</v>
      </c>
      <c r="D190" s="0" t="s">
        <v>3697</v>
      </c>
      <c r="E190" s="0" t="s">
        <v>3698</v>
      </c>
      <c r="F190" s="0" t="s">
        <v>3212</v>
      </c>
      <c r="G190" s="0" t="s">
        <v>3699</v>
      </c>
    </row>
    <row customHeight="1" ht="11.25">
      <c r="A191" s="657" t="s">
        <v>16</v>
      </c>
      <c r="B191" s="0" t="s">
        <v>108</v>
      </c>
      <c r="C191" s="0" t="s">
        <v>109</v>
      </c>
      <c r="D191" s="0" t="s">
        <v>3700</v>
      </c>
      <c r="E191" s="0" t="s">
        <v>3701</v>
      </c>
      <c r="F191" s="0" t="s">
        <v>3212</v>
      </c>
      <c r="G191" s="0" t="s">
        <v>3702</v>
      </c>
    </row>
    <row customHeight="1" ht="11.25">
      <c r="A192" s="657" t="s">
        <v>16</v>
      </c>
      <c r="B192" s="0" t="s">
        <v>108</v>
      </c>
      <c r="C192" s="0" t="s">
        <v>109</v>
      </c>
      <c r="D192" s="0" t="s">
        <v>3703</v>
      </c>
      <c r="E192" s="0" t="s">
        <v>3704</v>
      </c>
      <c r="F192" s="0" t="s">
        <v>3212</v>
      </c>
      <c r="G192" s="0" t="s">
        <v>3705</v>
      </c>
    </row>
    <row customHeight="1" ht="11.25">
      <c r="A193" s="657" t="s">
        <v>16</v>
      </c>
      <c r="B193" s="0" t="s">
        <v>108</v>
      </c>
      <c r="C193" s="0" t="s">
        <v>109</v>
      </c>
      <c r="D193" s="0" t="s">
        <v>3706</v>
      </c>
      <c r="E193" s="0" t="s">
        <v>3707</v>
      </c>
      <c r="F193" s="0" t="s">
        <v>3212</v>
      </c>
      <c r="G193" s="0" t="s">
        <v>3708</v>
      </c>
    </row>
    <row customHeight="1" ht="11.25">
      <c r="A194" s="657" t="s">
        <v>16</v>
      </c>
      <c r="B194" s="0" t="s">
        <v>108</v>
      </c>
      <c r="C194" s="0" t="s">
        <v>109</v>
      </c>
      <c r="D194" s="0" t="s">
        <v>3709</v>
      </c>
      <c r="E194" s="0" t="s">
        <v>3710</v>
      </c>
      <c r="F194" s="0" t="s">
        <v>3212</v>
      </c>
      <c r="G194" s="0" t="s">
        <v>3711</v>
      </c>
    </row>
    <row customHeight="1" ht="11.25">
      <c r="A195" s="657" t="s">
        <v>16</v>
      </c>
      <c r="B195" s="0" t="s">
        <v>108</v>
      </c>
      <c r="C195" s="0" t="s">
        <v>109</v>
      </c>
      <c r="D195" s="0" t="s">
        <v>3712</v>
      </c>
      <c r="E195" s="0" t="s">
        <v>3713</v>
      </c>
      <c r="F195" s="0" t="s">
        <v>3212</v>
      </c>
      <c r="G195" s="0" t="s">
        <v>3714</v>
      </c>
    </row>
    <row customHeight="1" ht="11.25">
      <c r="A196" s="657" t="s">
        <v>16</v>
      </c>
      <c r="B196" s="0" t="s">
        <v>108</v>
      </c>
      <c r="C196" s="0" t="s">
        <v>109</v>
      </c>
      <c r="D196" s="0" t="s">
        <v>3715</v>
      </c>
      <c r="E196" s="0" t="s">
        <v>3716</v>
      </c>
      <c r="F196" s="0" t="s">
        <v>3212</v>
      </c>
      <c r="G196" s="0" t="s">
        <v>3717</v>
      </c>
    </row>
    <row customHeight="1" ht="11.25">
      <c r="A197" s="657" t="s">
        <v>16</v>
      </c>
      <c r="B197" s="0" t="s">
        <v>108</v>
      </c>
      <c r="C197" s="0" t="s">
        <v>109</v>
      </c>
      <c r="D197" s="0" t="s">
        <v>3718</v>
      </c>
      <c r="E197" s="0" t="s">
        <v>3719</v>
      </c>
      <c r="F197" s="0" t="s">
        <v>3212</v>
      </c>
      <c r="G197" s="0" t="s">
        <v>3720</v>
      </c>
    </row>
    <row customHeight="1" ht="11.25">
      <c r="A198" s="657" t="s">
        <v>16</v>
      </c>
      <c r="B198" s="0" t="s">
        <v>108</v>
      </c>
      <c r="C198" s="0" t="s">
        <v>109</v>
      </c>
      <c r="D198" s="0" t="s">
        <v>3721</v>
      </c>
      <c r="E198" s="0" t="s">
        <v>3722</v>
      </c>
      <c r="F198" s="0" t="s">
        <v>3212</v>
      </c>
      <c r="G198" s="0" t="s">
        <v>3723</v>
      </c>
    </row>
    <row customHeight="1" ht="11.25">
      <c r="A199" s="657" t="s">
        <v>16</v>
      </c>
      <c r="B199" s="0" t="s">
        <v>108</v>
      </c>
      <c r="C199" s="0" t="s">
        <v>109</v>
      </c>
      <c r="D199" s="0" t="s">
        <v>3724</v>
      </c>
      <c r="E199" s="0" t="s">
        <v>3725</v>
      </c>
      <c r="F199" s="0" t="s">
        <v>3212</v>
      </c>
      <c r="G199" s="0" t="s">
        <v>3726</v>
      </c>
    </row>
    <row customHeight="1" ht="11.25">
      <c r="A200" s="657" t="s">
        <v>16</v>
      </c>
      <c r="B200" s="0" t="s">
        <v>108</v>
      </c>
      <c r="C200" s="0" t="s">
        <v>109</v>
      </c>
      <c r="D200" s="0" t="s">
        <v>3727</v>
      </c>
      <c r="E200" s="0" t="s">
        <v>3728</v>
      </c>
      <c r="F200" s="0" t="s">
        <v>3212</v>
      </c>
      <c r="G200" s="0" t="s">
        <v>3729</v>
      </c>
    </row>
    <row customHeight="1" ht="11.25">
      <c r="A201" s="657" t="s">
        <v>16</v>
      </c>
      <c r="B201" s="0" t="s">
        <v>108</v>
      </c>
      <c r="C201" s="0" t="s">
        <v>109</v>
      </c>
      <c r="D201" s="0" t="s">
        <v>3730</v>
      </c>
      <c r="E201" s="0" t="s">
        <v>3731</v>
      </c>
      <c r="F201" s="0" t="s">
        <v>3212</v>
      </c>
      <c r="G201" s="0" t="s">
        <v>3732</v>
      </c>
    </row>
    <row customHeight="1" ht="11.25">
      <c r="A202" s="657" t="s">
        <v>16</v>
      </c>
      <c r="B202" s="0" t="s">
        <v>108</v>
      </c>
      <c r="C202" s="0" t="s">
        <v>109</v>
      </c>
      <c r="D202" s="0" t="s">
        <v>3733</v>
      </c>
      <c r="E202" s="0" t="s">
        <v>3734</v>
      </c>
      <c r="F202" s="0" t="s">
        <v>3212</v>
      </c>
      <c r="G202" s="0" t="s">
        <v>3735</v>
      </c>
    </row>
    <row customHeight="1" ht="11.25">
      <c r="A203" s="657" t="s">
        <v>16</v>
      </c>
      <c r="B203" s="0" t="s">
        <v>108</v>
      </c>
      <c r="C203" s="0" t="s">
        <v>109</v>
      </c>
      <c r="D203" s="0" t="s">
        <v>3736</v>
      </c>
      <c r="E203" s="0" t="s">
        <v>3737</v>
      </c>
      <c r="F203" s="0" t="s">
        <v>3212</v>
      </c>
      <c r="G203" s="0" t="s">
        <v>3738</v>
      </c>
    </row>
    <row customHeight="1" ht="11.25">
      <c r="A204" s="657" t="s">
        <v>16</v>
      </c>
      <c r="B204" s="0" t="s">
        <v>108</v>
      </c>
      <c r="C204" s="0" t="s">
        <v>109</v>
      </c>
      <c r="D204" s="0" t="s">
        <v>3739</v>
      </c>
      <c r="E204" s="0" t="s">
        <v>3740</v>
      </c>
      <c r="F204" s="0" t="s">
        <v>3212</v>
      </c>
      <c r="G204" s="0" t="s">
        <v>3741</v>
      </c>
    </row>
    <row customHeight="1" ht="11.25">
      <c r="A205" s="657" t="s">
        <v>16</v>
      </c>
      <c r="B205" s="0" t="s">
        <v>108</v>
      </c>
      <c r="C205" s="0" t="s">
        <v>109</v>
      </c>
      <c r="D205" s="0" t="s">
        <v>3742</v>
      </c>
      <c r="E205" s="0" t="s">
        <v>3743</v>
      </c>
      <c r="F205" s="0" t="s">
        <v>3228</v>
      </c>
      <c r="G205" s="0" t="s">
        <v>3744</v>
      </c>
    </row>
    <row customHeight="1" ht="11.25">
      <c r="A206" s="657" t="s">
        <v>16</v>
      </c>
      <c r="B206" s="0" t="s">
        <v>108</v>
      </c>
      <c r="C206" s="0" t="s">
        <v>109</v>
      </c>
      <c r="D206" s="0" t="s">
        <v>3745</v>
      </c>
      <c r="E206" s="0" t="s">
        <v>3746</v>
      </c>
      <c r="F206" s="0" t="s">
        <v>3212</v>
      </c>
      <c r="G206" s="0" t="s">
        <v>3747</v>
      </c>
    </row>
    <row customHeight="1" ht="11.25">
      <c r="A207" s="657" t="s">
        <v>16</v>
      </c>
      <c r="B207" s="0" t="s">
        <v>108</v>
      </c>
      <c r="C207" s="0" t="s">
        <v>109</v>
      </c>
      <c r="D207" s="0" t="s">
        <v>3748</v>
      </c>
      <c r="E207" s="0" t="s">
        <v>3749</v>
      </c>
      <c r="F207" s="0" t="s">
        <v>3212</v>
      </c>
      <c r="G207" s="0" t="s">
        <v>3750</v>
      </c>
    </row>
    <row customHeight="1" ht="11.25">
      <c r="A208" s="657" t="s">
        <v>16</v>
      </c>
      <c r="B208" s="0" t="s">
        <v>108</v>
      </c>
      <c r="C208" s="0" t="s">
        <v>109</v>
      </c>
      <c r="D208" s="0" t="s">
        <v>3751</v>
      </c>
      <c r="E208" s="0" t="s">
        <v>3752</v>
      </c>
      <c r="F208" s="0" t="s">
        <v>3212</v>
      </c>
      <c r="G208" s="0" t="s">
        <v>3753</v>
      </c>
    </row>
    <row customHeight="1" ht="11.25">
      <c r="A209" s="657" t="s">
        <v>16</v>
      </c>
      <c r="B209" s="0" t="s">
        <v>108</v>
      </c>
      <c r="C209" s="0" t="s">
        <v>109</v>
      </c>
      <c r="D209" s="0" t="s">
        <v>3754</v>
      </c>
      <c r="E209" s="0" t="s">
        <v>3755</v>
      </c>
      <c r="F209" s="0" t="s">
        <v>3212</v>
      </c>
      <c r="G209" s="0" t="s">
        <v>3756</v>
      </c>
    </row>
    <row customHeight="1" ht="11.25">
      <c r="A210" s="657" t="s">
        <v>16</v>
      </c>
      <c r="B210" s="0" t="s">
        <v>108</v>
      </c>
      <c r="C210" s="0" t="s">
        <v>109</v>
      </c>
      <c r="D210" s="0" t="s">
        <v>3757</v>
      </c>
      <c r="E210" s="0" t="s">
        <v>3758</v>
      </c>
      <c r="F210" s="0" t="s">
        <v>3212</v>
      </c>
      <c r="G210" s="0" t="s">
        <v>3759</v>
      </c>
    </row>
    <row customHeight="1" ht="11.25">
      <c r="A211" s="657" t="s">
        <v>16</v>
      </c>
      <c r="B211" s="0" t="s">
        <v>108</v>
      </c>
      <c r="C211" s="0" t="s">
        <v>109</v>
      </c>
      <c r="D211" s="0" t="s">
        <v>108</v>
      </c>
      <c r="E211" s="0" t="s">
        <v>109</v>
      </c>
      <c r="F211" s="0" t="s">
        <v>3209</v>
      </c>
      <c r="G211" s="0" t="s">
        <v>107</v>
      </c>
    </row>
    <row customHeight="1" ht="11.25">
      <c r="A212" s="657" t="s">
        <v>16</v>
      </c>
      <c r="B212" s="0" t="s">
        <v>108</v>
      </c>
      <c r="C212" s="0" t="s">
        <v>109</v>
      </c>
      <c r="D212" s="0" t="s">
        <v>3760</v>
      </c>
      <c r="E212" s="0" t="s">
        <v>3761</v>
      </c>
      <c r="F212" s="0" t="s">
        <v>3212</v>
      </c>
      <c r="G212" s="0" t="s">
        <v>3762</v>
      </c>
    </row>
    <row customHeight="1" ht="11.25">
      <c r="A213" s="657" t="s">
        <v>16</v>
      </c>
      <c r="B213" s="0" t="s">
        <v>3763</v>
      </c>
      <c r="C213" s="0" t="s">
        <v>3764</v>
      </c>
      <c r="D213" s="0" t="s">
        <v>3765</v>
      </c>
      <c r="E213" s="0" t="s">
        <v>3766</v>
      </c>
      <c r="F213" s="0" t="s">
        <v>3212</v>
      </c>
      <c r="G213" s="0" t="s">
        <v>3767</v>
      </c>
    </row>
    <row customHeight="1" ht="11.25">
      <c r="A214" s="657" t="s">
        <v>16</v>
      </c>
      <c r="B214" s="0" t="s">
        <v>3763</v>
      </c>
      <c r="C214" s="0" t="s">
        <v>3764</v>
      </c>
      <c r="D214" s="0" t="s">
        <v>3768</v>
      </c>
      <c r="E214" s="0" t="s">
        <v>3769</v>
      </c>
      <c r="F214" s="0" t="s">
        <v>3212</v>
      </c>
      <c r="G214" s="0" t="s">
        <v>3770</v>
      </c>
    </row>
    <row customHeight="1" ht="11.25">
      <c r="A215" s="657" t="s">
        <v>16</v>
      </c>
      <c r="B215" s="0" t="s">
        <v>3763</v>
      </c>
      <c r="C215" s="0" t="s">
        <v>3764</v>
      </c>
      <c r="D215" s="0" t="s">
        <v>3771</v>
      </c>
      <c r="E215" s="0" t="s">
        <v>3772</v>
      </c>
      <c r="F215" s="0" t="s">
        <v>3212</v>
      </c>
      <c r="G215" s="0" t="s">
        <v>3773</v>
      </c>
    </row>
    <row customHeight="1" ht="11.25">
      <c r="A216" s="657" t="s">
        <v>16</v>
      </c>
      <c r="B216" s="0" t="s">
        <v>3763</v>
      </c>
      <c r="C216" s="0" t="s">
        <v>3764</v>
      </c>
      <c r="D216" s="0" t="s">
        <v>3774</v>
      </c>
      <c r="E216" s="0" t="s">
        <v>3775</v>
      </c>
      <c r="F216" s="0" t="s">
        <v>3212</v>
      </c>
      <c r="G216" s="0" t="s">
        <v>3776</v>
      </c>
    </row>
    <row customHeight="1" ht="11.25">
      <c r="A217" s="657" t="s">
        <v>16</v>
      </c>
      <c r="B217" s="0" t="s">
        <v>3763</v>
      </c>
      <c r="C217" s="0" t="s">
        <v>3764</v>
      </c>
      <c r="D217" s="0" t="s">
        <v>3777</v>
      </c>
      <c r="E217" s="0" t="s">
        <v>3778</v>
      </c>
      <c r="F217" s="0" t="s">
        <v>3212</v>
      </c>
      <c r="G217" s="0" t="s">
        <v>3779</v>
      </c>
    </row>
    <row customHeight="1" ht="11.25">
      <c r="A218" s="657" t="s">
        <v>16</v>
      </c>
      <c r="B218" s="0" t="s">
        <v>3763</v>
      </c>
      <c r="C218" s="0" t="s">
        <v>3764</v>
      </c>
      <c r="D218" s="0" t="s">
        <v>3780</v>
      </c>
      <c r="E218" s="0" t="s">
        <v>3781</v>
      </c>
      <c r="F218" s="0" t="s">
        <v>3212</v>
      </c>
      <c r="G218" s="0" t="s">
        <v>3782</v>
      </c>
    </row>
    <row customHeight="1" ht="11.25">
      <c r="A219" s="657" t="s">
        <v>16</v>
      </c>
      <c r="B219" s="0" t="s">
        <v>3763</v>
      </c>
      <c r="C219" s="0" t="s">
        <v>3764</v>
      </c>
      <c r="D219" s="0" t="s">
        <v>3783</v>
      </c>
      <c r="E219" s="0" t="s">
        <v>3784</v>
      </c>
      <c r="F219" s="0" t="s">
        <v>3212</v>
      </c>
      <c r="G219" s="0" t="s">
        <v>3785</v>
      </c>
    </row>
    <row customHeight="1" ht="11.25">
      <c r="A220" s="657" t="s">
        <v>16</v>
      </c>
      <c r="B220" s="0" t="s">
        <v>3763</v>
      </c>
      <c r="C220" s="0" t="s">
        <v>3764</v>
      </c>
      <c r="D220" s="0" t="s">
        <v>3786</v>
      </c>
      <c r="E220" s="0" t="s">
        <v>3787</v>
      </c>
      <c r="F220" s="0" t="s">
        <v>3212</v>
      </c>
      <c r="G220" s="0" t="s">
        <v>3788</v>
      </c>
    </row>
    <row customHeight="1" ht="11.25">
      <c r="A221" s="657" t="s">
        <v>16</v>
      </c>
      <c r="B221" s="0" t="s">
        <v>3763</v>
      </c>
      <c r="C221" s="0" t="s">
        <v>3764</v>
      </c>
      <c r="D221" s="0" t="s">
        <v>3789</v>
      </c>
      <c r="E221" s="0" t="s">
        <v>3790</v>
      </c>
      <c r="F221" s="0" t="s">
        <v>3212</v>
      </c>
      <c r="G221" s="0" t="s">
        <v>3791</v>
      </c>
    </row>
    <row customHeight="1" ht="11.25">
      <c r="A222" s="657" t="s">
        <v>16</v>
      </c>
      <c r="B222" s="0" t="s">
        <v>3763</v>
      </c>
      <c r="C222" s="0" t="s">
        <v>3764</v>
      </c>
      <c r="D222" s="0" t="s">
        <v>3792</v>
      </c>
      <c r="E222" s="0" t="s">
        <v>3793</v>
      </c>
      <c r="F222" s="0" t="s">
        <v>3212</v>
      </c>
      <c r="G222" s="0" t="s">
        <v>3794</v>
      </c>
    </row>
    <row customHeight="1" ht="11.25">
      <c r="A223" s="657" t="s">
        <v>16</v>
      </c>
      <c r="B223" s="0" t="s">
        <v>3763</v>
      </c>
      <c r="C223" s="0" t="s">
        <v>3764</v>
      </c>
      <c r="D223" s="0" t="s">
        <v>3795</v>
      </c>
      <c r="E223" s="0" t="s">
        <v>3796</v>
      </c>
      <c r="F223" s="0" t="s">
        <v>3212</v>
      </c>
      <c r="G223" s="0" t="s">
        <v>3797</v>
      </c>
    </row>
    <row customHeight="1" ht="11.25">
      <c r="A224" s="657" t="s">
        <v>16</v>
      </c>
      <c r="B224" s="0" t="s">
        <v>3763</v>
      </c>
      <c r="C224" s="0" t="s">
        <v>3764</v>
      </c>
      <c r="D224" s="0" t="s">
        <v>3798</v>
      </c>
      <c r="E224" s="0" t="s">
        <v>3799</v>
      </c>
      <c r="F224" s="0" t="s">
        <v>3212</v>
      </c>
      <c r="G224" s="0" t="s">
        <v>3800</v>
      </c>
    </row>
    <row customHeight="1" ht="11.25">
      <c r="A225" s="657" t="s">
        <v>16</v>
      </c>
      <c r="B225" s="0" t="s">
        <v>3763</v>
      </c>
      <c r="C225" s="0" t="s">
        <v>3764</v>
      </c>
      <c r="D225" s="0" t="s">
        <v>3801</v>
      </c>
      <c r="E225" s="0" t="s">
        <v>3802</v>
      </c>
      <c r="F225" s="0" t="s">
        <v>3228</v>
      </c>
      <c r="G225" s="0" t="s">
        <v>3803</v>
      </c>
    </row>
    <row customHeight="1" ht="11.25">
      <c r="A226" s="657" t="s">
        <v>16</v>
      </c>
      <c r="B226" s="0" t="s">
        <v>3763</v>
      </c>
      <c r="C226" s="0" t="s">
        <v>3764</v>
      </c>
      <c r="D226" s="0" t="s">
        <v>3804</v>
      </c>
      <c r="E226" s="0" t="s">
        <v>3805</v>
      </c>
      <c r="F226" s="0" t="s">
        <v>3228</v>
      </c>
      <c r="G226" s="0" t="s">
        <v>3806</v>
      </c>
    </row>
    <row customHeight="1" ht="11.25">
      <c r="A227" s="657" t="s">
        <v>16</v>
      </c>
      <c r="B227" s="0" t="s">
        <v>3763</v>
      </c>
      <c r="C227" s="0" t="s">
        <v>3764</v>
      </c>
      <c r="D227" s="0" t="s">
        <v>3807</v>
      </c>
      <c r="E227" s="0" t="s">
        <v>3808</v>
      </c>
      <c r="F227" s="0" t="s">
        <v>3228</v>
      </c>
      <c r="G227" s="0" t="s">
        <v>3809</v>
      </c>
    </row>
    <row customHeight="1" ht="11.25">
      <c r="A228" s="657" t="s">
        <v>16</v>
      </c>
      <c r="B228" s="0" t="s">
        <v>3763</v>
      </c>
      <c r="C228" s="0" t="s">
        <v>3764</v>
      </c>
      <c r="D228" s="0" t="s">
        <v>3810</v>
      </c>
      <c r="E228" s="0" t="s">
        <v>3811</v>
      </c>
      <c r="F228" s="0" t="s">
        <v>3212</v>
      </c>
      <c r="G228" s="0" t="s">
        <v>3812</v>
      </c>
    </row>
    <row customHeight="1" ht="11.25">
      <c r="A229" s="657" t="s">
        <v>16</v>
      </c>
      <c r="B229" s="0" t="s">
        <v>3763</v>
      </c>
      <c r="C229" s="0" t="s">
        <v>3764</v>
      </c>
      <c r="D229" s="0" t="s">
        <v>3813</v>
      </c>
      <c r="E229" s="0" t="s">
        <v>3814</v>
      </c>
      <c r="F229" s="0" t="s">
        <v>3212</v>
      </c>
      <c r="G229" s="0" t="s">
        <v>3815</v>
      </c>
    </row>
    <row customHeight="1" ht="11.25">
      <c r="A230" s="657" t="s">
        <v>16</v>
      </c>
      <c r="B230" s="0" t="s">
        <v>3763</v>
      </c>
      <c r="C230" s="0" t="s">
        <v>3764</v>
      </c>
      <c r="D230" s="0" t="s">
        <v>3816</v>
      </c>
      <c r="E230" s="0" t="s">
        <v>3817</v>
      </c>
      <c r="F230" s="0" t="s">
        <v>3212</v>
      </c>
      <c r="G230" s="0" t="s">
        <v>3818</v>
      </c>
    </row>
    <row customHeight="1" ht="11.25">
      <c r="A231" s="657" t="s">
        <v>16</v>
      </c>
      <c r="B231" s="0" t="s">
        <v>3763</v>
      </c>
      <c r="C231" s="0" t="s">
        <v>3764</v>
      </c>
      <c r="D231" s="0" t="s">
        <v>3819</v>
      </c>
      <c r="E231" s="0" t="s">
        <v>3820</v>
      </c>
      <c r="F231" s="0" t="s">
        <v>3212</v>
      </c>
      <c r="G231" s="0" t="s">
        <v>3821</v>
      </c>
    </row>
    <row customHeight="1" ht="11.25">
      <c r="A232" s="657" t="s">
        <v>16</v>
      </c>
      <c r="B232" s="0" t="s">
        <v>3763</v>
      </c>
      <c r="C232" s="0" t="s">
        <v>3764</v>
      </c>
      <c r="D232" s="0" t="s">
        <v>3822</v>
      </c>
      <c r="E232" s="0" t="s">
        <v>3823</v>
      </c>
      <c r="F232" s="0" t="s">
        <v>3212</v>
      </c>
      <c r="G232" s="0" t="s">
        <v>3824</v>
      </c>
    </row>
    <row customHeight="1" ht="11.25">
      <c r="A233" s="657" t="s">
        <v>16</v>
      </c>
      <c r="B233" s="0" t="s">
        <v>3763</v>
      </c>
      <c r="C233" s="0" t="s">
        <v>3764</v>
      </c>
      <c r="D233" s="0" t="s">
        <v>3763</v>
      </c>
      <c r="E233" s="0" t="s">
        <v>3764</v>
      </c>
      <c r="F233" s="0" t="s">
        <v>3209</v>
      </c>
      <c r="G233" s="0" t="s">
        <v>3825</v>
      </c>
    </row>
    <row customHeight="1" ht="11.25">
      <c r="A234" s="657" t="s">
        <v>16</v>
      </c>
      <c r="B234" s="0" t="s">
        <v>3826</v>
      </c>
      <c r="C234" s="0" t="s">
        <v>3827</v>
      </c>
      <c r="D234" s="0" t="s">
        <v>3828</v>
      </c>
      <c r="E234" s="0" t="s">
        <v>3829</v>
      </c>
      <c r="F234" s="0" t="s">
        <v>3212</v>
      </c>
      <c r="G234" s="0" t="s">
        <v>3830</v>
      </c>
    </row>
    <row customHeight="1" ht="11.25">
      <c r="A235" s="657" t="s">
        <v>16</v>
      </c>
      <c r="B235" s="0" t="s">
        <v>3826</v>
      </c>
      <c r="C235" s="0" t="s">
        <v>3827</v>
      </c>
      <c r="D235" s="0" t="s">
        <v>3831</v>
      </c>
      <c r="E235" s="0" t="s">
        <v>3832</v>
      </c>
      <c r="F235" s="0" t="s">
        <v>3212</v>
      </c>
      <c r="G235" s="0" t="s">
        <v>3833</v>
      </c>
    </row>
    <row customHeight="1" ht="11.25">
      <c r="A236" s="657" t="s">
        <v>16</v>
      </c>
      <c r="B236" s="0" t="s">
        <v>3826</v>
      </c>
      <c r="C236" s="0" t="s">
        <v>3827</v>
      </c>
      <c r="D236" s="0" t="s">
        <v>3834</v>
      </c>
      <c r="E236" s="0" t="s">
        <v>3835</v>
      </c>
      <c r="F236" s="0" t="s">
        <v>3239</v>
      </c>
      <c r="G236" s="0" t="s">
        <v>3836</v>
      </c>
    </row>
    <row customHeight="1" ht="11.25">
      <c r="A237" s="657" t="s">
        <v>16</v>
      </c>
      <c r="B237" s="0" t="s">
        <v>3826</v>
      </c>
      <c r="C237" s="0" t="s">
        <v>3827</v>
      </c>
      <c r="D237" s="0" t="s">
        <v>3837</v>
      </c>
      <c r="E237" s="0" t="s">
        <v>3838</v>
      </c>
      <c r="F237" s="0" t="s">
        <v>3212</v>
      </c>
      <c r="G237" s="0" t="s">
        <v>3839</v>
      </c>
    </row>
    <row customHeight="1" ht="11.25">
      <c r="A238" s="657" t="s">
        <v>16</v>
      </c>
      <c r="B238" s="0" t="s">
        <v>3826</v>
      </c>
      <c r="C238" s="0" t="s">
        <v>3827</v>
      </c>
      <c r="D238" s="0" t="s">
        <v>3840</v>
      </c>
      <c r="E238" s="0" t="s">
        <v>3841</v>
      </c>
      <c r="F238" s="0" t="s">
        <v>3212</v>
      </c>
      <c r="G238" s="0" t="s">
        <v>3842</v>
      </c>
    </row>
    <row customHeight="1" ht="11.25">
      <c r="A239" s="657" t="s">
        <v>16</v>
      </c>
      <c r="B239" s="0" t="s">
        <v>3826</v>
      </c>
      <c r="C239" s="0" t="s">
        <v>3827</v>
      </c>
      <c r="D239" s="0" t="s">
        <v>3843</v>
      </c>
      <c r="E239" s="0" t="s">
        <v>3844</v>
      </c>
      <c r="F239" s="0" t="s">
        <v>3212</v>
      </c>
      <c r="G239" s="0" t="s">
        <v>3845</v>
      </c>
    </row>
    <row customHeight="1" ht="11.25">
      <c r="A240" s="657" t="s">
        <v>16</v>
      </c>
      <c r="B240" s="0" t="s">
        <v>3826</v>
      </c>
      <c r="C240" s="0" t="s">
        <v>3827</v>
      </c>
      <c r="D240" s="0" t="s">
        <v>3826</v>
      </c>
      <c r="E240" s="0" t="s">
        <v>3827</v>
      </c>
      <c r="F240" s="0" t="s">
        <v>3209</v>
      </c>
      <c r="G240" s="0" t="s">
        <v>3846</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0EF841-8AD9-52CF-1194-4FF26CFF12B8}" mc:Ignorable="x14ac xr xr2 xr3">
  <sheetPr>
    <tabColor rgb="FFFFCC99"/>
  </sheetPr>
  <dimension ref="A1:I68"/>
  <sheetViews>
    <sheetView topLeftCell="A1" showGridLines="0" workbookViewId="0">
      <selection activeCell="A1" sqref="A1"/>
    </sheetView>
  </sheetViews>
  <sheetFormatPr defaultColWidth="9.140625" customHeight="1" defaultRowHeight="11.25"/>
  <cols>
    <col min="1" max="1" style="38838" width="13.8515625" customWidth="1"/>
    <col min="2" max="2" style="38838" width="10.421875" customWidth="1"/>
    <col min="3" max="3" style="38838" width="7.57421875" customWidth="1"/>
    <col min="4" max="4" style="38838" width="13.8515625" customWidth="1"/>
    <col min="5" max="5" style="38838" width="11.57421875" customWidth="1"/>
    <col min="6" max="6" style="38838" width="16.28125" customWidth="1"/>
    <col min="7" max="7" style="38838" width="16.00390625" customWidth="1"/>
    <col min="8" max="9" style="38838" width="16.140625" customWidth="1"/>
  </cols>
  <sheetData>
    <row customHeight="1" ht="11.25">
      <c r="A1" s="1119" t="s">
        <v>3847</v>
      </c>
      <c r="B1" s="1119" t="s">
        <v>3848</v>
      </c>
      <c r="C1" s="1443" t="s">
        <v>3849</v>
      </c>
      <c r="D1" s="1119" t="s">
        <v>3850</v>
      </c>
      <c r="E1" s="1119" t="s">
        <v>3851</v>
      </c>
      <c r="F1" s="1443" t="s">
        <v>3852</v>
      </c>
      <c r="G1" s="1443" t="s">
        <v>3853</v>
      </c>
      <c r="H1" s="1443" t="s">
        <v>3854</v>
      </c>
      <c r="I1" s="1443" t="s">
        <v>3855</v>
      </c>
    </row>
    <row customHeight="1" ht="11.25">
      <c r="A2" s="7890" t="s">
        <v>141</v>
      </c>
      <c r="B2" s="7890" t="s">
        <v>3856</v>
      </c>
      <c r="C2" s="7890" t="s">
        <v>28</v>
      </c>
      <c r="D2" s="7890" t="s">
        <v>3857</v>
      </c>
      <c r="E2" s="7890" t="s">
        <v>3858</v>
      </c>
      <c r="F2" s="7890" t="s">
        <v>28</v>
      </c>
      <c r="G2" s="7890" t="s">
        <v>28</v>
      </c>
      <c r="H2" s="7890" t="s">
        <v>28</v>
      </c>
      <c r="I2" s="7890" t="s">
        <v>28</v>
      </c>
    </row>
    <row customHeight="1" ht="11.25">
      <c r="A3" s="7890" t="s">
        <v>105</v>
      </c>
      <c r="B3" s="7890" t="s">
        <v>3859</v>
      </c>
      <c r="C3" s="7890" t="s">
        <v>28</v>
      </c>
      <c r="D3" s="7890" t="s">
        <v>3860</v>
      </c>
      <c r="E3" s="7890" t="s">
        <v>3861</v>
      </c>
      <c r="F3" s="7890" t="s">
        <v>28</v>
      </c>
      <c r="G3" s="7890" t="s">
        <v>28</v>
      </c>
      <c r="H3" s="7890" t="s">
        <v>28</v>
      </c>
      <c r="I3" s="7890" t="s">
        <v>28</v>
      </c>
    </row>
    <row customHeight="1" ht="11.25">
      <c r="A4" s="7890" t="s">
        <v>93</v>
      </c>
      <c r="B4" s="7890" t="s">
        <v>3862</v>
      </c>
      <c r="C4" s="7890" t="s">
        <v>28</v>
      </c>
      <c r="D4" s="7890" t="s">
        <v>3860</v>
      </c>
      <c r="E4" s="7890" t="s">
        <v>3861</v>
      </c>
      <c r="F4" s="7890" t="s">
        <v>28</v>
      </c>
      <c r="G4" s="7890" t="s">
        <v>28</v>
      </c>
      <c r="H4" s="7890" t="s">
        <v>28</v>
      </c>
      <c r="I4" s="7890" t="s">
        <v>28</v>
      </c>
    </row>
    <row customHeight="1" ht="11.25">
      <c r="A5" s="7890" t="s">
        <v>94</v>
      </c>
      <c r="B5" s="7890" t="s">
        <v>3863</v>
      </c>
      <c r="C5" s="7890" t="s">
        <v>28</v>
      </c>
      <c r="D5" s="7890" t="s">
        <v>3864</v>
      </c>
      <c r="E5" s="7890" t="s">
        <v>3861</v>
      </c>
      <c r="F5" s="7890" t="s">
        <v>28</v>
      </c>
      <c r="G5" s="7890" t="s">
        <v>28</v>
      </c>
      <c r="H5" s="7890" t="s">
        <v>28</v>
      </c>
      <c r="I5" s="7890" t="s">
        <v>28</v>
      </c>
    </row>
    <row customHeight="1" ht="11.25">
      <c r="A6" s="7890" t="s">
        <v>124</v>
      </c>
      <c r="B6" s="7890" t="s">
        <v>3865</v>
      </c>
      <c r="C6" s="7890" t="s">
        <v>28</v>
      </c>
      <c r="D6" s="7890" t="s">
        <v>3864</v>
      </c>
      <c r="E6" s="7890" t="s">
        <v>3866</v>
      </c>
      <c r="F6" s="7890" t="s">
        <v>28</v>
      </c>
      <c r="G6" s="7890" t="s">
        <v>28</v>
      </c>
      <c r="H6" s="7890" t="s">
        <v>28</v>
      </c>
      <c r="I6" s="7890" t="s">
        <v>28</v>
      </c>
    </row>
    <row customHeight="1" ht="11.25">
      <c r="A7" s="7890" t="s">
        <v>95</v>
      </c>
      <c r="B7" s="7890" t="s">
        <v>3867</v>
      </c>
      <c r="C7" s="7890" t="s">
        <v>28</v>
      </c>
      <c r="D7" s="7890" t="s">
        <v>3864</v>
      </c>
      <c r="E7" s="7890" t="s">
        <v>3861</v>
      </c>
      <c r="F7" s="7890" t="s">
        <v>28</v>
      </c>
      <c r="G7" s="7890" t="s">
        <v>28</v>
      </c>
      <c r="H7" s="7890" t="s">
        <v>28</v>
      </c>
      <c r="I7" s="7890" t="s">
        <v>28</v>
      </c>
    </row>
    <row customHeight="1" ht="11.25">
      <c r="A8" s="7890" t="s">
        <v>96</v>
      </c>
      <c r="B8" s="7890" t="s">
        <v>3868</v>
      </c>
      <c r="C8" s="7890" t="s">
        <v>28</v>
      </c>
      <c r="D8" s="7890" t="s">
        <v>3864</v>
      </c>
      <c r="E8" s="7890" t="s">
        <v>3866</v>
      </c>
      <c r="F8" s="7890" t="s">
        <v>28</v>
      </c>
      <c r="G8" s="7890" t="s">
        <v>28</v>
      </c>
      <c r="H8" s="7890" t="s">
        <v>28</v>
      </c>
      <c r="I8" s="7890" t="s">
        <v>28</v>
      </c>
    </row>
    <row customHeight="1" ht="11.25">
      <c r="A9" s="7890" t="s">
        <v>142</v>
      </c>
      <c r="B9" s="7890" t="s">
        <v>3869</v>
      </c>
      <c r="C9" s="7890" t="s">
        <v>28</v>
      </c>
      <c r="D9" s="7890" t="s">
        <v>3864</v>
      </c>
      <c r="E9" s="7890" t="s">
        <v>3866</v>
      </c>
      <c r="F9" s="7890" t="s">
        <v>28</v>
      </c>
      <c r="G9" s="7890" t="s">
        <v>28</v>
      </c>
      <c r="H9" s="7890" t="s">
        <v>28</v>
      </c>
      <c r="I9" s="7890" t="s">
        <v>28</v>
      </c>
    </row>
    <row customHeight="1" ht="11.25">
      <c r="A10" s="7890" t="s">
        <v>178</v>
      </c>
      <c r="B10" s="7890" t="s">
        <v>3870</v>
      </c>
      <c r="C10" s="7890" t="s">
        <v>28</v>
      </c>
      <c r="D10" s="7890" t="s">
        <v>3864</v>
      </c>
      <c r="E10" s="7890" t="s">
        <v>3866</v>
      </c>
      <c r="F10" s="7890" t="s">
        <v>28</v>
      </c>
      <c r="G10" s="7890" t="s">
        <v>28</v>
      </c>
      <c r="H10" s="7890" t="s">
        <v>28</v>
      </c>
      <c r="I10" s="7890" t="s">
        <v>28</v>
      </c>
    </row>
    <row customHeight="1" ht="11.25">
      <c r="A11" s="7890" t="s">
        <v>179</v>
      </c>
      <c r="B11" s="7890" t="s">
        <v>3871</v>
      </c>
      <c r="C11" s="7890" t="s">
        <v>28</v>
      </c>
      <c r="D11" s="7890" t="s">
        <v>3860</v>
      </c>
      <c r="E11" s="7890" t="s">
        <v>3866</v>
      </c>
      <c r="F11" s="7890" t="s">
        <v>28</v>
      </c>
      <c r="G11" s="7890" t="s">
        <v>28</v>
      </c>
      <c r="H11" s="7890" t="s">
        <v>28</v>
      </c>
      <c r="I11" s="7890" t="s">
        <v>28</v>
      </c>
    </row>
    <row customHeight="1" ht="11.25">
      <c r="A12" s="7890" t="s">
        <v>180</v>
      </c>
      <c r="B12" s="7890" t="s">
        <v>3872</v>
      </c>
      <c r="C12" s="7890" t="s">
        <v>28</v>
      </c>
      <c r="D12" s="7890" t="s">
        <v>3864</v>
      </c>
      <c r="E12" s="7890" t="s">
        <v>3873</v>
      </c>
      <c r="F12" s="7890" t="s">
        <v>28</v>
      </c>
      <c r="G12" s="7890" t="s">
        <v>28</v>
      </c>
      <c r="H12" s="7890" t="s">
        <v>28</v>
      </c>
      <c r="I12" s="7890" t="s">
        <v>28</v>
      </c>
    </row>
    <row customHeight="1" ht="11.25">
      <c r="A13" s="7890" t="s">
        <v>181</v>
      </c>
      <c r="B13" s="7890" t="s">
        <v>3874</v>
      </c>
      <c r="C13" s="7890" t="s">
        <v>28</v>
      </c>
      <c r="D13" s="7890" t="s">
        <v>3860</v>
      </c>
      <c r="E13" s="7890" t="s">
        <v>3875</v>
      </c>
      <c r="F13" s="7890" t="s">
        <v>28</v>
      </c>
      <c r="G13" s="7890" t="s">
        <v>28</v>
      </c>
      <c r="H13" s="7890" t="s">
        <v>28</v>
      </c>
      <c r="I13" s="7890" t="s">
        <v>28</v>
      </c>
    </row>
    <row customHeight="1" ht="11.25">
      <c r="A14" s="7890" t="s">
        <v>182</v>
      </c>
      <c r="B14" s="7890" t="s">
        <v>3876</v>
      </c>
      <c r="C14" s="7890" t="s">
        <v>28</v>
      </c>
      <c r="D14" s="7890" t="s">
        <v>3864</v>
      </c>
      <c r="E14" s="7890" t="s">
        <v>3877</v>
      </c>
      <c r="F14" s="7890" t="s">
        <v>28</v>
      </c>
      <c r="G14" s="7890" t="s">
        <v>28</v>
      </c>
      <c r="H14" s="7890" t="s">
        <v>28</v>
      </c>
      <c r="I14" s="7890" t="s">
        <v>28</v>
      </c>
    </row>
    <row customHeight="1" ht="11.25">
      <c r="A15" s="7890" t="s">
        <v>183</v>
      </c>
      <c r="B15" s="7890" t="s">
        <v>3878</v>
      </c>
      <c r="C15" s="7890" t="s">
        <v>28</v>
      </c>
      <c r="D15" s="7890" t="s">
        <v>3864</v>
      </c>
      <c r="E15" s="7890" t="s">
        <v>3877</v>
      </c>
      <c r="F15" s="7890" t="s">
        <v>28</v>
      </c>
      <c r="G15" s="7890" t="s">
        <v>28</v>
      </c>
      <c r="H15" s="7890" t="s">
        <v>28</v>
      </c>
      <c r="I15" s="7890" t="s">
        <v>28</v>
      </c>
    </row>
    <row customHeight="1" ht="11.25">
      <c r="A16" s="7890" t="s">
        <v>1544</v>
      </c>
      <c r="B16" s="7890" t="s">
        <v>3879</v>
      </c>
      <c r="C16" s="7890" t="s">
        <v>28</v>
      </c>
      <c r="D16" s="7890" t="s">
        <v>3857</v>
      </c>
      <c r="E16" s="7890" t="s">
        <v>3880</v>
      </c>
      <c r="F16" s="7890" t="s">
        <v>28</v>
      </c>
      <c r="G16" s="7890" t="s">
        <v>28</v>
      </c>
      <c r="H16" s="7890" t="s">
        <v>28</v>
      </c>
      <c r="I16" s="7890" t="s">
        <v>28</v>
      </c>
    </row>
    <row customHeight="1" ht="11.25">
      <c r="A17" s="7890" t="s">
        <v>1550</v>
      </c>
      <c r="B17" s="7890" t="s">
        <v>3881</v>
      </c>
      <c r="C17" s="7890" t="s">
        <v>28</v>
      </c>
      <c r="D17" s="7890" t="s">
        <v>3860</v>
      </c>
      <c r="E17" s="7890" t="s">
        <v>3861</v>
      </c>
      <c r="F17" s="7890" t="s">
        <v>28</v>
      </c>
      <c r="G17" s="7890" t="s">
        <v>28</v>
      </c>
      <c r="H17" s="7890" t="s">
        <v>28</v>
      </c>
      <c r="I17" s="7890" t="s">
        <v>28</v>
      </c>
    </row>
    <row customHeight="1" ht="11.25">
      <c r="A18" s="7890" t="s">
        <v>1562</v>
      </c>
      <c r="B18" s="7890" t="s">
        <v>3882</v>
      </c>
      <c r="C18" s="7890" t="s">
        <v>28</v>
      </c>
      <c r="D18" s="7890" t="s">
        <v>3883</v>
      </c>
      <c r="E18" s="7890" t="s">
        <v>3875</v>
      </c>
      <c r="F18" s="7890" t="s">
        <v>28</v>
      </c>
      <c r="G18" s="7890" t="s">
        <v>28</v>
      </c>
      <c r="H18" s="7890" t="s">
        <v>28</v>
      </c>
      <c r="I18" s="7890" t="s">
        <v>28</v>
      </c>
    </row>
    <row customHeight="1" ht="11.25">
      <c r="A19" s="7890" t="s">
        <v>1576</v>
      </c>
      <c r="B19" s="7890" t="s">
        <v>3884</v>
      </c>
      <c r="C19" s="7890" t="s">
        <v>28</v>
      </c>
      <c r="D19" s="7890" t="s">
        <v>3885</v>
      </c>
      <c r="E19" s="7890" t="s">
        <v>3886</v>
      </c>
      <c r="F19" s="7890" t="s">
        <v>28</v>
      </c>
      <c r="G19" s="7890" t="s">
        <v>28</v>
      </c>
      <c r="H19" s="7890" t="s">
        <v>28</v>
      </c>
      <c r="I19" s="7890" t="s">
        <v>28</v>
      </c>
    </row>
    <row customHeight="1" ht="11.25">
      <c r="A20" s="7890" t="s">
        <v>1588</v>
      </c>
      <c r="B20" s="7890" t="s">
        <v>3887</v>
      </c>
      <c r="C20" s="7890" t="s">
        <v>28</v>
      </c>
      <c r="D20" s="7890" t="s">
        <v>3888</v>
      </c>
      <c r="E20" s="7890" t="s">
        <v>3861</v>
      </c>
      <c r="F20" s="7890" t="s">
        <v>28</v>
      </c>
      <c r="G20" s="7890" t="s">
        <v>28</v>
      </c>
      <c r="H20" s="7890" t="s">
        <v>28</v>
      </c>
      <c r="I20" s="7890" t="s">
        <v>28</v>
      </c>
    </row>
    <row customHeight="1" ht="11.25">
      <c r="A21" s="7890" t="s">
        <v>1597</v>
      </c>
      <c r="B21" s="7890" t="s">
        <v>3889</v>
      </c>
      <c r="C21" s="7890" t="s">
        <v>28</v>
      </c>
      <c r="D21" s="7890" t="s">
        <v>3890</v>
      </c>
      <c r="E21" s="7890" t="s">
        <v>3891</v>
      </c>
      <c r="F21" s="7890" t="s">
        <v>28</v>
      </c>
      <c r="G21" s="7890" t="s">
        <v>28</v>
      </c>
      <c r="H21" s="7890" t="s">
        <v>28</v>
      </c>
      <c r="I21" s="7890" t="s">
        <v>28</v>
      </c>
    </row>
    <row customHeight="1" ht="11.25">
      <c r="A22" s="7890" t="s">
        <v>1613</v>
      </c>
      <c r="B22" s="7890" t="s">
        <v>3892</v>
      </c>
      <c r="C22" s="7890" t="s">
        <v>28</v>
      </c>
      <c r="D22" s="7890" t="s">
        <v>3893</v>
      </c>
      <c r="E22" s="7890" t="s">
        <v>3894</v>
      </c>
      <c r="F22" s="7890" t="s">
        <v>28</v>
      </c>
      <c r="G22" s="7890" t="s">
        <v>28</v>
      </c>
      <c r="H22" s="7890" t="s">
        <v>28</v>
      </c>
      <c r="I22" s="7890" t="s">
        <v>28</v>
      </c>
    </row>
    <row customHeight="1" ht="11.25">
      <c r="A23" s="7890" t="s">
        <v>1620</v>
      </c>
      <c r="B23" s="7890" t="s">
        <v>3895</v>
      </c>
      <c r="C23" s="7890" t="s">
        <v>28</v>
      </c>
      <c r="D23" s="7890" t="s">
        <v>3864</v>
      </c>
      <c r="E23" s="7890" t="s">
        <v>3896</v>
      </c>
      <c r="F23" s="7890" t="s">
        <v>28</v>
      </c>
      <c r="G23" s="7890" t="s">
        <v>28</v>
      </c>
      <c r="H23" s="7890" t="s">
        <v>28</v>
      </c>
      <c r="I23" s="7890" t="s">
        <v>28</v>
      </c>
    </row>
    <row customHeight="1" ht="11.25">
      <c r="A24" s="7890" t="s">
        <v>1628</v>
      </c>
      <c r="B24" s="7890" t="s">
        <v>3897</v>
      </c>
      <c r="C24" s="7890" t="s">
        <v>28</v>
      </c>
      <c r="D24" s="7890" t="s">
        <v>3860</v>
      </c>
      <c r="E24" s="7890" t="s">
        <v>3898</v>
      </c>
      <c r="F24" s="7890" t="s">
        <v>28</v>
      </c>
      <c r="G24" s="7890" t="s">
        <v>28</v>
      </c>
      <c r="H24" s="7890" t="s">
        <v>28</v>
      </c>
      <c r="I24" s="7890" t="s">
        <v>28</v>
      </c>
    </row>
    <row customHeight="1" ht="11.25">
      <c r="A25" s="7890" t="s">
        <v>1635</v>
      </c>
      <c r="B25" s="7890" t="s">
        <v>3899</v>
      </c>
      <c r="C25" s="7890" t="s">
        <v>28</v>
      </c>
      <c r="D25" s="7890" t="s">
        <v>3864</v>
      </c>
      <c r="E25" s="7890" t="s">
        <v>3900</v>
      </c>
      <c r="F25" s="7890" t="s">
        <v>28</v>
      </c>
      <c r="G25" s="7890" t="s">
        <v>28</v>
      </c>
      <c r="H25" s="7890" t="s">
        <v>28</v>
      </c>
      <c r="I25" s="7890" t="s">
        <v>28</v>
      </c>
    </row>
    <row customHeight="1" ht="11.25">
      <c r="A26" s="7890" t="s">
        <v>1639</v>
      </c>
      <c r="B26" s="7890" t="s">
        <v>3901</v>
      </c>
      <c r="C26" s="7890" t="s">
        <v>28</v>
      </c>
      <c r="D26" s="7890" t="s">
        <v>3902</v>
      </c>
      <c r="E26" s="7890" t="s">
        <v>3903</v>
      </c>
      <c r="F26" s="7890" t="s">
        <v>28</v>
      </c>
      <c r="G26" s="7890" t="s">
        <v>28</v>
      </c>
      <c r="H26" s="7890" t="s">
        <v>28</v>
      </c>
      <c r="I26" s="7890" t="s">
        <v>28</v>
      </c>
    </row>
    <row customHeight="1" ht="11.25">
      <c r="A27" s="7890" t="s">
        <v>1644</v>
      </c>
      <c r="B27" s="7890" t="s">
        <v>3904</v>
      </c>
      <c r="C27" s="7890" t="s">
        <v>28</v>
      </c>
      <c r="D27" s="7890" t="s">
        <v>3905</v>
      </c>
      <c r="E27" s="7890" t="s">
        <v>3906</v>
      </c>
      <c r="F27" s="7890" t="s">
        <v>28</v>
      </c>
      <c r="G27" s="7890" t="s">
        <v>28</v>
      </c>
      <c r="H27" s="7890" t="s">
        <v>28</v>
      </c>
      <c r="I27" s="7890" t="s">
        <v>28</v>
      </c>
    </row>
    <row customHeight="1" ht="11.25">
      <c r="A28" s="7890" t="s">
        <v>1652</v>
      </c>
      <c r="B28" s="7890" t="s">
        <v>3907</v>
      </c>
      <c r="C28" s="7890" t="s">
        <v>28</v>
      </c>
      <c r="D28" s="7890" t="s">
        <v>3905</v>
      </c>
      <c r="E28" s="7890" t="s">
        <v>3858</v>
      </c>
      <c r="F28" s="7890" t="s">
        <v>28</v>
      </c>
      <c r="G28" s="7890" t="s">
        <v>28</v>
      </c>
      <c r="H28" s="7890" t="s">
        <v>28</v>
      </c>
      <c r="I28" s="7890" t="s">
        <v>28</v>
      </c>
    </row>
    <row customHeight="1" ht="11.25">
      <c r="A29" s="7890" t="s">
        <v>1654</v>
      </c>
      <c r="B29" s="7890" t="s">
        <v>3908</v>
      </c>
      <c r="C29" s="7890" t="s">
        <v>28</v>
      </c>
      <c r="D29" s="7890" t="s">
        <v>3860</v>
      </c>
      <c r="E29" s="7890" t="s">
        <v>3875</v>
      </c>
      <c r="F29" s="7890" t="s">
        <v>28</v>
      </c>
      <c r="G29" s="7890" t="s">
        <v>28</v>
      </c>
      <c r="H29" s="7890" t="s">
        <v>28</v>
      </c>
      <c r="I29" s="7890" t="s">
        <v>28</v>
      </c>
    </row>
    <row customHeight="1" ht="11.25">
      <c r="A30" s="7890" t="s">
        <v>1657</v>
      </c>
      <c r="B30" s="7890" t="s">
        <v>3909</v>
      </c>
      <c r="C30" s="7890" t="s">
        <v>28</v>
      </c>
      <c r="D30" s="7890" t="s">
        <v>3860</v>
      </c>
      <c r="E30" s="7890" t="s">
        <v>3910</v>
      </c>
      <c r="F30" s="7890" t="s">
        <v>28</v>
      </c>
      <c r="G30" s="7890" t="s">
        <v>28</v>
      </c>
      <c r="H30" s="7890" t="s">
        <v>28</v>
      </c>
      <c r="I30" s="7890" t="s">
        <v>28</v>
      </c>
    </row>
    <row customHeight="1" ht="11.25">
      <c r="A31" s="7890" t="s">
        <v>1662</v>
      </c>
      <c r="B31" s="7890" t="s">
        <v>3911</v>
      </c>
      <c r="C31" s="7890" t="s">
        <v>28</v>
      </c>
      <c r="D31" s="7890" t="s">
        <v>3890</v>
      </c>
      <c r="E31" s="7890" t="s">
        <v>3912</v>
      </c>
      <c r="F31" s="7890" t="s">
        <v>28</v>
      </c>
      <c r="G31" s="7890" t="s">
        <v>28</v>
      </c>
      <c r="H31" s="7890" t="s">
        <v>28</v>
      </c>
      <c r="I31" s="7890" t="s">
        <v>28</v>
      </c>
    </row>
    <row customHeight="1" ht="11.25">
      <c r="A32" s="7890" t="s">
        <v>1664</v>
      </c>
      <c r="B32" s="7890" t="s">
        <v>3913</v>
      </c>
      <c r="C32" s="7890" t="s">
        <v>28</v>
      </c>
      <c r="D32" s="7890" t="s">
        <v>3905</v>
      </c>
      <c r="E32" s="7890" t="s">
        <v>3886</v>
      </c>
      <c r="F32" s="7890" t="s">
        <v>28</v>
      </c>
      <c r="G32" s="7890" t="s">
        <v>28</v>
      </c>
      <c r="H32" s="7890" t="s">
        <v>28</v>
      </c>
      <c r="I32" s="7890" t="s">
        <v>28</v>
      </c>
    </row>
    <row customHeight="1" ht="11.25">
      <c r="A33" s="7890" t="s">
        <v>1666</v>
      </c>
      <c r="B33" s="7890" t="s">
        <v>3914</v>
      </c>
      <c r="C33" s="7890" t="s">
        <v>28</v>
      </c>
      <c r="D33" s="7890" t="s">
        <v>3905</v>
      </c>
      <c r="E33" s="7890" t="s">
        <v>3866</v>
      </c>
      <c r="F33" s="7890" t="s">
        <v>28</v>
      </c>
      <c r="G33" s="7890" t="s">
        <v>28</v>
      </c>
      <c r="H33" s="7890" t="s">
        <v>28</v>
      </c>
      <c r="I33" s="7890" t="s">
        <v>28</v>
      </c>
    </row>
    <row customHeight="1" ht="11.25">
      <c r="A34" s="7890" t="s">
        <v>1668</v>
      </c>
      <c r="B34" s="7890" t="s">
        <v>3915</v>
      </c>
      <c r="C34" s="7890" t="s">
        <v>28</v>
      </c>
      <c r="D34" s="7890" t="s">
        <v>3905</v>
      </c>
      <c r="E34" s="7890" t="s">
        <v>3898</v>
      </c>
      <c r="F34" s="7890" t="s">
        <v>28</v>
      </c>
      <c r="G34" s="7890" t="s">
        <v>28</v>
      </c>
      <c r="H34" s="7890" t="s">
        <v>28</v>
      </c>
      <c r="I34" s="7890" t="s">
        <v>28</v>
      </c>
    </row>
    <row customHeight="1" ht="11.25">
      <c r="A35" s="7890" t="s">
        <v>1673</v>
      </c>
      <c r="B35" s="7890" t="s">
        <v>3916</v>
      </c>
      <c r="C35" s="7890" t="s">
        <v>28</v>
      </c>
      <c r="D35" s="7890" t="s">
        <v>3917</v>
      </c>
      <c r="E35" s="7890" t="s">
        <v>3912</v>
      </c>
      <c r="F35" s="7890" t="s">
        <v>28</v>
      </c>
      <c r="G35" s="7890" t="s">
        <v>28</v>
      </c>
      <c r="H35" s="7890" t="s">
        <v>28</v>
      </c>
      <c r="I35" s="7890" t="s">
        <v>28</v>
      </c>
    </row>
    <row customHeight="1" ht="11.25">
      <c r="A36" s="7890" t="s">
        <v>1678</v>
      </c>
      <c r="B36" s="7890" t="s">
        <v>3918</v>
      </c>
      <c r="C36" s="7890" t="s">
        <v>28</v>
      </c>
      <c r="D36" s="7890" t="s">
        <v>3919</v>
      </c>
      <c r="E36" s="7890" t="s">
        <v>3920</v>
      </c>
      <c r="F36" s="7890" t="s">
        <v>28</v>
      </c>
      <c r="G36" s="7890" t="s">
        <v>28</v>
      </c>
      <c r="H36" s="7890" t="s">
        <v>28</v>
      </c>
      <c r="I36" s="7890" t="s">
        <v>28</v>
      </c>
    </row>
    <row customHeight="1" ht="11.25">
      <c r="A37" s="7890" t="s">
        <v>1682</v>
      </c>
      <c r="B37" s="7890" t="s">
        <v>3921</v>
      </c>
      <c r="C37" s="7890" t="s">
        <v>28</v>
      </c>
      <c r="D37" s="7890" t="s">
        <v>3890</v>
      </c>
      <c r="E37" s="7890" t="s">
        <v>3891</v>
      </c>
      <c r="F37" s="7890" t="s">
        <v>28</v>
      </c>
      <c r="G37" s="7890" t="s">
        <v>28</v>
      </c>
      <c r="H37" s="7890" t="s">
        <v>28</v>
      </c>
      <c r="I37" s="7890" t="s">
        <v>28</v>
      </c>
    </row>
    <row customHeight="1" ht="11.25">
      <c r="A38" s="7890" t="s">
        <v>1690</v>
      </c>
      <c r="B38" s="7890" t="s">
        <v>3922</v>
      </c>
      <c r="C38" s="7890" t="s">
        <v>28</v>
      </c>
      <c r="D38" s="7890" t="s">
        <v>3857</v>
      </c>
      <c r="E38" s="7890" t="s">
        <v>3923</v>
      </c>
      <c r="F38" s="7890" t="s">
        <v>28</v>
      </c>
      <c r="G38" s="7890" t="s">
        <v>28</v>
      </c>
      <c r="H38" s="7890" t="s">
        <v>28</v>
      </c>
      <c r="I38" s="7890" t="s">
        <v>28</v>
      </c>
    </row>
    <row customHeight="1" ht="11.25">
      <c r="A39" s="7890" t="s">
        <v>1696</v>
      </c>
      <c r="B39" s="7890" t="s">
        <v>3924</v>
      </c>
      <c r="C39" s="7890" t="s">
        <v>28</v>
      </c>
      <c r="D39" s="7890" t="s">
        <v>3925</v>
      </c>
      <c r="E39" s="7890" t="s">
        <v>3926</v>
      </c>
      <c r="F39" s="7890" t="s">
        <v>28</v>
      </c>
      <c r="G39" s="7890" t="s">
        <v>28</v>
      </c>
      <c r="H39" s="7890" t="s">
        <v>28</v>
      </c>
      <c r="I39" s="7890" t="s">
        <v>28</v>
      </c>
    </row>
    <row customHeight="1" ht="11.25">
      <c r="A40" s="7890" t="s">
        <v>1701</v>
      </c>
      <c r="B40" s="7890" t="s">
        <v>3927</v>
      </c>
      <c r="C40" s="7890" t="s">
        <v>28</v>
      </c>
      <c r="D40" s="7890" t="s">
        <v>3928</v>
      </c>
      <c r="E40" s="7890" t="s">
        <v>3912</v>
      </c>
      <c r="F40" s="7890" t="s">
        <v>28</v>
      </c>
      <c r="G40" s="7890" t="s">
        <v>28</v>
      </c>
      <c r="H40" s="7890" t="s">
        <v>28</v>
      </c>
      <c r="I40" s="7890" t="s">
        <v>28</v>
      </c>
    </row>
    <row customHeight="1" ht="11.25">
      <c r="A41" s="7890" t="s">
        <v>1705</v>
      </c>
      <c r="B41" s="7890" t="s">
        <v>3929</v>
      </c>
      <c r="C41" s="7890" t="s">
        <v>28</v>
      </c>
      <c r="D41" s="7890" t="s">
        <v>3930</v>
      </c>
      <c r="E41" s="7890" t="s">
        <v>3880</v>
      </c>
      <c r="F41" s="7890" t="s">
        <v>28</v>
      </c>
      <c r="G41" s="7890" t="s">
        <v>28</v>
      </c>
      <c r="H41" s="7890" t="s">
        <v>28</v>
      </c>
      <c r="I41" s="7890" t="s">
        <v>28</v>
      </c>
    </row>
    <row customHeight="1" ht="11.25">
      <c r="A42" s="7890" t="s">
        <v>1708</v>
      </c>
      <c r="B42" s="7890" t="s">
        <v>3931</v>
      </c>
      <c r="C42" s="7890" t="s">
        <v>28</v>
      </c>
      <c r="D42" s="7890" t="s">
        <v>3890</v>
      </c>
      <c r="E42" s="7890" t="s">
        <v>3877</v>
      </c>
      <c r="F42" s="7890" t="s">
        <v>28</v>
      </c>
      <c r="G42" s="7890" t="s">
        <v>28</v>
      </c>
      <c r="H42" s="7890" t="s">
        <v>28</v>
      </c>
      <c r="I42" s="7890" t="s">
        <v>28</v>
      </c>
    </row>
    <row customHeight="1" ht="11.25">
      <c r="A43" s="7890" t="s">
        <v>1715</v>
      </c>
      <c r="B43" s="7890" t="s">
        <v>3932</v>
      </c>
      <c r="C43" s="7890" t="s">
        <v>28</v>
      </c>
      <c r="D43" s="7890" t="s">
        <v>3933</v>
      </c>
      <c r="E43" s="7890" t="s">
        <v>3910</v>
      </c>
      <c r="F43" s="7890" t="s">
        <v>28</v>
      </c>
      <c r="G43" s="7890" t="s">
        <v>28</v>
      </c>
      <c r="H43" s="7890" t="s">
        <v>28</v>
      </c>
      <c r="I43" s="7890" t="s">
        <v>28</v>
      </c>
    </row>
    <row customHeight="1" ht="11.25">
      <c r="A44" s="7890" t="s">
        <v>1724</v>
      </c>
      <c r="B44" s="7890" t="s">
        <v>3934</v>
      </c>
      <c r="C44" s="7890" t="s">
        <v>28</v>
      </c>
      <c r="D44" s="7890" t="s">
        <v>3905</v>
      </c>
      <c r="E44" s="7890" t="s">
        <v>3858</v>
      </c>
      <c r="F44" s="7890" t="s">
        <v>28</v>
      </c>
      <c r="G44" s="7890" t="s">
        <v>28</v>
      </c>
      <c r="H44" s="7890" t="s">
        <v>28</v>
      </c>
      <c r="I44" s="7890" t="s">
        <v>28</v>
      </c>
    </row>
    <row customHeight="1" ht="11.25">
      <c r="A45" s="7890" t="s">
        <v>1729</v>
      </c>
      <c r="B45" s="7890" t="s">
        <v>3935</v>
      </c>
      <c r="C45" s="7890" t="s">
        <v>28</v>
      </c>
      <c r="D45" s="7890" t="s">
        <v>3936</v>
      </c>
      <c r="E45" s="7890" t="s">
        <v>3906</v>
      </c>
      <c r="F45" s="7890" t="s">
        <v>28</v>
      </c>
      <c r="G45" s="7890" t="s">
        <v>28</v>
      </c>
      <c r="H45" s="7890" t="s">
        <v>28</v>
      </c>
      <c r="I45" s="7890" t="s">
        <v>28</v>
      </c>
    </row>
    <row customHeight="1" ht="11.25">
      <c r="A46" s="7890" t="s">
        <v>126</v>
      </c>
      <c r="B46" s="7890" t="s">
        <v>3937</v>
      </c>
      <c r="C46" s="7890" t="s">
        <v>28</v>
      </c>
      <c r="D46" s="7890" t="s">
        <v>3938</v>
      </c>
      <c r="E46" s="7890" t="s">
        <v>3866</v>
      </c>
      <c r="F46" s="7890" t="s">
        <v>28</v>
      </c>
      <c r="G46" s="7890" t="s">
        <v>28</v>
      </c>
      <c r="H46" s="7890" t="s">
        <v>28</v>
      </c>
      <c r="I46" s="7890" t="s">
        <v>28</v>
      </c>
    </row>
    <row customHeight="1" ht="11.25">
      <c r="A47" s="7890" t="s">
        <v>1738</v>
      </c>
      <c r="B47" s="7890" t="s">
        <v>3939</v>
      </c>
      <c r="C47" s="7890" t="s">
        <v>28</v>
      </c>
      <c r="D47" s="7890" t="s">
        <v>3860</v>
      </c>
      <c r="E47" s="7890" t="s">
        <v>3866</v>
      </c>
      <c r="F47" s="7890" t="s">
        <v>28</v>
      </c>
      <c r="G47" s="7890" t="s">
        <v>28</v>
      </c>
      <c r="H47" s="7890" t="s">
        <v>28</v>
      </c>
      <c r="I47" s="7890" t="s">
        <v>28</v>
      </c>
    </row>
    <row customHeight="1" ht="11.25">
      <c r="A48" s="7890" t="s">
        <v>1743</v>
      </c>
      <c r="B48" s="7890" t="s">
        <v>3940</v>
      </c>
      <c r="C48" s="7890" t="s">
        <v>28</v>
      </c>
      <c r="D48" s="7890" t="s">
        <v>3860</v>
      </c>
      <c r="E48" s="7890" t="s">
        <v>3866</v>
      </c>
      <c r="F48" s="7890" t="s">
        <v>28</v>
      </c>
      <c r="G48" s="7890" t="s">
        <v>28</v>
      </c>
      <c r="H48" s="7890" t="s">
        <v>28</v>
      </c>
      <c r="I48" s="7890" t="s">
        <v>28</v>
      </c>
    </row>
    <row customHeight="1" ht="11.25">
      <c r="A49" s="7890" t="s">
        <v>1746</v>
      </c>
      <c r="B49" s="7890" t="s">
        <v>3941</v>
      </c>
      <c r="C49" s="7890" t="s">
        <v>28</v>
      </c>
      <c r="D49" s="7890" t="s">
        <v>3860</v>
      </c>
      <c r="E49" s="7890" t="s">
        <v>3942</v>
      </c>
      <c r="F49" s="7890" t="s">
        <v>28</v>
      </c>
      <c r="G49" s="7890" t="s">
        <v>28</v>
      </c>
      <c r="H49" s="7890" t="s">
        <v>28</v>
      </c>
      <c r="I49" s="7890" t="s">
        <v>28</v>
      </c>
    </row>
    <row customHeight="1" ht="11.25">
      <c r="A50" s="7890" t="s">
        <v>1750</v>
      </c>
      <c r="B50" s="7890" t="s">
        <v>3943</v>
      </c>
      <c r="C50" s="7890" t="s">
        <v>28</v>
      </c>
      <c r="D50" s="7890" t="s">
        <v>3857</v>
      </c>
      <c r="E50" s="7890" t="s">
        <v>3858</v>
      </c>
      <c r="F50" s="7890" t="s">
        <v>28</v>
      </c>
      <c r="G50" s="7890" t="s">
        <v>28</v>
      </c>
      <c r="H50" s="7890" t="s">
        <v>28</v>
      </c>
      <c r="I50" s="7890" t="s">
        <v>28</v>
      </c>
    </row>
    <row customHeight="1" ht="11.25">
      <c r="A51" s="7890" t="s">
        <v>1754</v>
      </c>
      <c r="B51" s="7890" t="s">
        <v>3944</v>
      </c>
      <c r="C51" s="7890" t="s">
        <v>28</v>
      </c>
      <c r="D51" s="7890" t="s">
        <v>3945</v>
      </c>
      <c r="E51" s="7890" t="s">
        <v>3946</v>
      </c>
      <c r="F51" s="7890" t="s">
        <v>28</v>
      </c>
      <c r="G51" s="7890" t="s">
        <v>28</v>
      </c>
      <c r="H51" s="7890" t="s">
        <v>28</v>
      </c>
      <c r="I51" s="7890" t="s">
        <v>28</v>
      </c>
    </row>
    <row customHeight="1" ht="11.25">
      <c r="A52" s="7890" t="s">
        <v>1758</v>
      </c>
      <c r="B52" s="7890" t="s">
        <v>3947</v>
      </c>
      <c r="C52" s="7890" t="s">
        <v>28</v>
      </c>
      <c r="D52" s="7890" t="s">
        <v>3864</v>
      </c>
      <c r="E52" s="7890" t="s">
        <v>3896</v>
      </c>
      <c r="F52" s="7890" t="s">
        <v>28</v>
      </c>
      <c r="G52" s="7890" t="s">
        <v>28</v>
      </c>
      <c r="H52" s="7890" t="s">
        <v>28</v>
      </c>
      <c r="I52" s="7890" t="s">
        <v>28</v>
      </c>
    </row>
    <row customHeight="1" ht="11.25">
      <c r="A53" s="7890" t="s">
        <v>1760</v>
      </c>
      <c r="B53" s="7890" t="s">
        <v>3948</v>
      </c>
      <c r="C53" s="7890" t="s">
        <v>28</v>
      </c>
      <c r="D53" s="7890" t="s">
        <v>3864</v>
      </c>
      <c r="E53" s="7890" t="s">
        <v>3861</v>
      </c>
      <c r="F53" s="7890" t="s">
        <v>28</v>
      </c>
      <c r="G53" s="7890" t="s">
        <v>28</v>
      </c>
      <c r="H53" s="7890" t="s">
        <v>28</v>
      </c>
      <c r="I53" s="7890" t="s">
        <v>28</v>
      </c>
    </row>
    <row customHeight="1" ht="11.25">
      <c r="A54" s="7890" t="s">
        <v>1763</v>
      </c>
      <c r="B54" s="7890" t="s">
        <v>3949</v>
      </c>
      <c r="C54" s="7890" t="s">
        <v>28</v>
      </c>
      <c r="D54" s="7890" t="s">
        <v>3864</v>
      </c>
      <c r="E54" s="7890" t="s">
        <v>3896</v>
      </c>
      <c r="F54" s="7890" t="s">
        <v>28</v>
      </c>
      <c r="G54" s="7890" t="s">
        <v>28</v>
      </c>
      <c r="H54" s="7890" t="s">
        <v>28</v>
      </c>
      <c r="I54" s="7890" t="s">
        <v>28</v>
      </c>
    </row>
    <row customHeight="1" ht="11.25">
      <c r="A55" s="7890" t="s">
        <v>1768</v>
      </c>
      <c r="B55" s="7890" t="s">
        <v>3950</v>
      </c>
      <c r="C55" s="7890" t="s">
        <v>28</v>
      </c>
      <c r="D55" s="7890" t="s">
        <v>3860</v>
      </c>
      <c r="E55" s="7890" t="s">
        <v>3896</v>
      </c>
      <c r="F55" s="7890" t="s">
        <v>28</v>
      </c>
      <c r="G55" s="7890" t="s">
        <v>28</v>
      </c>
      <c r="H55" s="7890" t="s">
        <v>28</v>
      </c>
      <c r="I55" s="7890" t="s">
        <v>28</v>
      </c>
    </row>
    <row customHeight="1" ht="11.25">
      <c r="A56" s="7890" t="s">
        <v>1771</v>
      </c>
      <c r="B56" s="7890" t="s">
        <v>3951</v>
      </c>
      <c r="C56" s="7890" t="s">
        <v>28</v>
      </c>
      <c r="D56" s="7890" t="s">
        <v>3860</v>
      </c>
      <c r="E56" s="7890" t="s">
        <v>3861</v>
      </c>
      <c r="F56" s="7890" t="s">
        <v>28</v>
      </c>
      <c r="G56" s="7890" t="s">
        <v>28</v>
      </c>
      <c r="H56" s="7890" t="s">
        <v>28</v>
      </c>
      <c r="I56" s="7890" t="s">
        <v>28</v>
      </c>
    </row>
    <row customHeight="1" ht="11.25">
      <c r="A57" s="7890" t="s">
        <v>1774</v>
      </c>
      <c r="B57" s="7890" t="s">
        <v>3952</v>
      </c>
      <c r="C57" s="7890" t="s">
        <v>28</v>
      </c>
      <c r="D57" s="7890" t="s">
        <v>3953</v>
      </c>
      <c r="E57" s="7890" t="s">
        <v>3954</v>
      </c>
      <c r="F57" s="7890" t="s">
        <v>28</v>
      </c>
      <c r="G57" s="7890" t="s">
        <v>28</v>
      </c>
      <c r="H57" s="7890" t="s">
        <v>28</v>
      </c>
      <c r="I57" s="7890" t="s">
        <v>28</v>
      </c>
    </row>
    <row customHeight="1" ht="11.25">
      <c r="A58" s="7890" t="s">
        <v>1777</v>
      </c>
      <c r="B58" s="7890" t="s">
        <v>3955</v>
      </c>
      <c r="C58" s="7890" t="s">
        <v>28</v>
      </c>
      <c r="D58" s="7890" t="s">
        <v>3956</v>
      </c>
      <c r="E58" s="7890" t="s">
        <v>3906</v>
      </c>
      <c r="F58" s="7890" t="s">
        <v>28</v>
      </c>
      <c r="G58" s="7890" t="s">
        <v>28</v>
      </c>
      <c r="H58" s="7890" t="s">
        <v>28</v>
      </c>
      <c r="I58" s="7890" t="s">
        <v>28</v>
      </c>
    </row>
    <row customHeight="1" ht="11.25">
      <c r="A59" s="7890" t="s">
        <v>1781</v>
      </c>
      <c r="B59" s="7890" t="s">
        <v>3957</v>
      </c>
      <c r="C59" s="7890" t="s">
        <v>28</v>
      </c>
      <c r="D59" s="7890" t="s">
        <v>3956</v>
      </c>
      <c r="E59" s="7890" t="s">
        <v>3900</v>
      </c>
      <c r="F59" s="7890" t="s">
        <v>28</v>
      </c>
      <c r="G59" s="7890" t="s">
        <v>28</v>
      </c>
      <c r="H59" s="7890" t="s">
        <v>28</v>
      </c>
      <c r="I59" s="7890" t="s">
        <v>28</v>
      </c>
    </row>
    <row customHeight="1" ht="11.25">
      <c r="A60" s="7890" t="s">
        <v>1785</v>
      </c>
      <c r="B60" s="7890" t="s">
        <v>3958</v>
      </c>
      <c r="C60" s="7890" t="s">
        <v>28</v>
      </c>
      <c r="D60" s="7890" t="s">
        <v>3956</v>
      </c>
      <c r="E60" s="7890" t="s">
        <v>3900</v>
      </c>
      <c r="F60" s="7890" t="s">
        <v>28</v>
      </c>
      <c r="G60" s="7890" t="s">
        <v>28</v>
      </c>
      <c r="H60" s="7890" t="s">
        <v>28</v>
      </c>
      <c r="I60" s="7890" t="s">
        <v>28</v>
      </c>
    </row>
    <row customHeight="1" ht="11.25">
      <c r="A61" s="7890" t="s">
        <v>3327</v>
      </c>
      <c r="B61" s="7890" t="s">
        <v>3959</v>
      </c>
      <c r="C61" s="7890" t="s">
        <v>28</v>
      </c>
      <c r="D61" s="7890" t="s">
        <v>3857</v>
      </c>
      <c r="E61" s="7890" t="s">
        <v>3891</v>
      </c>
      <c r="F61" s="7890" t="s">
        <v>28</v>
      </c>
      <c r="G61" s="7890" t="s">
        <v>28</v>
      </c>
      <c r="H61" s="7890" t="s">
        <v>28</v>
      </c>
      <c r="I61" s="7890" t="s">
        <v>28</v>
      </c>
    </row>
    <row customHeight="1" ht="11.25">
      <c r="A62" s="7890" t="s">
        <v>3330</v>
      </c>
      <c r="B62" s="7890" t="s">
        <v>3960</v>
      </c>
      <c r="C62" s="7890" t="s">
        <v>28</v>
      </c>
      <c r="D62" s="7890" t="s">
        <v>3961</v>
      </c>
      <c r="E62" s="7890" t="s">
        <v>3886</v>
      </c>
      <c r="F62" s="7890" t="s">
        <v>28</v>
      </c>
      <c r="G62" s="7890" t="s">
        <v>28</v>
      </c>
      <c r="H62" s="7890" t="s">
        <v>28</v>
      </c>
      <c r="I62" s="7890" t="s">
        <v>28</v>
      </c>
    </row>
    <row customHeight="1" ht="11.25">
      <c r="A63" s="7890" t="s">
        <v>3333</v>
      </c>
      <c r="B63" s="7890" t="s">
        <v>3962</v>
      </c>
      <c r="C63" s="7890" t="s">
        <v>28</v>
      </c>
      <c r="D63" s="7890" t="s">
        <v>3890</v>
      </c>
      <c r="E63" s="7890" t="s">
        <v>3963</v>
      </c>
      <c r="F63" s="7890" t="s">
        <v>28</v>
      </c>
      <c r="G63" s="7890" t="s">
        <v>28</v>
      </c>
      <c r="H63" s="7890" t="s">
        <v>28</v>
      </c>
      <c r="I63" s="7890" t="s">
        <v>28</v>
      </c>
    </row>
    <row customHeight="1" ht="11.25">
      <c r="A64" s="7890" t="s">
        <v>3336</v>
      </c>
      <c r="B64" s="7890" t="s">
        <v>3964</v>
      </c>
      <c r="C64" s="7890" t="s">
        <v>28</v>
      </c>
      <c r="D64" s="7890" t="s">
        <v>3905</v>
      </c>
      <c r="E64" s="7890" t="s">
        <v>3965</v>
      </c>
      <c r="F64" s="7890" t="s">
        <v>28</v>
      </c>
      <c r="G64" s="7890" t="s">
        <v>28</v>
      </c>
      <c r="H64" s="7890" t="s">
        <v>28</v>
      </c>
      <c r="I64" s="7890" t="s">
        <v>28</v>
      </c>
    </row>
    <row customHeight="1" ht="11.25">
      <c r="A65" s="7890" t="s">
        <v>3339</v>
      </c>
      <c r="B65" s="7890" t="s">
        <v>3966</v>
      </c>
      <c r="C65" s="7890" t="s">
        <v>28</v>
      </c>
      <c r="D65" s="7890" t="s">
        <v>3925</v>
      </c>
      <c r="E65" s="7890" t="s">
        <v>3967</v>
      </c>
      <c r="F65" s="7890" t="s">
        <v>28</v>
      </c>
      <c r="G65" s="7890" t="s">
        <v>28</v>
      </c>
      <c r="H65" s="7890" t="s">
        <v>28</v>
      </c>
      <c r="I65" s="7890" t="s">
        <v>28</v>
      </c>
    </row>
    <row customHeight="1" ht="11.25">
      <c r="A66" s="7890" t="s">
        <v>3342</v>
      </c>
      <c r="B66" s="7890" t="s">
        <v>3968</v>
      </c>
      <c r="C66" s="7890" t="s">
        <v>28</v>
      </c>
      <c r="D66" s="7890" t="s">
        <v>3925</v>
      </c>
      <c r="E66" s="7890" t="s">
        <v>3969</v>
      </c>
      <c r="F66" s="7890" t="s">
        <v>28</v>
      </c>
      <c r="G66" s="7890" t="s">
        <v>28</v>
      </c>
      <c r="H66" s="7890" t="s">
        <v>28</v>
      </c>
      <c r="I66" s="7890" t="s">
        <v>28</v>
      </c>
    </row>
    <row customHeight="1" ht="11.25">
      <c r="A67" s="7890" t="s">
        <v>2103</v>
      </c>
      <c r="B67" s="7890" t="s">
        <v>3970</v>
      </c>
      <c r="C67" s="7890" t="s">
        <v>28</v>
      </c>
      <c r="D67" s="7890" t="s">
        <v>3905</v>
      </c>
      <c r="E67" s="7890" t="s">
        <v>3858</v>
      </c>
      <c r="F67" s="7890" t="s">
        <v>28</v>
      </c>
      <c r="G67" s="7890" t="s">
        <v>28</v>
      </c>
      <c r="H67" s="7890" t="s">
        <v>28</v>
      </c>
      <c r="I67" s="7890" t="s">
        <v>28</v>
      </c>
    </row>
    <row customHeight="1" ht="11.25">
      <c r="A68" s="7890" t="s">
        <v>3347</v>
      </c>
      <c r="B68" s="7890" t="s">
        <v>3971</v>
      </c>
      <c r="C68" s="7890" t="s">
        <v>28</v>
      </c>
      <c r="D68" s="7890" t="s">
        <v>3972</v>
      </c>
      <c r="E68" s="7890" t="s">
        <v>3906</v>
      </c>
      <c r="F68" s="7890" t="s">
        <v>28</v>
      </c>
      <c r="G68" s="7890" t="s">
        <v>28</v>
      </c>
      <c r="H68" s="7890" t="s">
        <v>28</v>
      </c>
      <c r="I68" s="7890" t="s">
        <v>28</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79EF8C-26E7-A96A-A6C9-98315B6BF872}" mc:Ignorable="x14ac xr xr2 xr3">
  <sheetPr>
    <tabColor rgb="FFFFCC99"/>
  </sheetPr>
  <dimension ref="A1:A1"/>
  <sheetViews>
    <sheetView topLeftCell="A1"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0F1654-2CCB-5262-4EFC-259B7A9B65EA}"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30505" width="9.140625" hidden="1" customWidth="1"/>
    <col min="2" max="2" style="30541" width="9.140625" hidden="1" customWidth="1"/>
    <col min="3" max="3" style="30726" width="3.00390625" customWidth="1"/>
    <col min="4" max="4" style="30541" width="5.00390625" customWidth="1"/>
    <col min="5" max="5" style="30541" width="48.00390625" customWidth="1"/>
    <col min="6" max="6" style="30541" width="38.00390625" customWidth="1"/>
    <col min="7" max="7" style="30541" width="1.7109375" hidden="1" customWidth="1"/>
    <col min="8" max="11" style="30541" width="19.8515625" customWidth="1"/>
    <col min="12" max="12" style="30541" width="9.7109375" customWidth="1"/>
    <col min="13" max="18" style="30541" width="19.8515625" customWidth="1"/>
    <col min="19" max="19" style="30541" width="1.7109375" hidden="1" customWidth="1"/>
    <col min="20" max="22" style="30541" width="19.8515625" hidden="1" customWidth="1"/>
    <col min="23" max="23" style="30541" width="1.7109375" hidden="1" customWidth="1"/>
    <col min="24" max="26" style="30541" width="19.8515625" hidden="1" customWidth="1"/>
    <col min="27" max="27" style="30541" width="1.7109375" hidden="1" customWidth="1"/>
    <col min="28" max="29" style="30541" width="19.8515625" hidden="1" customWidth="1"/>
    <col min="30" max="30" style="30541" width="1.7109375" hidden="1" customWidth="1"/>
    <col min="31" max="31" style="30541" width="103.7109375" customWidth="1"/>
    <col min="32" max="34" style="30541" width="103.7109375" hidden="1" customWidth="1"/>
    <col min="35" max="35" style="30636" width="3.00390625" customWidth="1"/>
    <col min="36" max="38" style="30621" width="10.00390625" customWidth="1"/>
    <col min="39" max="39" style="30621" width="13.7109375" hidden="1" customWidth="1"/>
    <col min="40" max="40" style="30621" width="15.00390625" customWidth="1"/>
    <col min="41" max="41" style="30621" width="16.00390625" customWidth="1"/>
    <col min="42" max="45" style="30621" width="10.00390625" customWidth="1"/>
    <col min="46" max="46" style="30541" width="10.57421875" hidden="1"/>
  </cols>
  <sheetData>
    <row customHeight="1" ht="22.5" hidden="1">
      <c r="E1" s="696"/>
      <c r="F1" s="696"/>
      <c r="G1" s="696"/>
      <c r="H1" s="2501" t="s">
        <v>412</v>
      </c>
      <c r="I1" s="2501"/>
      <c r="J1" s="2501"/>
      <c r="K1" s="2501"/>
      <c r="L1" s="2501"/>
      <c r="M1" s="2501"/>
      <c r="N1" s="2501"/>
      <c r="O1" s="2501"/>
      <c r="P1" s="2501"/>
      <c r="Q1" s="2501"/>
      <c r="R1" s="2501"/>
      <c r="T1" s="2501" t="s">
        <v>413</v>
      </c>
      <c r="U1" s="2501"/>
      <c r="V1" s="2501"/>
      <c r="X1" s="2501" t="s">
        <v>414</v>
      </c>
      <c r="Y1" s="2501"/>
      <c r="Z1" s="2501"/>
      <c r="AB1" s="2501" t="s">
        <v>415</v>
      </c>
      <c r="AC1" s="2501"/>
      <c r="AT1" s="731" t="s">
        <v>14</v>
      </c>
    </row>
    <row customHeight="1" ht="14.25" hidden="1">
      <c r="AT2" s="731">
        <v>0</v>
      </c>
    </row>
    <row s="31220" customFormat="1" customHeight="1" ht="5.25">
      <c r="C3" s="985"/>
      <c r="D3" s="986"/>
      <c r="E3" s="986"/>
      <c r="F3" s="986"/>
      <c r="G3" s="986"/>
      <c r="H3" s="986" t="s">
        <v>416</v>
      </c>
      <c r="I3" s="986"/>
      <c r="J3" s="986"/>
      <c r="K3" s="986"/>
      <c r="L3" s="986"/>
      <c r="M3" s="986"/>
      <c r="N3" s="986"/>
      <c r="O3" s="986"/>
      <c r="P3" s="986"/>
      <c r="Q3" s="986"/>
      <c r="R3" s="986"/>
      <c r="S3" s="986"/>
      <c r="T3" s="986"/>
      <c r="U3" s="986"/>
      <c r="V3" s="986"/>
      <c r="W3" s="986"/>
      <c r="X3" s="986"/>
      <c r="Y3" s="986"/>
      <c r="Z3" s="986"/>
      <c r="AA3" s="986"/>
      <c r="AB3" s="986"/>
      <c r="AC3" s="986"/>
      <c r="AD3" s="986"/>
      <c r="AE3" s="986"/>
      <c r="AF3" s="986"/>
      <c r="AG3" s="986"/>
      <c r="AH3" s="986"/>
      <c r="AJ3" s="795"/>
      <c r="AK3" s="795"/>
      <c r="AL3" s="795"/>
      <c r="AM3" s="795"/>
      <c r="AN3" s="795"/>
      <c r="AO3" s="795"/>
      <c r="AP3" s="795"/>
      <c r="AQ3" s="795"/>
      <c r="AR3" s="795"/>
      <c r="AS3" s="795"/>
      <c r="AT3" s="984">
        <v>5</v>
      </c>
    </row>
    <row customHeight="1" ht="39.75">
      <c r="C4" s="734"/>
      <c r="D4" s="244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42"/>
      <c r="F4" s="2442"/>
      <c r="G4" s="2442"/>
      <c r="H4" s="2442"/>
      <c r="I4" s="2442"/>
      <c r="J4" s="2442"/>
      <c r="K4" s="2442"/>
      <c r="L4" s="2442"/>
      <c r="M4" s="2442"/>
      <c r="N4" s="2442"/>
      <c r="O4" s="2442"/>
      <c r="P4" s="2442"/>
      <c r="Q4" s="2442"/>
      <c r="R4" s="2443"/>
      <c r="S4" s="1137"/>
      <c r="T4" s="983"/>
      <c r="U4" s="983"/>
      <c r="V4" s="983"/>
      <c r="W4" s="983"/>
      <c r="X4" s="983"/>
      <c r="Y4" s="983"/>
      <c r="Z4" s="983"/>
      <c r="AA4" s="983"/>
      <c r="AB4" s="983"/>
      <c r="AC4" s="983"/>
      <c r="AD4" s="983"/>
      <c r="AE4" s="775"/>
      <c r="AF4" s="775"/>
      <c r="AG4" s="775"/>
      <c r="AH4" s="775"/>
      <c r="AI4" s="772"/>
      <c r="AT4" s="731">
        <v>38</v>
      </c>
    </row>
    <row s="30541" customFormat="1" customHeight="1" ht="18">
      <c r="A5" s="1043"/>
      <c r="C5" s="1106"/>
      <c r="D5" s="2498" t="str">
        <f>IF(org=0,"Не определено",org)</f>
        <v>АО "ДГК"</v>
      </c>
      <c r="E5" s="2499"/>
      <c r="F5" s="2499"/>
      <c r="G5" s="2499"/>
      <c r="H5" s="2499"/>
      <c r="I5" s="2499"/>
      <c r="J5" s="2499"/>
      <c r="K5" s="2499"/>
      <c r="L5" s="2499"/>
      <c r="M5" s="2499"/>
      <c r="N5" s="2499"/>
      <c r="O5" s="2499"/>
      <c r="P5" s="2499"/>
      <c r="Q5" s="2499"/>
      <c r="R5" s="2500"/>
      <c r="S5" s="1137"/>
      <c r="T5" s="983"/>
      <c r="U5" s="983"/>
      <c r="V5" s="983"/>
      <c r="W5" s="983"/>
      <c r="X5" s="983"/>
      <c r="Y5" s="983"/>
      <c r="Z5" s="983"/>
      <c r="AA5" s="983"/>
      <c r="AB5" s="983"/>
      <c r="AC5" s="983"/>
      <c r="AD5" s="983"/>
      <c r="AE5" s="775"/>
      <c r="AF5" s="775"/>
      <c r="AG5" s="775"/>
      <c r="AH5" s="775"/>
      <c r="AI5" s="772"/>
      <c r="AJ5" s="795"/>
      <c r="AK5" s="795"/>
      <c r="AL5" s="795"/>
      <c r="AM5" s="795"/>
      <c r="AN5" s="795"/>
      <c r="AO5" s="795"/>
      <c r="AP5" s="795"/>
      <c r="AQ5" s="795"/>
      <c r="AR5" s="795"/>
      <c r="AS5" s="795"/>
      <c r="AT5" s="1042">
        <v>17</v>
      </c>
    </row>
    <row s="30516" customFormat="1" customHeight="1" ht="11.549999999999999">
      <c r="A6" s="763"/>
      <c r="C6" s="770"/>
      <c r="D6" s="769"/>
      <c r="E6" s="769"/>
      <c r="F6" s="769"/>
      <c r="G6" s="769"/>
      <c r="H6" s="769"/>
      <c r="I6" s="769"/>
      <c r="J6" s="769"/>
      <c r="K6" s="769"/>
      <c r="L6" s="769"/>
      <c r="M6" s="769"/>
      <c r="N6" s="769"/>
      <c r="O6" s="769"/>
      <c r="P6" s="769"/>
      <c r="Q6" s="769"/>
      <c r="R6" s="1036"/>
      <c r="S6" s="1036"/>
      <c r="T6" s="769"/>
      <c r="U6" s="769"/>
      <c r="V6" s="996"/>
      <c r="W6" s="996"/>
      <c r="X6" s="769"/>
      <c r="Y6" s="769"/>
      <c r="Z6" s="996"/>
      <c r="AA6" s="996"/>
      <c r="AB6" s="769"/>
      <c r="AC6" s="996"/>
      <c r="AD6" s="996"/>
      <c r="AE6" s="769"/>
      <c r="AF6" s="769"/>
      <c r="AG6" s="769"/>
      <c r="AH6" s="769"/>
      <c r="AJ6" s="773"/>
      <c r="AK6" s="773"/>
      <c r="AL6" s="773"/>
      <c r="AM6" s="773"/>
      <c r="AN6" s="773"/>
      <c r="AO6" s="773"/>
      <c r="AP6" s="773"/>
      <c r="AQ6" s="773"/>
      <c r="AR6" s="773"/>
      <c r="AS6" s="773"/>
      <c r="AT6" s="764">
        <v>11</v>
      </c>
    </row>
    <row customHeight="1" ht="14.699999999999998">
      <c r="C7" s="734"/>
      <c r="D7" s="2502" t="s">
        <v>360</v>
      </c>
      <c r="E7" s="2503"/>
      <c r="F7" s="2503"/>
      <c r="G7" s="2503"/>
      <c r="H7" s="2503"/>
      <c r="I7" s="2503"/>
      <c r="J7" s="2503"/>
      <c r="K7" s="2503"/>
      <c r="L7" s="2503"/>
      <c r="M7" s="2503"/>
      <c r="N7" s="2503"/>
      <c r="O7" s="2503"/>
      <c r="P7" s="2503"/>
      <c r="Q7" s="2503"/>
      <c r="R7" s="2503"/>
      <c r="S7" s="2503"/>
      <c r="T7" s="2503"/>
      <c r="U7" s="2503"/>
      <c r="V7" s="2503"/>
      <c r="W7" s="2503"/>
      <c r="X7" s="2503"/>
      <c r="Y7" s="2503"/>
      <c r="Z7" s="2503"/>
      <c r="AA7" s="2503"/>
      <c r="AB7" s="2503"/>
      <c r="AC7" s="2503"/>
      <c r="AD7" s="2504"/>
      <c r="AE7" s="2507" t="s">
        <v>361</v>
      </c>
      <c r="AF7" s="2507" t="s">
        <v>361</v>
      </c>
      <c r="AG7" s="2507" t="s">
        <v>361</v>
      </c>
      <c r="AH7" s="2507" t="s">
        <v>361</v>
      </c>
      <c r="AT7" s="731">
        <v>14</v>
      </c>
    </row>
    <row customHeight="1" ht="27.299999999999997">
      <c r="C8" s="734"/>
      <c r="D8" s="2411" t="s">
        <v>91</v>
      </c>
      <c r="E8" s="2507" t="str">
        <f>"Наименование "&amp;IF(TEMPLATE_SPHERE&lt;&gt;"HEAT","централизованной ","")&amp;"системы "&amp;TEMPLATE_SPHERE_RUS</f>
        <v>Наименование системы теплоснабжения</v>
      </c>
      <c r="F8" s="2507" t="str">
        <f>IF(TEMPLATE_SPHERE&lt;&gt;"HEAT","Регулируемый вид деятельности","Вид регулируемой деятельности")</f>
        <v>Вид регулируемой деятельности</v>
      </c>
      <c r="G8" s="1112"/>
      <c r="H8" s="2508" t="s">
        <v>417</v>
      </c>
      <c r="I8" s="2510" t="s">
        <v>418</v>
      </c>
      <c r="J8" s="2507" t="s">
        <v>419</v>
      </c>
      <c r="K8" s="2507"/>
      <c r="L8" s="2507"/>
      <c r="M8" s="2502"/>
      <c r="N8" s="2507" t="s">
        <v>420</v>
      </c>
      <c r="O8" s="2507"/>
      <c r="P8" s="2507" t="s">
        <v>421</v>
      </c>
      <c r="Q8" s="2507"/>
      <c r="R8" s="2514" t="s">
        <v>422</v>
      </c>
      <c r="S8" s="1108"/>
      <c r="T8" s="2512" t="s">
        <v>423</v>
      </c>
      <c r="U8" s="2512" t="s">
        <v>424</v>
      </c>
      <c r="V8" s="2512" t="s">
        <v>425</v>
      </c>
      <c r="W8" s="1110"/>
      <c r="X8" s="2512" t="s">
        <v>426</v>
      </c>
      <c r="Y8" s="2512" t="s">
        <v>427</v>
      </c>
      <c r="Z8" s="2512" t="s">
        <v>428</v>
      </c>
      <c r="AA8" s="1110"/>
      <c r="AB8" s="2512" t="s">
        <v>429</v>
      </c>
      <c r="AC8" s="2512" t="s">
        <v>422</v>
      </c>
      <c r="AD8" s="1110"/>
      <c r="AE8" s="2507"/>
      <c r="AF8" s="2507"/>
      <c r="AG8" s="2507"/>
      <c r="AH8" s="2507"/>
      <c r="AT8" s="731">
        <v>26</v>
      </c>
    </row>
    <row customHeight="1" ht="46.199999999999996">
      <c r="C9" s="734"/>
      <c r="D9" s="2411"/>
      <c r="E9" s="2507"/>
      <c r="F9" s="2507"/>
      <c r="G9" s="1113"/>
      <c r="H9" s="2509"/>
      <c r="I9" s="2511"/>
      <c r="J9" s="709" t="s">
        <v>430</v>
      </c>
      <c r="K9" s="709" t="s">
        <v>431</v>
      </c>
      <c r="L9" s="709" t="s">
        <v>432</v>
      </c>
      <c r="M9" s="715" t="s">
        <v>433</v>
      </c>
      <c r="N9" s="709" t="s">
        <v>434</v>
      </c>
      <c r="O9" s="709" t="s">
        <v>433</v>
      </c>
      <c r="P9" s="709" t="s">
        <v>435</v>
      </c>
      <c r="Q9" s="709" t="s">
        <v>433</v>
      </c>
      <c r="R9" s="2515"/>
      <c r="S9" s="1109"/>
      <c r="T9" s="2513"/>
      <c r="U9" s="2513"/>
      <c r="V9" s="2513"/>
      <c r="W9" s="1111"/>
      <c r="X9" s="2513"/>
      <c r="Y9" s="2513"/>
      <c r="Z9" s="2513"/>
      <c r="AA9" s="1111"/>
      <c r="AB9" s="2513"/>
      <c r="AC9" s="2513"/>
      <c r="AD9" s="1111"/>
      <c r="AE9" s="2507"/>
      <c r="AF9" s="2507"/>
      <c r="AG9" s="2507"/>
      <c r="AH9" s="2507"/>
      <c r="AT9" s="731">
        <v>44</v>
      </c>
    </row>
    <row customHeight="1" ht="12" hidden="1">
      <c r="C10" s="771"/>
      <c r="D10" s="732"/>
      <c r="E10" s="732"/>
      <c r="F10" s="732"/>
      <c r="G10" s="732"/>
      <c r="H10" s="732"/>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1"/>
      <c r="AP10" s="784"/>
      <c r="AQ10" s="784"/>
      <c r="AT10" s="731">
        <v>0</v>
      </c>
    </row>
    <row s="31261" customFormat="1" customHeight="1" ht="11.25" hidden="1">
      <c r="C11" s="782"/>
      <c r="D11" s="783" t="s">
        <v>436</v>
      </c>
      <c r="E11" s="783"/>
      <c r="F11" s="783"/>
      <c r="G11" s="783"/>
      <c r="H11" s="781"/>
      <c r="I11" s="781"/>
      <c r="J11" s="781"/>
      <c r="K11" s="781"/>
      <c r="L11" s="781"/>
      <c r="M11" s="781"/>
      <c r="N11" s="781"/>
      <c r="O11" s="781"/>
      <c r="P11" s="781"/>
      <c r="Q11" s="781"/>
      <c r="R11" s="781"/>
      <c r="S11" s="781"/>
      <c r="T11" s="781"/>
      <c r="U11" s="781"/>
      <c r="V11" s="781"/>
      <c r="W11" s="781"/>
      <c r="X11" s="781"/>
      <c r="Y11" s="781"/>
      <c r="Z11" s="781"/>
      <c r="AA11" s="781"/>
      <c r="AB11" s="781"/>
      <c r="AC11" s="781"/>
      <c r="AD11" s="781"/>
      <c r="AE11" s="719"/>
      <c r="AF11" s="719"/>
      <c r="AG11" s="719"/>
      <c r="AH11" s="719"/>
      <c r="AJ11" s="773"/>
      <c r="AK11" s="773"/>
      <c r="AL11" s="773"/>
      <c r="AM11" s="773"/>
      <c r="AN11" s="773"/>
      <c r="AO11" s="773"/>
      <c r="AP11" s="773"/>
      <c r="AQ11" s="773"/>
      <c r="AR11" s="773"/>
      <c r="AS11" s="773"/>
      <c r="AT11" s="780">
        <v>0</v>
      </c>
    </row>
    <row customHeight="1" ht="14.699999999999998">
      <c r="A12" s="731"/>
      <c r="C12" s="734"/>
      <c r="D12" s="718" t="s">
        <v>141</v>
      </c>
      <c r="E12" s="2061" t="s">
        <v>28</v>
      </c>
      <c r="F12" s="1139"/>
      <c r="G12" s="1140"/>
      <c r="H12" s="2062"/>
      <c r="I12" s="2062"/>
      <c r="J12" s="717"/>
      <c r="K12" s="2147"/>
      <c r="L12" s="716"/>
      <c r="M12" s="2147"/>
      <c r="N12" s="717"/>
      <c r="O12" s="2147"/>
      <c r="P12" s="717"/>
      <c r="Q12" s="2147"/>
      <c r="R12" s="717"/>
      <c r="S12" s="1138"/>
      <c r="T12" s="2062"/>
      <c r="U12" s="717"/>
      <c r="V12" s="717"/>
      <c r="W12" s="1111"/>
      <c r="X12" s="2062"/>
      <c r="Y12" s="717"/>
      <c r="Z12" s="717"/>
      <c r="AA12" s="1111"/>
      <c r="AB12" s="2062"/>
      <c r="AC12" s="717"/>
      <c r="AD12" s="1111"/>
      <c r="AE12" s="2505" t="s">
        <v>437</v>
      </c>
      <c r="AF12" s="2505" t="s">
        <v>438</v>
      </c>
      <c r="AG12" s="2505" t="s">
        <v>439</v>
      </c>
      <c r="AH12" s="2505" t="s">
        <v>440</v>
      </c>
      <c r="AI12" s="731"/>
      <c r="AM12" s="795"/>
      <c r="AP12" s="784" t="s">
        <v>441</v>
      </c>
      <c r="AQ12" s="784" t="s">
        <v>441</v>
      </c>
      <c r="AT12" s="731">
        <v>14</v>
      </c>
    </row>
    <row customHeight="1" ht="18">
      <c r="A13" s="731"/>
      <c r="C13" s="734"/>
      <c r="D13" s="689"/>
      <c r="E13" s="1153" t="str">
        <f>IF(TITLE_DIFFERENTIATION_TYPE="нет","","Добавить систему")</f>
        <v/>
      </c>
      <c r="F13" s="1153" t="str">
        <f>IF(TITLE_DIFFERENTIATION_TYPE="нет","Добавить вид деятельности","")</f>
        <v>Добавить вид деятельности</v>
      </c>
      <c r="G13" s="597"/>
      <c r="H13" s="690"/>
      <c r="I13" s="690"/>
      <c r="J13" s="690"/>
      <c r="K13" s="690"/>
      <c r="L13" s="690"/>
      <c r="M13" s="690"/>
      <c r="N13" s="690"/>
      <c r="O13" s="690"/>
      <c r="P13" s="690"/>
      <c r="Q13" s="690"/>
      <c r="R13" s="690"/>
      <c r="S13" s="690"/>
      <c r="T13" s="690"/>
      <c r="U13" s="690"/>
      <c r="V13" s="690"/>
      <c r="W13" s="690"/>
      <c r="X13" s="690"/>
      <c r="Y13" s="690"/>
      <c r="Z13" s="690"/>
      <c r="AA13" s="690"/>
      <c r="AB13" s="690"/>
      <c r="AC13" s="690"/>
      <c r="AD13" s="1141"/>
      <c r="AE13" s="2506"/>
      <c r="AF13" s="2506"/>
      <c r="AG13" s="2506"/>
      <c r="AH13" s="2506"/>
      <c r="AI13" s="731"/>
      <c r="AT13" s="731">
        <v>17</v>
      </c>
    </row>
    <row customHeight="1" ht="14.699999999999998">
      <c r="AI14" s="731"/>
      <c r="AT14" s="731">
        <v>14</v>
      </c>
    </row>
    <row customHeight="1" ht="14.699999999999998">
      <c r="E15" s="1042"/>
      <c r="L15" s="1042"/>
      <c r="AT15" s="731">
        <v>14</v>
      </c>
    </row>
    <row customHeight="1" ht="14.699999999999998">
      <c r="L16" s="1042"/>
      <c r="AT16" s="731">
        <v>14</v>
      </c>
    </row>
    <row customHeight="1" ht="14.699999999999998">
      <c r="L17" s="1042"/>
      <c r="AT17" s="731">
        <v>14</v>
      </c>
    </row>
    <row customHeight="1" ht="22.5" hidden="1">
      <c r="A18" s="733" t="s">
        <v>85</v>
      </c>
      <c r="B18" s="731">
        <v>0</v>
      </c>
      <c r="C18" s="735">
        <v>3</v>
      </c>
      <c r="D18" s="731">
        <v>5</v>
      </c>
      <c r="E18" s="731">
        <v>48</v>
      </c>
      <c r="F18" s="731">
        <v>38</v>
      </c>
      <c r="G18" s="1042">
        <v>0</v>
      </c>
      <c r="H18" s="731">
        <v>0</v>
      </c>
      <c r="I18" s="731">
        <v>0</v>
      </c>
      <c r="J18" s="731">
        <v>0</v>
      </c>
      <c r="K18" s="731">
        <v>0</v>
      </c>
      <c r="L18" s="731">
        <v>0</v>
      </c>
      <c r="M18" s="731">
        <v>0</v>
      </c>
      <c r="N18" s="731">
        <v>0</v>
      </c>
      <c r="O18" s="731">
        <v>0</v>
      </c>
      <c r="P18" s="731">
        <v>0</v>
      </c>
      <c r="Q18" s="731">
        <v>0</v>
      </c>
      <c r="R18" s="731">
        <v>0</v>
      </c>
      <c r="S18" s="1042">
        <v>0</v>
      </c>
      <c r="T18" s="789">
        <v>0</v>
      </c>
      <c r="U18" s="789">
        <v>0</v>
      </c>
      <c r="V18" s="789">
        <v>0</v>
      </c>
      <c r="W18" s="1042">
        <v>0</v>
      </c>
      <c r="X18" s="789">
        <v>0</v>
      </c>
      <c r="Y18" s="789">
        <v>0</v>
      </c>
      <c r="Z18" s="789">
        <v>0</v>
      </c>
      <c r="AA18" s="1042">
        <v>0</v>
      </c>
      <c r="AB18" s="789">
        <v>0</v>
      </c>
      <c r="AC18" s="789">
        <v>0</v>
      </c>
      <c r="AD18" s="1042">
        <v>0</v>
      </c>
      <c r="AE18" s="731">
        <v>0</v>
      </c>
      <c r="AF18" s="789">
        <v>0</v>
      </c>
      <c r="AG18" s="789">
        <v>0</v>
      </c>
      <c r="AH18" s="789">
        <v>0</v>
      </c>
      <c r="AI18" s="736">
        <v>3</v>
      </c>
      <c r="AJ18" s="773">
        <v>10</v>
      </c>
      <c r="AK18" s="773">
        <v>10</v>
      </c>
      <c r="AL18" s="773">
        <v>10</v>
      </c>
      <c r="AM18" s="773">
        <v>0</v>
      </c>
      <c r="AN18" s="773">
        <v>15</v>
      </c>
      <c r="AO18" s="773">
        <v>16</v>
      </c>
      <c r="AP18" s="773">
        <v>10</v>
      </c>
      <c r="AQ18" s="773">
        <v>10</v>
      </c>
      <c r="AR18" s="773">
        <v>10</v>
      </c>
      <c r="AS18" s="773">
        <v>10</v>
      </c>
      <c r="AT18" s="731">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0B9B62-93BA-AE7A-6015-3B9B36424D86}" mc:Ignorable="x14ac xr xr2 xr3">
  <sheetPr>
    <tabColor rgb="FFFFCC99"/>
  </sheetPr>
  <dimension ref="A1:B7"/>
  <sheetViews>
    <sheetView topLeftCell="A1" showGridLines="0" workbookViewId="0">
      <selection activeCell="A1" sqref="A1"/>
    </sheetView>
  </sheetViews>
  <sheetFormatPr defaultColWidth="9.140625" customHeight="1" defaultRowHeight="11.25"/>
  <cols>
    <col min="1" max="2" style="38841" width="9.140625"/>
  </cols>
  <sheetData>
    <row customHeight="1" ht="11.25">
      <c r="A1" s="467" t="s">
        <v>160</v>
      </c>
      <c r="B1" s="467" t="s">
        <v>3973</v>
      </c>
    </row>
    <row customHeight="1" ht="11.25">
      <c r="A2" s="13638" t="s">
        <v>101</v>
      </c>
      <c r="B2" s="13638" t="s">
        <v>3974</v>
      </c>
    </row>
    <row customHeight="1" ht="11.25">
      <c r="A3" s="13638" t="s">
        <v>111</v>
      </c>
      <c r="B3" s="13638" t="s">
        <v>3975</v>
      </c>
    </row>
    <row customHeight="1" ht="11.25">
      <c r="A4" s="13638" t="s">
        <v>115</v>
      </c>
      <c r="B4" s="13638" t="s">
        <v>3976</v>
      </c>
    </row>
    <row customHeight="1" ht="11.25">
      <c r="A5" s="13638" t="s">
        <v>119</v>
      </c>
      <c r="B5" s="13638" t="s">
        <v>3977</v>
      </c>
    </row>
    <row customHeight="1" ht="11.25">
      <c r="A6" s="13638" t="s">
        <v>125</v>
      </c>
      <c r="B6" s="13638" t="s">
        <v>3978</v>
      </c>
    </row>
    <row customHeight="1" ht="11.25">
      <c r="A7" s="13638" t="s">
        <v>130</v>
      </c>
      <c r="B7" s="13638" t="s">
        <v>3979</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E948CB-AD35-6364-A1C2-AC1E2032F37E}"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38838" width="9.140625"/>
    <col min="2" max="2" style="38838" width="65.28125" customWidth="1"/>
  </cols>
  <sheetData>
    <row customHeight="1" ht="11.25">
      <c r="A1" s="1119" t="s">
        <v>3980</v>
      </c>
      <c r="B1" s="1119" t="s">
        <v>3981</v>
      </c>
    </row>
    <row customHeight="1" ht="11.25">
      <c r="A2" s="1119">
        <v>4213775</v>
      </c>
      <c r="B2" s="1119" t="s">
        <v>1303</v>
      </c>
    </row>
    <row customHeight="1" ht="11.25">
      <c r="A3" s="1119">
        <v>4213784</v>
      </c>
      <c r="B3" s="1119" t="s">
        <v>1336</v>
      </c>
    </row>
    <row customHeight="1" ht="11.25">
      <c r="A4" s="1119">
        <v>4213781</v>
      </c>
      <c r="B4" s="1119" t="s">
        <v>1329</v>
      </c>
    </row>
    <row customHeight="1" ht="11.25">
      <c r="A5" s="1119">
        <v>4213776</v>
      </c>
      <c r="B5" s="1119" t="s">
        <v>196</v>
      </c>
    </row>
    <row customHeight="1" ht="11.25">
      <c r="A6" s="1119">
        <v>4213777</v>
      </c>
      <c r="B6" s="1119" t="s">
        <v>205</v>
      </c>
    </row>
    <row customHeight="1" ht="11.25">
      <c r="A7" s="1119">
        <v>4213778</v>
      </c>
      <c r="B7" s="1119" t="s">
        <v>240</v>
      </c>
    </row>
    <row customHeight="1" ht="11.25">
      <c r="A8" s="1119">
        <v>4213780</v>
      </c>
      <c r="B8" s="1119" t="s">
        <v>246</v>
      </c>
    </row>
    <row customHeight="1" ht="11.25">
      <c r="A9" s="1119">
        <v>4213779</v>
      </c>
      <c r="B9" s="1119" t="s">
        <v>1469</v>
      </c>
    </row>
    <row customHeight="1" ht="11.25">
      <c r="A10" s="1119">
        <v>4213783</v>
      </c>
      <c r="B10" s="1119" t="s">
        <v>1484</v>
      </c>
    </row>
    <row customHeight="1" ht="11.25">
      <c r="A11" s="1119">
        <v>4213782</v>
      </c>
      <c r="B11" s="1119" t="s">
        <v>252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AAA142-9931-751A-8DCD-0F13EFB8ACE5}"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38838" width="9.140625"/>
    <col min="2" max="2" style="38838" width="65.28125" customWidth="1"/>
  </cols>
  <sheetData>
    <row customHeight="1" ht="11.25">
      <c r="A1" s="1119" t="s">
        <v>3980</v>
      </c>
      <c r="B1" s="1119" t="s">
        <v>3982</v>
      </c>
    </row>
    <row customHeight="1" ht="11.25">
      <c r="A2" s="1119" t="s">
        <v>3983</v>
      </c>
      <c r="B2" s="1119" t="s">
        <v>1582</v>
      </c>
    </row>
    <row customHeight="1" ht="11.25">
      <c r="A3" s="1119" t="s">
        <v>3984</v>
      </c>
      <c r="B3" s="1119" t="s">
        <v>1592</v>
      </c>
    </row>
    <row customHeight="1" ht="11.25">
      <c r="A4" s="1119" t="s">
        <v>3985</v>
      </c>
      <c r="B4" s="1119" t="s">
        <v>1601</v>
      </c>
    </row>
    <row customHeight="1" ht="11.25">
      <c r="A5" s="1119" t="s">
        <v>3986</v>
      </c>
      <c r="B5" s="1119" t="s">
        <v>1610</v>
      </c>
    </row>
    <row customHeight="1" ht="11.25">
      <c r="A6" s="1119" t="s">
        <v>3987</v>
      </c>
      <c r="B6" s="1119" t="s">
        <v>1616</v>
      </c>
    </row>
    <row customHeight="1" ht="11.25">
      <c r="A7" s="1119" t="s">
        <v>3988</v>
      </c>
      <c r="B7" s="1119" t="s">
        <v>1624</v>
      </c>
    </row>
    <row customHeight="1" ht="11.25">
      <c r="A8" s="1119" t="s">
        <v>3989</v>
      </c>
      <c r="B8" s="1119" t="s">
        <v>1631</v>
      </c>
    </row>
    <row customHeight="1" ht="11.25">
      <c r="A9" s="1119" t="s">
        <v>3990</v>
      </c>
      <c r="B9" s="1119" t="s">
        <v>1637</v>
      </c>
    </row>
    <row customHeight="1" ht="11.25">
      <c r="A10" s="1119" t="s">
        <v>3991</v>
      </c>
      <c r="B10" s="1119" t="s">
        <v>1641</v>
      </c>
    </row>
    <row customHeight="1" ht="11.25">
      <c r="A11" s="1119" t="s">
        <v>3992</v>
      </c>
      <c r="B11" s="1119" t="s">
        <v>1648</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271D9D-8DB5-2895-771E-92AA578DEDB9}" mc:Ignorable="x14ac xr xr2 xr3">
  <sheetPr>
    <tabColor rgb="FFFFCC99"/>
  </sheetPr>
  <dimension ref="A1:G239"/>
  <sheetViews>
    <sheetView topLeftCell="A1" showGridLines="0" workbookViewId="0">
      <selection activeCell="A1" sqref="A1"/>
    </sheetView>
  </sheetViews>
  <sheetFormatPr customHeight="1" defaultRowHeight="11.25"/>
  <sheetData>
    <row customHeight="1" ht="11.25">
      <c r="A1" s="657" t="s">
        <v>3201</v>
      </c>
      <c r="B1" s="657" t="s">
        <v>3202</v>
      </c>
      <c r="C1" s="657" t="s">
        <v>3203</v>
      </c>
      <c r="D1" s="657" t="s">
        <v>3204</v>
      </c>
      <c r="E1" s="0" t="s">
        <v>3205</v>
      </c>
      <c r="F1" s="0" t="s">
        <v>3206</v>
      </c>
      <c r="G1" s="0" t="s">
        <v>3207</v>
      </c>
    </row>
    <row customHeight="1" ht="11.25">
      <c r="A2" s="0" t="s">
        <v>16</v>
      </c>
      <c r="B2" s="0" t="s">
        <v>116</v>
      </c>
      <c r="C2" s="0" t="s">
        <v>3208</v>
      </c>
      <c r="D2" s="0" t="s">
        <v>116</v>
      </c>
      <c r="E2" s="0" t="s">
        <v>3208</v>
      </c>
      <c r="F2" s="0" t="s">
        <v>3209</v>
      </c>
      <c r="G2" s="0" t="s">
        <v>141</v>
      </c>
    </row>
    <row customHeight="1" ht="11.25">
      <c r="A3" s="0" t="s">
        <v>16</v>
      </c>
      <c r="B3" s="0" t="s">
        <v>116</v>
      </c>
      <c r="C3" s="0" t="s">
        <v>3208</v>
      </c>
      <c r="D3" s="0" t="s">
        <v>3210</v>
      </c>
      <c r="E3" s="0" t="s">
        <v>3211</v>
      </c>
      <c r="F3" s="0" t="s">
        <v>3212</v>
      </c>
      <c r="G3" s="0" t="s">
        <v>105</v>
      </c>
    </row>
    <row customHeight="1" ht="11.25">
      <c r="A4" s="0" t="s">
        <v>16</v>
      </c>
      <c r="B4" s="0" t="s">
        <v>116</v>
      </c>
      <c r="C4" s="0" t="s">
        <v>3208</v>
      </c>
      <c r="D4" s="0" t="s">
        <v>3213</v>
      </c>
      <c r="E4" s="0" t="s">
        <v>3214</v>
      </c>
      <c r="F4" s="0" t="s">
        <v>3212</v>
      </c>
      <c r="G4" s="0" t="s">
        <v>93</v>
      </c>
    </row>
    <row customHeight="1" ht="11.25">
      <c r="A5" s="0" t="s">
        <v>16</v>
      </c>
      <c r="B5" s="0" t="s">
        <v>116</v>
      </c>
      <c r="C5" s="0" t="s">
        <v>3208</v>
      </c>
      <c r="D5" s="0" t="s">
        <v>117</v>
      </c>
      <c r="E5" s="0" t="s">
        <v>118</v>
      </c>
      <c r="F5" s="0" t="s">
        <v>3215</v>
      </c>
      <c r="G5" s="0" t="s">
        <v>94</v>
      </c>
    </row>
    <row customHeight="1" ht="11.25">
      <c r="A6" s="0" t="s">
        <v>16</v>
      </c>
      <c r="B6" s="0" t="s">
        <v>116</v>
      </c>
      <c r="C6" s="0" t="s">
        <v>3208</v>
      </c>
      <c r="D6" s="0" t="s">
        <v>3216</v>
      </c>
      <c r="E6" s="0" t="s">
        <v>3217</v>
      </c>
      <c r="F6" s="0" t="s">
        <v>3212</v>
      </c>
      <c r="G6" s="0" t="s">
        <v>124</v>
      </c>
    </row>
    <row customHeight="1" ht="11.25">
      <c r="A7" s="0" t="s">
        <v>16</v>
      </c>
      <c r="B7" s="0" t="s">
        <v>116</v>
      </c>
      <c r="C7" s="0" t="s">
        <v>3208</v>
      </c>
      <c r="D7" s="0" t="s">
        <v>3218</v>
      </c>
      <c r="E7" s="0" t="s">
        <v>3219</v>
      </c>
      <c r="F7" s="0" t="s">
        <v>3212</v>
      </c>
      <c r="G7" s="0" t="s">
        <v>95</v>
      </c>
    </row>
    <row customHeight="1" ht="11.25">
      <c r="A8" s="0" t="s">
        <v>16</v>
      </c>
      <c r="B8" s="0" t="s">
        <v>116</v>
      </c>
      <c r="C8" s="0" t="s">
        <v>3208</v>
      </c>
      <c r="D8" s="0" t="s">
        <v>3220</v>
      </c>
      <c r="E8" s="0" t="s">
        <v>3221</v>
      </c>
      <c r="F8" s="0" t="s">
        <v>3212</v>
      </c>
      <c r="G8" s="0" t="s">
        <v>96</v>
      </c>
    </row>
    <row customHeight="1" ht="11.25">
      <c r="A9" s="0" t="s">
        <v>16</v>
      </c>
      <c r="B9" s="0" t="s">
        <v>116</v>
      </c>
      <c r="C9" s="0" t="s">
        <v>3208</v>
      </c>
      <c r="D9" s="0" t="s">
        <v>3222</v>
      </c>
      <c r="E9" s="0" t="s">
        <v>3223</v>
      </c>
      <c r="F9" s="0" t="s">
        <v>3212</v>
      </c>
      <c r="G9" s="0" t="s">
        <v>142</v>
      </c>
    </row>
    <row customHeight="1" ht="11.25">
      <c r="A10" s="0" t="s">
        <v>16</v>
      </c>
      <c r="B10" s="0" t="s">
        <v>116</v>
      </c>
      <c r="C10" s="0" t="s">
        <v>3208</v>
      </c>
      <c r="D10" s="0" t="s">
        <v>3224</v>
      </c>
      <c r="E10" s="0" t="s">
        <v>3225</v>
      </c>
      <c r="F10" s="0" t="s">
        <v>3212</v>
      </c>
      <c r="G10" s="0" t="s">
        <v>178</v>
      </c>
    </row>
    <row customHeight="1" ht="11.25">
      <c r="A11" s="0" t="s">
        <v>16</v>
      </c>
      <c r="B11" s="0" t="s">
        <v>116</v>
      </c>
      <c r="C11" s="0" t="s">
        <v>3208</v>
      </c>
      <c r="D11" s="0" t="s">
        <v>3226</v>
      </c>
      <c r="E11" s="0" t="s">
        <v>3227</v>
      </c>
      <c r="F11" s="0" t="s">
        <v>3228</v>
      </c>
      <c r="G11" s="0" t="s">
        <v>179</v>
      </c>
    </row>
    <row customHeight="1" ht="11.25">
      <c r="A12" s="0" t="s">
        <v>16</v>
      </c>
      <c r="B12" s="0" t="s">
        <v>116</v>
      </c>
      <c r="C12" s="0" t="s">
        <v>3208</v>
      </c>
      <c r="D12" s="0" t="s">
        <v>3229</v>
      </c>
      <c r="E12" s="0" t="s">
        <v>3230</v>
      </c>
      <c r="F12" s="0" t="s">
        <v>3212</v>
      </c>
      <c r="G12" s="0" t="s">
        <v>180</v>
      </c>
    </row>
    <row customHeight="1" ht="11.25">
      <c r="A13" s="0" t="s">
        <v>16</v>
      </c>
      <c r="B13" s="0" t="s">
        <v>3231</v>
      </c>
      <c r="C13" s="0" t="s">
        <v>3232</v>
      </c>
      <c r="D13" s="0" t="s">
        <v>3233</v>
      </c>
      <c r="E13" s="0" t="s">
        <v>3234</v>
      </c>
      <c r="F13" s="0" t="s">
        <v>3212</v>
      </c>
      <c r="G13" s="0" t="s">
        <v>181</v>
      </c>
    </row>
    <row customHeight="1" ht="11.25">
      <c r="A14" s="0" t="s">
        <v>16</v>
      </c>
      <c r="B14" s="0" t="s">
        <v>3231</v>
      </c>
      <c r="C14" s="0" t="s">
        <v>3232</v>
      </c>
      <c r="D14" s="0" t="s">
        <v>3231</v>
      </c>
      <c r="E14" s="0" t="s">
        <v>3232</v>
      </c>
      <c r="F14" s="0" t="s">
        <v>3209</v>
      </c>
      <c r="G14" s="0" t="s">
        <v>182</v>
      </c>
    </row>
    <row customHeight="1" ht="11.25">
      <c r="A15" s="0" t="s">
        <v>16</v>
      </c>
      <c r="B15" s="0" t="s">
        <v>3231</v>
      </c>
      <c r="C15" s="0" t="s">
        <v>3232</v>
      </c>
      <c r="D15" s="0" t="s">
        <v>3235</v>
      </c>
      <c r="E15" s="0" t="s">
        <v>3236</v>
      </c>
      <c r="F15" s="0" t="s">
        <v>3212</v>
      </c>
      <c r="G15" s="0" t="s">
        <v>183</v>
      </c>
    </row>
    <row customHeight="1" ht="11.25">
      <c r="A16" s="0" t="s">
        <v>16</v>
      </c>
      <c r="B16" s="0" t="s">
        <v>3231</v>
      </c>
      <c r="C16" s="0" t="s">
        <v>3232</v>
      </c>
      <c r="D16" s="0" t="s">
        <v>3237</v>
      </c>
      <c r="E16" s="0" t="s">
        <v>3238</v>
      </c>
      <c r="F16" s="0" t="s">
        <v>3239</v>
      </c>
      <c r="G16" s="0" t="s">
        <v>1544</v>
      </c>
    </row>
    <row customHeight="1" ht="11.25">
      <c r="A17" s="0" t="s">
        <v>16</v>
      </c>
      <c r="B17" s="0" t="s">
        <v>3231</v>
      </c>
      <c r="C17" s="0" t="s">
        <v>3232</v>
      </c>
      <c r="D17" s="0" t="s">
        <v>3240</v>
      </c>
      <c r="E17" s="0" t="s">
        <v>3241</v>
      </c>
      <c r="F17" s="0" t="s">
        <v>3212</v>
      </c>
      <c r="G17" s="0" t="s">
        <v>1550</v>
      </c>
    </row>
    <row customHeight="1" ht="11.25">
      <c r="A18" s="0" t="s">
        <v>16</v>
      </c>
      <c r="B18" s="0" t="s">
        <v>3231</v>
      </c>
      <c r="C18" s="0" t="s">
        <v>3232</v>
      </c>
      <c r="D18" s="0" t="s">
        <v>3242</v>
      </c>
      <c r="E18" s="0" t="s">
        <v>3243</v>
      </c>
      <c r="F18" s="0" t="s">
        <v>3212</v>
      </c>
      <c r="G18" s="0" t="s">
        <v>1562</v>
      </c>
    </row>
    <row customHeight="1" ht="11.25">
      <c r="A19" s="0" t="s">
        <v>16</v>
      </c>
      <c r="B19" s="0" t="s">
        <v>3244</v>
      </c>
      <c r="C19" s="0" t="s">
        <v>3245</v>
      </c>
      <c r="D19" s="0" t="s">
        <v>3244</v>
      </c>
      <c r="E19" s="0" t="s">
        <v>3245</v>
      </c>
      <c r="F19" s="0" t="s">
        <v>3209</v>
      </c>
      <c r="G19" s="0" t="s">
        <v>1576</v>
      </c>
    </row>
    <row customHeight="1" ht="11.25">
      <c r="A20" s="0" t="s">
        <v>16</v>
      </c>
      <c r="B20" s="0" t="s">
        <v>3244</v>
      </c>
      <c r="C20" s="0" t="s">
        <v>3245</v>
      </c>
      <c r="D20" s="0" t="s">
        <v>3246</v>
      </c>
      <c r="E20" s="0" t="s">
        <v>3247</v>
      </c>
      <c r="F20" s="0" t="s">
        <v>3212</v>
      </c>
      <c r="G20" s="0" t="s">
        <v>1588</v>
      </c>
    </row>
    <row customHeight="1" ht="11.25">
      <c r="A21" s="0" t="s">
        <v>16</v>
      </c>
      <c r="B21" s="0" t="s">
        <v>3244</v>
      </c>
      <c r="C21" s="0" t="s">
        <v>3245</v>
      </c>
      <c r="D21" s="0" t="s">
        <v>3248</v>
      </c>
      <c r="E21" s="0" t="s">
        <v>3249</v>
      </c>
      <c r="F21" s="0" t="s">
        <v>3215</v>
      </c>
      <c r="G21" s="0" t="s">
        <v>1597</v>
      </c>
    </row>
    <row customHeight="1" ht="11.25">
      <c r="A22" s="0" t="s">
        <v>16</v>
      </c>
      <c r="B22" s="0" t="s">
        <v>3244</v>
      </c>
      <c r="C22" s="0" t="s">
        <v>3245</v>
      </c>
      <c r="D22" s="0" t="s">
        <v>3250</v>
      </c>
      <c r="E22" s="0" t="s">
        <v>3251</v>
      </c>
      <c r="F22" s="0" t="s">
        <v>3212</v>
      </c>
      <c r="G22" s="0" t="s">
        <v>1613</v>
      </c>
    </row>
    <row customHeight="1" ht="11.25">
      <c r="A23" s="0" t="s">
        <v>16</v>
      </c>
      <c r="B23" s="0" t="s">
        <v>3244</v>
      </c>
      <c r="C23" s="0" t="s">
        <v>3245</v>
      </c>
      <c r="D23" s="0" t="s">
        <v>3252</v>
      </c>
      <c r="E23" s="0" t="s">
        <v>3253</v>
      </c>
      <c r="F23" s="0" t="s">
        <v>3212</v>
      </c>
      <c r="G23" s="0" t="s">
        <v>1620</v>
      </c>
    </row>
    <row customHeight="1" ht="11.25">
      <c r="A24" s="0" t="s">
        <v>16</v>
      </c>
      <c r="B24" s="0" t="s">
        <v>3244</v>
      </c>
      <c r="C24" s="0" t="s">
        <v>3245</v>
      </c>
      <c r="D24" s="0" t="s">
        <v>3254</v>
      </c>
      <c r="E24" s="0" t="s">
        <v>3255</v>
      </c>
      <c r="F24" s="0" t="s">
        <v>3212</v>
      </c>
      <c r="G24" s="0" t="s">
        <v>1628</v>
      </c>
    </row>
    <row customHeight="1" ht="11.25">
      <c r="A25" s="0" t="s">
        <v>16</v>
      </c>
      <c r="B25" s="0" t="s">
        <v>3244</v>
      </c>
      <c r="C25" s="0" t="s">
        <v>3245</v>
      </c>
      <c r="D25" s="0" t="s">
        <v>3256</v>
      </c>
      <c r="E25" s="0" t="s">
        <v>3257</v>
      </c>
      <c r="F25" s="0" t="s">
        <v>3212</v>
      </c>
      <c r="G25" s="0" t="s">
        <v>1635</v>
      </c>
    </row>
    <row customHeight="1" ht="11.25">
      <c r="A26" s="0" t="s">
        <v>16</v>
      </c>
      <c r="B26" s="0" t="s">
        <v>3244</v>
      </c>
      <c r="C26" s="0" t="s">
        <v>3245</v>
      </c>
      <c r="D26" s="0" t="s">
        <v>3258</v>
      </c>
      <c r="E26" s="0" t="s">
        <v>3259</v>
      </c>
      <c r="F26" s="0" t="s">
        <v>3212</v>
      </c>
      <c r="G26" s="0" t="s">
        <v>1639</v>
      </c>
    </row>
    <row customHeight="1" ht="11.25">
      <c r="A27" s="0" t="s">
        <v>16</v>
      </c>
      <c r="B27" s="0" t="s">
        <v>3244</v>
      </c>
      <c r="C27" s="0" t="s">
        <v>3245</v>
      </c>
      <c r="D27" s="0" t="s">
        <v>3260</v>
      </c>
      <c r="E27" s="0" t="s">
        <v>3261</v>
      </c>
      <c r="F27" s="0" t="s">
        <v>3212</v>
      </c>
      <c r="G27" s="0" t="s">
        <v>1644</v>
      </c>
    </row>
    <row customHeight="1" ht="11.25">
      <c r="A28" s="0" t="s">
        <v>16</v>
      </c>
      <c r="B28" s="0" t="s">
        <v>3244</v>
      </c>
      <c r="C28" s="0" t="s">
        <v>3245</v>
      </c>
      <c r="D28" s="0" t="s">
        <v>3262</v>
      </c>
      <c r="E28" s="0" t="s">
        <v>3263</v>
      </c>
      <c r="F28" s="0" t="s">
        <v>3212</v>
      </c>
      <c r="G28" s="0" t="s">
        <v>1652</v>
      </c>
    </row>
    <row customHeight="1" ht="11.25">
      <c r="A29" s="0" t="s">
        <v>16</v>
      </c>
      <c r="B29" s="0" t="s">
        <v>3264</v>
      </c>
      <c r="C29" s="0" t="s">
        <v>3265</v>
      </c>
      <c r="D29" s="0" t="s">
        <v>3264</v>
      </c>
      <c r="E29" s="0" t="s">
        <v>3265</v>
      </c>
      <c r="F29" s="0" t="s">
        <v>3209</v>
      </c>
      <c r="G29" s="0" t="s">
        <v>1654</v>
      </c>
    </row>
    <row customHeight="1" ht="11.25">
      <c r="A30" s="0" t="s">
        <v>16</v>
      </c>
      <c r="B30" s="0" t="s">
        <v>3264</v>
      </c>
      <c r="C30" s="0" t="s">
        <v>3265</v>
      </c>
      <c r="D30" s="0" t="s">
        <v>3266</v>
      </c>
      <c r="E30" s="0" t="s">
        <v>3267</v>
      </c>
      <c r="F30" s="0" t="s">
        <v>3212</v>
      </c>
      <c r="G30" s="0" t="s">
        <v>1657</v>
      </c>
    </row>
    <row customHeight="1" ht="11.25">
      <c r="A31" s="0" t="s">
        <v>16</v>
      </c>
      <c r="B31" s="0" t="s">
        <v>3264</v>
      </c>
      <c r="C31" s="0" t="s">
        <v>3265</v>
      </c>
      <c r="D31" s="0" t="s">
        <v>3268</v>
      </c>
      <c r="E31" s="0" t="s">
        <v>3269</v>
      </c>
      <c r="F31" s="0" t="s">
        <v>3212</v>
      </c>
      <c r="G31" s="0" t="s">
        <v>1662</v>
      </c>
    </row>
    <row customHeight="1" ht="11.25">
      <c r="A32" s="0" t="s">
        <v>16</v>
      </c>
      <c r="B32" s="0" t="s">
        <v>3264</v>
      </c>
      <c r="C32" s="0" t="s">
        <v>3265</v>
      </c>
      <c r="D32" s="0" t="s">
        <v>3270</v>
      </c>
      <c r="E32" s="0" t="s">
        <v>3271</v>
      </c>
      <c r="F32" s="0" t="s">
        <v>3212</v>
      </c>
      <c r="G32" s="0" t="s">
        <v>1664</v>
      </c>
    </row>
    <row customHeight="1" ht="11.25">
      <c r="A33" s="0" t="s">
        <v>16</v>
      </c>
      <c r="B33" s="0" t="s">
        <v>3264</v>
      </c>
      <c r="C33" s="0" t="s">
        <v>3265</v>
      </c>
      <c r="D33" s="0" t="s">
        <v>3272</v>
      </c>
      <c r="E33" s="0" t="s">
        <v>3273</v>
      </c>
      <c r="F33" s="0" t="s">
        <v>3228</v>
      </c>
      <c r="G33" s="0" t="s">
        <v>1666</v>
      </c>
    </row>
    <row customHeight="1" ht="11.25">
      <c r="A34" s="0" t="s">
        <v>16</v>
      </c>
      <c r="B34" s="0" t="s">
        <v>3264</v>
      </c>
      <c r="C34" s="0" t="s">
        <v>3265</v>
      </c>
      <c r="D34" s="0" t="s">
        <v>3274</v>
      </c>
      <c r="E34" s="0" t="s">
        <v>3275</v>
      </c>
      <c r="F34" s="0" t="s">
        <v>3228</v>
      </c>
      <c r="G34" s="0" t="s">
        <v>1668</v>
      </c>
    </row>
    <row customHeight="1" ht="11.25">
      <c r="A35" s="0" t="s">
        <v>16</v>
      </c>
      <c r="B35" s="0" t="s">
        <v>3264</v>
      </c>
      <c r="C35" s="0" t="s">
        <v>3265</v>
      </c>
      <c r="D35" s="0" t="s">
        <v>3276</v>
      </c>
      <c r="E35" s="0" t="s">
        <v>3277</v>
      </c>
      <c r="F35" s="0" t="s">
        <v>3228</v>
      </c>
      <c r="G35" s="0" t="s">
        <v>1673</v>
      </c>
    </row>
    <row customHeight="1" ht="11.25">
      <c r="A36" s="0" t="s">
        <v>16</v>
      </c>
      <c r="B36" s="0" t="s">
        <v>3264</v>
      </c>
      <c r="C36" s="0" t="s">
        <v>3265</v>
      </c>
      <c r="D36" s="0" t="s">
        <v>3278</v>
      </c>
      <c r="E36" s="0" t="s">
        <v>3279</v>
      </c>
      <c r="F36" s="0" t="s">
        <v>3212</v>
      </c>
      <c r="G36" s="0" t="s">
        <v>1678</v>
      </c>
    </row>
    <row customHeight="1" ht="11.25">
      <c r="A37" s="0" t="s">
        <v>16</v>
      </c>
      <c r="B37" s="0" t="s">
        <v>3264</v>
      </c>
      <c r="C37" s="0" t="s">
        <v>3265</v>
      </c>
      <c r="D37" s="0" t="s">
        <v>3280</v>
      </c>
      <c r="E37" s="0" t="s">
        <v>3281</v>
      </c>
      <c r="F37" s="0" t="s">
        <v>3212</v>
      </c>
      <c r="G37" s="0" t="s">
        <v>1682</v>
      </c>
    </row>
    <row customHeight="1" ht="11.25">
      <c r="A38" s="0" t="s">
        <v>16</v>
      </c>
      <c r="B38" s="0" t="s">
        <v>3264</v>
      </c>
      <c r="C38" s="0" t="s">
        <v>3265</v>
      </c>
      <c r="D38" s="0" t="s">
        <v>3282</v>
      </c>
      <c r="E38" s="0" t="s">
        <v>3283</v>
      </c>
      <c r="F38" s="0" t="s">
        <v>3212</v>
      </c>
      <c r="G38" s="0" t="s">
        <v>1690</v>
      </c>
    </row>
    <row customHeight="1" ht="11.25">
      <c r="A39" s="0" t="s">
        <v>16</v>
      </c>
      <c r="B39" s="0" t="s">
        <v>3264</v>
      </c>
      <c r="C39" s="0" t="s">
        <v>3265</v>
      </c>
      <c r="D39" s="0" t="s">
        <v>3284</v>
      </c>
      <c r="E39" s="0" t="s">
        <v>3285</v>
      </c>
      <c r="F39" s="0" t="s">
        <v>3212</v>
      </c>
      <c r="G39" s="0" t="s">
        <v>1696</v>
      </c>
    </row>
    <row customHeight="1" ht="11.25">
      <c r="A40" s="0" t="s">
        <v>16</v>
      </c>
      <c r="B40" s="0" t="s">
        <v>127</v>
      </c>
      <c r="C40" s="0" t="s">
        <v>3286</v>
      </c>
      <c r="D40" s="0" t="s">
        <v>3287</v>
      </c>
      <c r="E40" s="0" t="s">
        <v>3288</v>
      </c>
      <c r="F40" s="0" t="s">
        <v>3212</v>
      </c>
      <c r="G40" s="0" t="s">
        <v>1701</v>
      </c>
    </row>
    <row customHeight="1" ht="11.25">
      <c r="A41" s="0" t="s">
        <v>16</v>
      </c>
      <c r="B41" s="0" t="s">
        <v>127</v>
      </c>
      <c r="C41" s="0" t="s">
        <v>3286</v>
      </c>
      <c r="D41" s="0" t="s">
        <v>3289</v>
      </c>
      <c r="E41" s="0" t="s">
        <v>3290</v>
      </c>
      <c r="F41" s="0" t="s">
        <v>3212</v>
      </c>
      <c r="G41" s="0" t="s">
        <v>1705</v>
      </c>
    </row>
    <row customHeight="1" ht="11.25">
      <c r="A42" s="0" t="s">
        <v>16</v>
      </c>
      <c r="B42" s="0" t="s">
        <v>127</v>
      </c>
      <c r="C42" s="0" t="s">
        <v>3286</v>
      </c>
      <c r="D42" s="0" t="s">
        <v>127</v>
      </c>
      <c r="E42" s="0" t="s">
        <v>3286</v>
      </c>
      <c r="F42" s="0" t="s">
        <v>3209</v>
      </c>
      <c r="G42" s="0" t="s">
        <v>1708</v>
      </c>
    </row>
    <row customHeight="1" ht="11.25">
      <c r="A43" s="0" t="s">
        <v>16</v>
      </c>
      <c r="B43" s="0" t="s">
        <v>127</v>
      </c>
      <c r="C43" s="0" t="s">
        <v>3286</v>
      </c>
      <c r="D43" s="0" t="s">
        <v>3291</v>
      </c>
      <c r="E43" s="0" t="s">
        <v>3292</v>
      </c>
      <c r="F43" s="0" t="s">
        <v>3212</v>
      </c>
      <c r="G43" s="0" t="s">
        <v>1715</v>
      </c>
    </row>
    <row customHeight="1" ht="11.25">
      <c r="A44" s="0" t="s">
        <v>16</v>
      </c>
      <c r="B44" s="0" t="s">
        <v>127</v>
      </c>
      <c r="C44" s="0" t="s">
        <v>3286</v>
      </c>
      <c r="D44" s="0" t="s">
        <v>3293</v>
      </c>
      <c r="E44" s="0" t="s">
        <v>3294</v>
      </c>
      <c r="F44" s="0" t="s">
        <v>3239</v>
      </c>
      <c r="G44" s="0" t="s">
        <v>1724</v>
      </c>
    </row>
    <row customHeight="1" ht="11.25">
      <c r="A45" s="0" t="s">
        <v>16</v>
      </c>
      <c r="B45" s="0" t="s">
        <v>127</v>
      </c>
      <c r="C45" s="0" t="s">
        <v>3286</v>
      </c>
      <c r="D45" s="0" t="s">
        <v>3295</v>
      </c>
      <c r="E45" s="0" t="s">
        <v>3296</v>
      </c>
      <c r="F45" s="0" t="s">
        <v>3228</v>
      </c>
      <c r="G45" s="0" t="s">
        <v>1729</v>
      </c>
    </row>
    <row customHeight="1" ht="11.25">
      <c r="A46" s="0" t="s">
        <v>16</v>
      </c>
      <c r="B46" s="0" t="s">
        <v>127</v>
      </c>
      <c r="C46" s="0" t="s">
        <v>3286</v>
      </c>
      <c r="D46" s="0" t="s">
        <v>128</v>
      </c>
      <c r="E46" s="0" t="s">
        <v>129</v>
      </c>
      <c r="F46" s="0" t="s">
        <v>3228</v>
      </c>
      <c r="G46" s="0" t="s">
        <v>126</v>
      </c>
    </row>
    <row customHeight="1" ht="11.25">
      <c r="A47" s="0" t="s">
        <v>16</v>
      </c>
      <c r="B47" s="0" t="s">
        <v>127</v>
      </c>
      <c r="C47" s="0" t="s">
        <v>3286</v>
      </c>
      <c r="D47" s="0" t="s">
        <v>3297</v>
      </c>
      <c r="E47" s="0" t="s">
        <v>3298</v>
      </c>
      <c r="F47" s="0" t="s">
        <v>3212</v>
      </c>
      <c r="G47" s="0" t="s">
        <v>1738</v>
      </c>
    </row>
    <row customHeight="1" ht="11.25">
      <c r="A48" s="0" t="s">
        <v>16</v>
      </c>
      <c r="B48" s="0" t="s">
        <v>127</v>
      </c>
      <c r="C48" s="0" t="s">
        <v>3286</v>
      </c>
      <c r="D48" s="0" t="s">
        <v>3299</v>
      </c>
      <c r="E48" s="0" t="s">
        <v>3300</v>
      </c>
      <c r="F48" s="0" t="s">
        <v>3212</v>
      </c>
      <c r="G48" s="0" t="s">
        <v>1743</v>
      </c>
    </row>
    <row customHeight="1" ht="11.25">
      <c r="A49" s="0" t="s">
        <v>16</v>
      </c>
      <c r="B49" s="0" t="s">
        <v>127</v>
      </c>
      <c r="C49" s="0" t="s">
        <v>3286</v>
      </c>
      <c r="D49" s="0" t="s">
        <v>3301</v>
      </c>
      <c r="E49" s="0" t="s">
        <v>3302</v>
      </c>
      <c r="F49" s="0" t="s">
        <v>3212</v>
      </c>
      <c r="G49" s="0" t="s">
        <v>1746</v>
      </c>
    </row>
    <row customHeight="1" ht="11.25">
      <c r="A50" s="0" t="s">
        <v>16</v>
      </c>
      <c r="B50" s="0" t="s">
        <v>127</v>
      </c>
      <c r="C50" s="0" t="s">
        <v>3286</v>
      </c>
      <c r="D50" s="0" t="s">
        <v>3303</v>
      </c>
      <c r="E50" s="0" t="s">
        <v>3304</v>
      </c>
      <c r="F50" s="0" t="s">
        <v>3212</v>
      </c>
      <c r="G50" s="0" t="s">
        <v>1750</v>
      </c>
    </row>
    <row customHeight="1" ht="11.25">
      <c r="A51" s="0" t="s">
        <v>16</v>
      </c>
      <c r="B51" s="0" t="s">
        <v>127</v>
      </c>
      <c r="C51" s="0" t="s">
        <v>3286</v>
      </c>
      <c r="D51" s="0" t="s">
        <v>3305</v>
      </c>
      <c r="E51" s="0" t="s">
        <v>3306</v>
      </c>
      <c r="F51" s="0" t="s">
        <v>3212</v>
      </c>
      <c r="G51" s="0" t="s">
        <v>1754</v>
      </c>
    </row>
    <row customHeight="1" ht="11.25">
      <c r="A52" s="0" t="s">
        <v>16</v>
      </c>
      <c r="B52" s="0" t="s">
        <v>127</v>
      </c>
      <c r="C52" s="0" t="s">
        <v>3286</v>
      </c>
      <c r="D52" s="0" t="s">
        <v>3307</v>
      </c>
      <c r="E52" s="0" t="s">
        <v>3308</v>
      </c>
      <c r="F52" s="0" t="s">
        <v>3212</v>
      </c>
      <c r="G52" s="0" t="s">
        <v>1758</v>
      </c>
    </row>
    <row customHeight="1" ht="11.25">
      <c r="A53" s="0" t="s">
        <v>16</v>
      </c>
      <c r="B53" s="0" t="s">
        <v>127</v>
      </c>
      <c r="C53" s="0" t="s">
        <v>3286</v>
      </c>
      <c r="D53" s="0" t="s">
        <v>3309</v>
      </c>
      <c r="E53" s="0" t="s">
        <v>3310</v>
      </c>
      <c r="F53" s="0" t="s">
        <v>3212</v>
      </c>
      <c r="G53" s="0" t="s">
        <v>1760</v>
      </c>
    </row>
    <row customHeight="1" ht="11.25">
      <c r="A54" s="0" t="s">
        <v>16</v>
      </c>
      <c r="B54" s="0" t="s">
        <v>127</v>
      </c>
      <c r="C54" s="0" t="s">
        <v>3286</v>
      </c>
      <c r="D54" s="0" t="s">
        <v>3311</v>
      </c>
      <c r="E54" s="0" t="s">
        <v>3312</v>
      </c>
      <c r="F54" s="0" t="s">
        <v>3212</v>
      </c>
      <c r="G54" s="0" t="s">
        <v>1763</v>
      </c>
    </row>
    <row customHeight="1" ht="11.25">
      <c r="A55" s="0" t="s">
        <v>16</v>
      </c>
      <c r="B55" s="0" t="s">
        <v>3313</v>
      </c>
      <c r="C55" s="0" t="s">
        <v>3314</v>
      </c>
      <c r="D55" s="0" t="s">
        <v>3315</v>
      </c>
      <c r="E55" s="0" t="s">
        <v>3316</v>
      </c>
      <c r="F55" s="0" t="s">
        <v>3212</v>
      </c>
      <c r="G55" s="0" t="s">
        <v>1768</v>
      </c>
    </row>
    <row customHeight="1" ht="11.25">
      <c r="A56" s="0" t="s">
        <v>16</v>
      </c>
      <c r="B56" s="0" t="s">
        <v>3313</v>
      </c>
      <c r="C56" s="0" t="s">
        <v>3314</v>
      </c>
      <c r="D56" s="0" t="s">
        <v>3317</v>
      </c>
      <c r="E56" s="0" t="s">
        <v>3318</v>
      </c>
      <c r="F56" s="0" t="s">
        <v>3212</v>
      </c>
      <c r="G56" s="0" t="s">
        <v>1771</v>
      </c>
    </row>
    <row customHeight="1" ht="11.25">
      <c r="A57" s="0" t="s">
        <v>16</v>
      </c>
      <c r="B57" s="0" t="s">
        <v>3313</v>
      </c>
      <c r="C57" s="0" t="s">
        <v>3314</v>
      </c>
      <c r="D57" s="0" t="s">
        <v>3319</v>
      </c>
      <c r="E57" s="0" t="s">
        <v>3320</v>
      </c>
      <c r="F57" s="0" t="s">
        <v>3212</v>
      </c>
      <c r="G57" s="0" t="s">
        <v>1774</v>
      </c>
    </row>
    <row customHeight="1" ht="11.25">
      <c r="A58" s="0" t="s">
        <v>16</v>
      </c>
      <c r="B58" s="0" t="s">
        <v>3313</v>
      </c>
      <c r="C58" s="0" t="s">
        <v>3314</v>
      </c>
      <c r="D58" s="0" t="s">
        <v>3321</v>
      </c>
      <c r="E58" s="0" t="s">
        <v>3322</v>
      </c>
      <c r="F58" s="0" t="s">
        <v>3212</v>
      </c>
      <c r="G58" s="0" t="s">
        <v>1777</v>
      </c>
    </row>
    <row customHeight="1" ht="11.25">
      <c r="A59" s="0" t="s">
        <v>16</v>
      </c>
      <c r="B59" s="0" t="s">
        <v>3313</v>
      </c>
      <c r="C59" s="0" t="s">
        <v>3314</v>
      </c>
      <c r="D59" s="0" t="s">
        <v>3313</v>
      </c>
      <c r="E59" s="0" t="s">
        <v>3314</v>
      </c>
      <c r="F59" s="0" t="s">
        <v>3209</v>
      </c>
      <c r="G59" s="0" t="s">
        <v>1781</v>
      </c>
    </row>
    <row customHeight="1" ht="11.25">
      <c r="A60" s="0" t="s">
        <v>16</v>
      </c>
      <c r="B60" s="0" t="s">
        <v>3313</v>
      </c>
      <c r="C60" s="0" t="s">
        <v>3314</v>
      </c>
      <c r="D60" s="0" t="s">
        <v>3323</v>
      </c>
      <c r="E60" s="0" t="s">
        <v>3324</v>
      </c>
      <c r="F60" s="0" t="s">
        <v>3212</v>
      </c>
      <c r="G60" s="0" t="s">
        <v>1785</v>
      </c>
    </row>
    <row customHeight="1" ht="11.25">
      <c r="A61" s="0" t="s">
        <v>16</v>
      </c>
      <c r="B61" s="0" t="s">
        <v>3313</v>
      </c>
      <c r="C61" s="0" t="s">
        <v>3314</v>
      </c>
      <c r="D61" s="0" t="s">
        <v>3325</v>
      </c>
      <c r="E61" s="0" t="s">
        <v>3326</v>
      </c>
      <c r="F61" s="0" t="s">
        <v>3215</v>
      </c>
      <c r="G61" s="0" t="s">
        <v>3327</v>
      </c>
    </row>
    <row customHeight="1" ht="11.25">
      <c r="A62" s="0" t="s">
        <v>16</v>
      </c>
      <c r="B62" s="0" t="s">
        <v>3313</v>
      </c>
      <c r="C62" s="0" t="s">
        <v>3314</v>
      </c>
      <c r="D62" s="0" t="s">
        <v>3328</v>
      </c>
      <c r="E62" s="0" t="s">
        <v>3329</v>
      </c>
      <c r="F62" s="0" t="s">
        <v>3212</v>
      </c>
      <c r="G62" s="0" t="s">
        <v>3330</v>
      </c>
    </row>
    <row customHeight="1" ht="11.25">
      <c r="A63" s="0" t="s">
        <v>16</v>
      </c>
      <c r="B63" s="0" t="s">
        <v>3313</v>
      </c>
      <c r="C63" s="0" t="s">
        <v>3314</v>
      </c>
      <c r="D63" s="0" t="s">
        <v>3331</v>
      </c>
      <c r="E63" s="0" t="s">
        <v>3332</v>
      </c>
      <c r="F63" s="0" t="s">
        <v>3212</v>
      </c>
      <c r="G63" s="0" t="s">
        <v>3333</v>
      </c>
    </row>
    <row customHeight="1" ht="11.25">
      <c r="A64" s="0" t="s">
        <v>16</v>
      </c>
      <c r="B64" s="0" t="s">
        <v>3313</v>
      </c>
      <c r="C64" s="0" t="s">
        <v>3314</v>
      </c>
      <c r="D64" s="0" t="s">
        <v>3334</v>
      </c>
      <c r="E64" s="0" t="s">
        <v>3335</v>
      </c>
      <c r="F64" s="0" t="s">
        <v>3212</v>
      </c>
      <c r="G64" s="0" t="s">
        <v>3336</v>
      </c>
    </row>
    <row customHeight="1" ht="11.25">
      <c r="A65" s="0" t="s">
        <v>16</v>
      </c>
      <c r="B65" s="0" t="s">
        <v>3313</v>
      </c>
      <c r="C65" s="0" t="s">
        <v>3314</v>
      </c>
      <c r="D65" s="0" t="s">
        <v>3337</v>
      </c>
      <c r="E65" s="0" t="s">
        <v>3338</v>
      </c>
      <c r="F65" s="0" t="s">
        <v>3212</v>
      </c>
      <c r="G65" s="0" t="s">
        <v>3339</v>
      </c>
    </row>
    <row customHeight="1" ht="11.25">
      <c r="A66" s="0" t="s">
        <v>16</v>
      </c>
      <c r="B66" s="0" t="s">
        <v>3313</v>
      </c>
      <c r="C66" s="0" t="s">
        <v>3314</v>
      </c>
      <c r="D66" s="0" t="s">
        <v>3340</v>
      </c>
      <c r="E66" s="0" t="s">
        <v>3341</v>
      </c>
      <c r="F66" s="0" t="s">
        <v>3212</v>
      </c>
      <c r="G66" s="0" t="s">
        <v>3342</v>
      </c>
    </row>
    <row customHeight="1" ht="11.25">
      <c r="A67" s="0" t="s">
        <v>16</v>
      </c>
      <c r="B67" s="0" t="s">
        <v>3313</v>
      </c>
      <c r="C67" s="0" t="s">
        <v>3314</v>
      </c>
      <c r="D67" s="0" t="s">
        <v>3343</v>
      </c>
      <c r="E67" s="0" t="s">
        <v>3344</v>
      </c>
      <c r="F67" s="0" t="s">
        <v>3212</v>
      </c>
      <c r="G67" s="0" t="s">
        <v>2103</v>
      </c>
    </row>
    <row customHeight="1" ht="11.25">
      <c r="A68" s="0" t="s">
        <v>16</v>
      </c>
      <c r="B68" s="0" t="s">
        <v>3313</v>
      </c>
      <c r="C68" s="0" t="s">
        <v>3314</v>
      </c>
      <c r="D68" s="0" t="s">
        <v>3345</v>
      </c>
      <c r="E68" s="0" t="s">
        <v>3346</v>
      </c>
      <c r="F68" s="0" t="s">
        <v>3212</v>
      </c>
      <c r="G68" s="0" t="s">
        <v>3347</v>
      </c>
    </row>
    <row customHeight="1" ht="11.25">
      <c r="A69" s="0" t="s">
        <v>16</v>
      </c>
      <c r="B69" s="0" t="s">
        <v>3313</v>
      </c>
      <c r="C69" s="0" t="s">
        <v>3314</v>
      </c>
      <c r="D69" s="0" t="s">
        <v>3348</v>
      </c>
      <c r="E69" s="0" t="s">
        <v>3349</v>
      </c>
      <c r="F69" s="0" t="s">
        <v>3212</v>
      </c>
      <c r="G69" s="0" t="s">
        <v>2306</v>
      </c>
    </row>
    <row customHeight="1" ht="11.25">
      <c r="A70" s="0" t="s">
        <v>16</v>
      </c>
      <c r="B70" s="0" t="s">
        <v>3313</v>
      </c>
      <c r="C70" s="0" t="s">
        <v>3314</v>
      </c>
      <c r="D70" s="0" t="s">
        <v>3350</v>
      </c>
      <c r="E70" s="0" t="s">
        <v>3351</v>
      </c>
      <c r="F70" s="0" t="s">
        <v>3212</v>
      </c>
      <c r="G70" s="0" t="s">
        <v>3352</v>
      </c>
    </row>
    <row customHeight="1" ht="11.25">
      <c r="A71" s="0" t="s">
        <v>16</v>
      </c>
      <c r="B71" s="0" t="s">
        <v>3313</v>
      </c>
      <c r="C71" s="0" t="s">
        <v>3314</v>
      </c>
      <c r="D71" s="0" t="s">
        <v>3353</v>
      </c>
      <c r="E71" s="0" t="s">
        <v>3354</v>
      </c>
      <c r="F71" s="0" t="s">
        <v>3212</v>
      </c>
      <c r="G71" s="0" t="s">
        <v>3355</v>
      </c>
    </row>
    <row customHeight="1" ht="11.25">
      <c r="A72" s="0" t="s">
        <v>16</v>
      </c>
      <c r="B72" s="0" t="s">
        <v>3313</v>
      </c>
      <c r="C72" s="0" t="s">
        <v>3314</v>
      </c>
      <c r="D72" s="0" t="s">
        <v>3356</v>
      </c>
      <c r="E72" s="0" t="s">
        <v>3357</v>
      </c>
      <c r="F72" s="0" t="s">
        <v>3212</v>
      </c>
      <c r="G72" s="0" t="s">
        <v>3358</v>
      </c>
    </row>
    <row customHeight="1" ht="11.25">
      <c r="A73" s="0" t="s">
        <v>16</v>
      </c>
      <c r="B73" s="0" t="s">
        <v>3313</v>
      </c>
      <c r="C73" s="0" t="s">
        <v>3314</v>
      </c>
      <c r="D73" s="0" t="s">
        <v>3359</v>
      </c>
      <c r="E73" s="0" t="s">
        <v>3360</v>
      </c>
      <c r="F73" s="0" t="s">
        <v>3212</v>
      </c>
      <c r="G73" s="0" t="s">
        <v>3361</v>
      </c>
    </row>
    <row customHeight="1" ht="11.25">
      <c r="A74" s="0" t="s">
        <v>16</v>
      </c>
      <c r="B74" s="0" t="s">
        <v>3313</v>
      </c>
      <c r="C74" s="0" t="s">
        <v>3314</v>
      </c>
      <c r="D74" s="0" t="s">
        <v>3362</v>
      </c>
      <c r="E74" s="0" t="s">
        <v>3363</v>
      </c>
      <c r="F74" s="0" t="s">
        <v>3212</v>
      </c>
      <c r="G74" s="0" t="s">
        <v>3364</v>
      </c>
    </row>
    <row customHeight="1" ht="11.25">
      <c r="A75" s="0" t="s">
        <v>16</v>
      </c>
      <c r="B75" s="0" t="s">
        <v>113</v>
      </c>
      <c r="C75" s="0" t="s">
        <v>114</v>
      </c>
      <c r="D75" s="0" t="s">
        <v>113</v>
      </c>
      <c r="E75" s="0" t="s">
        <v>114</v>
      </c>
      <c r="F75" s="0" t="s">
        <v>3365</v>
      </c>
      <c r="G75" s="0" t="s">
        <v>112</v>
      </c>
    </row>
    <row customHeight="1" ht="11.25">
      <c r="A76" s="0" t="s">
        <v>16</v>
      </c>
      <c r="B76" s="0" t="s">
        <v>3366</v>
      </c>
      <c r="C76" s="0" t="s">
        <v>3367</v>
      </c>
      <c r="D76" s="0" t="s">
        <v>3368</v>
      </c>
      <c r="E76" s="0" t="s">
        <v>3369</v>
      </c>
      <c r="F76" s="0" t="s">
        <v>3212</v>
      </c>
      <c r="G76" s="0" t="s">
        <v>3370</v>
      </c>
    </row>
    <row customHeight="1" ht="11.25">
      <c r="A77" s="0" t="s">
        <v>16</v>
      </c>
      <c r="B77" s="0" t="s">
        <v>3366</v>
      </c>
      <c r="C77" s="0" t="s">
        <v>3367</v>
      </c>
      <c r="D77" s="0" t="s">
        <v>3371</v>
      </c>
      <c r="E77" s="0" t="s">
        <v>3372</v>
      </c>
      <c r="F77" s="0" t="s">
        <v>3212</v>
      </c>
      <c r="G77" s="0" t="s">
        <v>3373</v>
      </c>
    </row>
    <row customHeight="1" ht="11.25">
      <c r="A78" s="0" t="s">
        <v>16</v>
      </c>
      <c r="B78" s="0" t="s">
        <v>3366</v>
      </c>
      <c r="C78" s="0" t="s">
        <v>3367</v>
      </c>
      <c r="D78" s="0" t="s">
        <v>3374</v>
      </c>
      <c r="E78" s="0" t="s">
        <v>3375</v>
      </c>
      <c r="F78" s="0" t="s">
        <v>3212</v>
      </c>
      <c r="G78" s="0" t="s">
        <v>3376</v>
      </c>
    </row>
    <row customHeight="1" ht="11.25">
      <c r="A79" s="0" t="s">
        <v>16</v>
      </c>
      <c r="B79" s="0" t="s">
        <v>3366</v>
      </c>
      <c r="C79" s="0" t="s">
        <v>3367</v>
      </c>
      <c r="D79" s="0" t="s">
        <v>3377</v>
      </c>
      <c r="E79" s="0" t="s">
        <v>3378</v>
      </c>
      <c r="F79" s="0" t="s">
        <v>3212</v>
      </c>
      <c r="G79" s="0" t="s">
        <v>3379</v>
      </c>
    </row>
    <row customHeight="1" ht="11.25">
      <c r="A80" s="0" t="s">
        <v>16</v>
      </c>
      <c r="B80" s="0" t="s">
        <v>3366</v>
      </c>
      <c r="C80" s="0" t="s">
        <v>3367</v>
      </c>
      <c r="D80" s="0" t="s">
        <v>3380</v>
      </c>
      <c r="E80" s="0" t="s">
        <v>3381</v>
      </c>
      <c r="F80" s="0" t="s">
        <v>3212</v>
      </c>
      <c r="G80" s="0" t="s">
        <v>3382</v>
      </c>
    </row>
    <row customHeight="1" ht="11.25">
      <c r="A81" s="0" t="s">
        <v>16</v>
      </c>
      <c r="B81" s="0" t="s">
        <v>3366</v>
      </c>
      <c r="C81" s="0" t="s">
        <v>3367</v>
      </c>
      <c r="D81" s="0" t="s">
        <v>3383</v>
      </c>
      <c r="E81" s="0" t="s">
        <v>3384</v>
      </c>
      <c r="F81" s="0" t="s">
        <v>3212</v>
      </c>
      <c r="G81" s="0" t="s">
        <v>3385</v>
      </c>
    </row>
    <row customHeight="1" ht="11.25">
      <c r="A82" s="0" t="s">
        <v>16</v>
      </c>
      <c r="B82" s="0" t="s">
        <v>3366</v>
      </c>
      <c r="C82" s="0" t="s">
        <v>3367</v>
      </c>
      <c r="D82" s="0" t="s">
        <v>3386</v>
      </c>
      <c r="E82" s="0" t="s">
        <v>3387</v>
      </c>
      <c r="F82" s="0" t="s">
        <v>3212</v>
      </c>
      <c r="G82" s="0" t="s">
        <v>3388</v>
      </c>
    </row>
    <row customHeight="1" ht="11.25">
      <c r="A83" s="0" t="s">
        <v>16</v>
      </c>
      <c r="B83" s="0" t="s">
        <v>3366</v>
      </c>
      <c r="C83" s="0" t="s">
        <v>3367</v>
      </c>
      <c r="D83" s="0" t="s">
        <v>3389</v>
      </c>
      <c r="E83" s="0" t="s">
        <v>3390</v>
      </c>
      <c r="F83" s="0" t="s">
        <v>3212</v>
      </c>
      <c r="G83" s="0" t="s">
        <v>3391</v>
      </c>
    </row>
    <row customHeight="1" ht="11.25">
      <c r="A84" s="0" t="s">
        <v>16</v>
      </c>
      <c r="B84" s="0" t="s">
        <v>3366</v>
      </c>
      <c r="C84" s="0" t="s">
        <v>3367</v>
      </c>
      <c r="D84" s="0" t="s">
        <v>3392</v>
      </c>
      <c r="E84" s="0" t="s">
        <v>3393</v>
      </c>
      <c r="F84" s="0" t="s">
        <v>3212</v>
      </c>
      <c r="G84" s="0" t="s">
        <v>3394</v>
      </c>
    </row>
    <row customHeight="1" ht="11.25">
      <c r="A85" s="0" t="s">
        <v>16</v>
      </c>
      <c r="B85" s="0" t="s">
        <v>3366</v>
      </c>
      <c r="C85" s="0" t="s">
        <v>3367</v>
      </c>
      <c r="D85" s="0" t="s">
        <v>3366</v>
      </c>
      <c r="E85" s="0" t="s">
        <v>3367</v>
      </c>
      <c r="F85" s="0" t="s">
        <v>3209</v>
      </c>
      <c r="G85" s="0" t="s">
        <v>3395</v>
      </c>
    </row>
    <row customHeight="1" ht="11.25">
      <c r="A86" s="0" t="s">
        <v>16</v>
      </c>
      <c r="B86" s="0" t="s">
        <v>3366</v>
      </c>
      <c r="C86" s="0" t="s">
        <v>3367</v>
      </c>
      <c r="D86" s="0" t="s">
        <v>3396</v>
      </c>
      <c r="E86" s="0" t="s">
        <v>3397</v>
      </c>
      <c r="F86" s="0" t="s">
        <v>3212</v>
      </c>
      <c r="G86" s="0" t="s">
        <v>3398</v>
      </c>
    </row>
    <row customHeight="1" ht="11.25">
      <c r="A87" s="0" t="s">
        <v>16</v>
      </c>
      <c r="B87" s="0" t="s">
        <v>3366</v>
      </c>
      <c r="C87" s="0" t="s">
        <v>3367</v>
      </c>
      <c r="D87" s="0" t="s">
        <v>3399</v>
      </c>
      <c r="E87" s="0" t="s">
        <v>3400</v>
      </c>
      <c r="F87" s="0" t="s">
        <v>3212</v>
      </c>
      <c r="G87" s="0" t="s">
        <v>3401</v>
      </c>
    </row>
    <row customHeight="1" ht="11.25">
      <c r="A88" s="0" t="s">
        <v>16</v>
      </c>
      <c r="B88" s="0" t="s">
        <v>3366</v>
      </c>
      <c r="C88" s="0" t="s">
        <v>3367</v>
      </c>
      <c r="D88" s="0" t="s">
        <v>3402</v>
      </c>
      <c r="E88" s="0" t="s">
        <v>3403</v>
      </c>
      <c r="F88" s="0" t="s">
        <v>3212</v>
      </c>
      <c r="G88" s="0" t="s">
        <v>3404</v>
      </c>
    </row>
    <row customHeight="1" ht="11.25">
      <c r="A89" s="0" t="s">
        <v>16</v>
      </c>
      <c r="B89" s="0" t="s">
        <v>3366</v>
      </c>
      <c r="C89" s="0" t="s">
        <v>3367</v>
      </c>
      <c r="D89" s="0" t="s">
        <v>3405</v>
      </c>
      <c r="E89" s="0" t="s">
        <v>3406</v>
      </c>
      <c r="F89" s="0" t="s">
        <v>3212</v>
      </c>
      <c r="G89" s="0" t="s">
        <v>3407</v>
      </c>
    </row>
    <row customHeight="1" ht="11.25">
      <c r="A90" s="0" t="s">
        <v>16</v>
      </c>
      <c r="B90" s="0" t="s">
        <v>3366</v>
      </c>
      <c r="C90" s="0" t="s">
        <v>3367</v>
      </c>
      <c r="D90" s="0" t="s">
        <v>3408</v>
      </c>
      <c r="E90" s="0" t="s">
        <v>3409</v>
      </c>
      <c r="F90" s="0" t="s">
        <v>3212</v>
      </c>
      <c r="G90" s="0" t="s">
        <v>3410</v>
      </c>
    </row>
    <row customHeight="1" ht="11.25">
      <c r="A91" s="0" t="s">
        <v>16</v>
      </c>
      <c r="B91" s="0" t="s">
        <v>3366</v>
      </c>
      <c r="C91" s="0" t="s">
        <v>3367</v>
      </c>
      <c r="D91" s="0" t="s">
        <v>3411</v>
      </c>
      <c r="E91" s="0" t="s">
        <v>3412</v>
      </c>
      <c r="F91" s="0" t="s">
        <v>3212</v>
      </c>
      <c r="G91" s="0" t="s">
        <v>3413</v>
      </c>
    </row>
    <row customHeight="1" ht="11.25">
      <c r="A92" s="0" t="s">
        <v>16</v>
      </c>
      <c r="B92" s="0" t="s">
        <v>3366</v>
      </c>
      <c r="C92" s="0" t="s">
        <v>3367</v>
      </c>
      <c r="D92" s="0" t="s">
        <v>3414</v>
      </c>
      <c r="E92" s="0" t="s">
        <v>3415</v>
      </c>
      <c r="F92" s="0" t="s">
        <v>3212</v>
      </c>
      <c r="G92" s="0" t="s">
        <v>3416</v>
      </c>
    </row>
    <row customHeight="1" ht="11.25">
      <c r="A93" s="0" t="s">
        <v>16</v>
      </c>
      <c r="B93" s="0" t="s">
        <v>3366</v>
      </c>
      <c r="C93" s="0" t="s">
        <v>3367</v>
      </c>
      <c r="D93" s="0" t="s">
        <v>3417</v>
      </c>
      <c r="E93" s="0" t="s">
        <v>3418</v>
      </c>
      <c r="F93" s="0" t="s">
        <v>3212</v>
      </c>
      <c r="G93" s="0" t="s">
        <v>3419</v>
      </c>
    </row>
    <row customHeight="1" ht="11.25">
      <c r="A94" s="0" t="s">
        <v>16</v>
      </c>
      <c r="B94" s="0" t="s">
        <v>3366</v>
      </c>
      <c r="C94" s="0" t="s">
        <v>3367</v>
      </c>
      <c r="D94" s="0" t="s">
        <v>3420</v>
      </c>
      <c r="E94" s="0" t="s">
        <v>3421</v>
      </c>
      <c r="F94" s="0" t="s">
        <v>3212</v>
      </c>
      <c r="G94" s="0" t="s">
        <v>3422</v>
      </c>
    </row>
    <row customHeight="1" ht="11.25">
      <c r="A95" s="0" t="s">
        <v>16</v>
      </c>
      <c r="B95" s="0" t="s">
        <v>3366</v>
      </c>
      <c r="C95" s="0" t="s">
        <v>3367</v>
      </c>
      <c r="D95" s="0" t="s">
        <v>3423</v>
      </c>
      <c r="E95" s="0" t="s">
        <v>3424</v>
      </c>
      <c r="F95" s="0" t="s">
        <v>3212</v>
      </c>
      <c r="G95" s="0" t="s">
        <v>3425</v>
      </c>
    </row>
    <row customHeight="1" ht="11.25">
      <c r="A96" s="0" t="s">
        <v>16</v>
      </c>
      <c r="B96" s="0" t="s">
        <v>3366</v>
      </c>
      <c r="C96" s="0" t="s">
        <v>3367</v>
      </c>
      <c r="D96" s="0" t="s">
        <v>3426</v>
      </c>
      <c r="E96" s="0" t="s">
        <v>3427</v>
      </c>
      <c r="F96" s="0" t="s">
        <v>3212</v>
      </c>
      <c r="G96" s="0" t="s">
        <v>3428</v>
      </c>
    </row>
    <row customHeight="1" ht="11.25">
      <c r="A97" s="0" t="s">
        <v>16</v>
      </c>
      <c r="B97" s="0" t="s">
        <v>3366</v>
      </c>
      <c r="C97" s="0" t="s">
        <v>3367</v>
      </c>
      <c r="D97" s="0" t="s">
        <v>3429</v>
      </c>
      <c r="E97" s="0" t="s">
        <v>3430</v>
      </c>
      <c r="F97" s="0" t="s">
        <v>3212</v>
      </c>
      <c r="G97" s="0" t="s">
        <v>3431</v>
      </c>
    </row>
    <row customHeight="1" ht="11.25">
      <c r="A98" s="0" t="s">
        <v>16</v>
      </c>
      <c r="B98" s="0" t="s">
        <v>3432</v>
      </c>
      <c r="C98" s="0" t="s">
        <v>3433</v>
      </c>
      <c r="D98" s="0" t="s">
        <v>3434</v>
      </c>
      <c r="E98" s="0" t="s">
        <v>3435</v>
      </c>
      <c r="F98" s="0" t="s">
        <v>3212</v>
      </c>
      <c r="G98" s="0" t="s">
        <v>3436</v>
      </c>
    </row>
    <row customHeight="1" ht="11.25">
      <c r="A99" s="0" t="s">
        <v>16</v>
      </c>
      <c r="B99" s="0" t="s">
        <v>3432</v>
      </c>
      <c r="C99" s="0" t="s">
        <v>3433</v>
      </c>
      <c r="D99" s="0" t="s">
        <v>3437</v>
      </c>
      <c r="E99" s="0" t="s">
        <v>3438</v>
      </c>
      <c r="F99" s="0" t="s">
        <v>3212</v>
      </c>
      <c r="G99" s="0" t="s">
        <v>3439</v>
      </c>
    </row>
    <row customHeight="1" ht="11.25">
      <c r="A100" s="0" t="s">
        <v>16</v>
      </c>
      <c r="B100" s="0" t="s">
        <v>3432</v>
      </c>
      <c r="C100" s="0" t="s">
        <v>3433</v>
      </c>
      <c r="D100" s="0" t="s">
        <v>3440</v>
      </c>
      <c r="E100" s="0" t="s">
        <v>3441</v>
      </c>
      <c r="F100" s="0" t="s">
        <v>3212</v>
      </c>
      <c r="G100" s="0" t="s">
        <v>3442</v>
      </c>
    </row>
    <row customHeight="1" ht="11.25">
      <c r="A101" s="0" t="s">
        <v>16</v>
      </c>
      <c r="B101" s="0" t="s">
        <v>3432</v>
      </c>
      <c r="C101" s="0" t="s">
        <v>3433</v>
      </c>
      <c r="D101" s="0" t="s">
        <v>3443</v>
      </c>
      <c r="E101" s="0" t="s">
        <v>3444</v>
      </c>
      <c r="F101" s="0" t="s">
        <v>3212</v>
      </c>
      <c r="G101" s="0" t="s">
        <v>3445</v>
      </c>
    </row>
    <row customHeight="1" ht="11.25">
      <c r="A102" s="0" t="s">
        <v>16</v>
      </c>
      <c r="B102" s="0" t="s">
        <v>3432</v>
      </c>
      <c r="C102" s="0" t="s">
        <v>3433</v>
      </c>
      <c r="D102" s="0" t="s">
        <v>3446</v>
      </c>
      <c r="E102" s="0" t="s">
        <v>3447</v>
      </c>
      <c r="F102" s="0" t="s">
        <v>3212</v>
      </c>
      <c r="G102" s="0" t="s">
        <v>3448</v>
      </c>
    </row>
    <row customHeight="1" ht="11.25">
      <c r="A103" s="0" t="s">
        <v>16</v>
      </c>
      <c r="B103" s="0" t="s">
        <v>3432</v>
      </c>
      <c r="C103" s="0" t="s">
        <v>3433</v>
      </c>
      <c r="D103" s="0" t="s">
        <v>3449</v>
      </c>
      <c r="E103" s="0" t="s">
        <v>3450</v>
      </c>
      <c r="F103" s="0" t="s">
        <v>3212</v>
      </c>
      <c r="G103" s="0" t="s">
        <v>3451</v>
      </c>
    </row>
    <row customHeight="1" ht="11.25">
      <c r="A104" s="0" t="s">
        <v>16</v>
      </c>
      <c r="B104" s="0" t="s">
        <v>3432</v>
      </c>
      <c r="C104" s="0" t="s">
        <v>3433</v>
      </c>
      <c r="D104" s="0" t="s">
        <v>3452</v>
      </c>
      <c r="E104" s="0" t="s">
        <v>3453</v>
      </c>
      <c r="F104" s="0" t="s">
        <v>3212</v>
      </c>
      <c r="G104" s="0" t="s">
        <v>3454</v>
      </c>
    </row>
    <row customHeight="1" ht="11.25">
      <c r="A105" s="0" t="s">
        <v>16</v>
      </c>
      <c r="B105" s="0" t="s">
        <v>3432</v>
      </c>
      <c r="C105" s="0" t="s">
        <v>3433</v>
      </c>
      <c r="D105" s="0" t="s">
        <v>3455</v>
      </c>
      <c r="E105" s="0" t="s">
        <v>3456</v>
      </c>
      <c r="F105" s="0" t="s">
        <v>3212</v>
      </c>
      <c r="G105" s="0" t="s">
        <v>3457</v>
      </c>
    </row>
    <row customHeight="1" ht="11.25">
      <c r="A106" s="0" t="s">
        <v>16</v>
      </c>
      <c r="B106" s="0" t="s">
        <v>3432</v>
      </c>
      <c r="C106" s="0" t="s">
        <v>3433</v>
      </c>
      <c r="D106" s="0" t="s">
        <v>3458</v>
      </c>
      <c r="E106" s="0" t="s">
        <v>3459</v>
      </c>
      <c r="F106" s="0" t="s">
        <v>3212</v>
      </c>
      <c r="G106" s="0" t="s">
        <v>3460</v>
      </c>
    </row>
    <row customHeight="1" ht="11.25">
      <c r="A107" s="0" t="s">
        <v>16</v>
      </c>
      <c r="B107" s="0" t="s">
        <v>3432</v>
      </c>
      <c r="C107" s="0" t="s">
        <v>3433</v>
      </c>
      <c r="D107" s="0" t="s">
        <v>3461</v>
      </c>
      <c r="E107" s="0" t="s">
        <v>3462</v>
      </c>
      <c r="F107" s="0" t="s">
        <v>3212</v>
      </c>
      <c r="G107" s="0" t="s">
        <v>3463</v>
      </c>
    </row>
    <row customHeight="1" ht="11.25">
      <c r="A108" s="0" t="s">
        <v>16</v>
      </c>
      <c r="B108" s="0" t="s">
        <v>3432</v>
      </c>
      <c r="C108" s="0" t="s">
        <v>3433</v>
      </c>
      <c r="D108" s="0" t="s">
        <v>3464</v>
      </c>
      <c r="E108" s="0" t="s">
        <v>3465</v>
      </c>
      <c r="F108" s="0" t="s">
        <v>3212</v>
      </c>
      <c r="G108" s="0" t="s">
        <v>3466</v>
      </c>
    </row>
    <row customHeight="1" ht="11.25">
      <c r="A109" s="0" t="s">
        <v>16</v>
      </c>
      <c r="B109" s="0" t="s">
        <v>3432</v>
      </c>
      <c r="C109" s="0" t="s">
        <v>3433</v>
      </c>
      <c r="D109" s="0" t="s">
        <v>3432</v>
      </c>
      <c r="E109" s="0" t="s">
        <v>3433</v>
      </c>
      <c r="F109" s="0" t="s">
        <v>3209</v>
      </c>
      <c r="G109" s="0" t="s">
        <v>3467</v>
      </c>
    </row>
    <row customHeight="1" ht="11.25">
      <c r="A110" s="0" t="s">
        <v>16</v>
      </c>
      <c r="B110" s="0" t="s">
        <v>3432</v>
      </c>
      <c r="C110" s="0" t="s">
        <v>3433</v>
      </c>
      <c r="D110" s="0" t="s">
        <v>3468</v>
      </c>
      <c r="E110" s="0" t="s">
        <v>3469</v>
      </c>
      <c r="F110" s="0" t="s">
        <v>3212</v>
      </c>
      <c r="G110" s="0" t="s">
        <v>3470</v>
      </c>
    </row>
    <row customHeight="1" ht="11.25">
      <c r="A111" s="0" t="s">
        <v>16</v>
      </c>
      <c r="B111" s="0" t="s">
        <v>3432</v>
      </c>
      <c r="C111" s="0" t="s">
        <v>3433</v>
      </c>
      <c r="D111" s="0" t="s">
        <v>3471</v>
      </c>
      <c r="E111" s="0" t="s">
        <v>3472</v>
      </c>
      <c r="F111" s="0" t="s">
        <v>3212</v>
      </c>
      <c r="G111" s="0" t="s">
        <v>3473</v>
      </c>
    </row>
    <row customHeight="1" ht="11.25">
      <c r="A112" s="0" t="s">
        <v>16</v>
      </c>
      <c r="B112" s="0" t="s">
        <v>3432</v>
      </c>
      <c r="C112" s="0" t="s">
        <v>3433</v>
      </c>
      <c r="D112" s="0" t="s">
        <v>3474</v>
      </c>
      <c r="E112" s="0" t="s">
        <v>3475</v>
      </c>
      <c r="F112" s="0" t="s">
        <v>3212</v>
      </c>
      <c r="G112" s="0" t="s">
        <v>3476</v>
      </c>
    </row>
    <row customHeight="1" ht="11.25">
      <c r="A113" s="0" t="s">
        <v>16</v>
      </c>
      <c r="B113" s="0" t="s">
        <v>121</v>
      </c>
      <c r="C113" s="0" t="s">
        <v>3477</v>
      </c>
      <c r="D113" s="0" t="s">
        <v>122</v>
      </c>
      <c r="E113" s="0" t="s">
        <v>123</v>
      </c>
      <c r="F113" s="0" t="s">
        <v>3215</v>
      </c>
      <c r="G113" s="0" t="s">
        <v>120</v>
      </c>
    </row>
    <row customHeight="1" ht="11.25">
      <c r="A114" s="0" t="s">
        <v>16</v>
      </c>
      <c r="B114" s="0" t="s">
        <v>121</v>
      </c>
      <c r="C114" s="0" t="s">
        <v>3477</v>
      </c>
      <c r="D114" s="0" t="s">
        <v>3455</v>
      </c>
      <c r="E114" s="0" t="s">
        <v>3478</v>
      </c>
      <c r="F114" s="0" t="s">
        <v>3212</v>
      </c>
      <c r="G114" s="0" t="s">
        <v>3479</v>
      </c>
    </row>
    <row customHeight="1" ht="11.25">
      <c r="A115" s="0" t="s">
        <v>16</v>
      </c>
      <c r="B115" s="0" t="s">
        <v>121</v>
      </c>
      <c r="C115" s="0" t="s">
        <v>3477</v>
      </c>
      <c r="D115" s="0" t="s">
        <v>3480</v>
      </c>
      <c r="E115" s="0" t="s">
        <v>3481</v>
      </c>
      <c r="F115" s="0" t="s">
        <v>3212</v>
      </c>
      <c r="G115" s="0" t="s">
        <v>3482</v>
      </c>
    </row>
    <row customHeight="1" ht="11.25">
      <c r="A116" s="0" t="s">
        <v>16</v>
      </c>
      <c r="B116" s="0" t="s">
        <v>121</v>
      </c>
      <c r="C116" s="0" t="s">
        <v>3477</v>
      </c>
      <c r="D116" s="0" t="s">
        <v>3483</v>
      </c>
      <c r="E116" s="0" t="s">
        <v>3484</v>
      </c>
      <c r="F116" s="0" t="s">
        <v>3212</v>
      </c>
      <c r="G116" s="0" t="s">
        <v>3485</v>
      </c>
    </row>
    <row customHeight="1" ht="11.25">
      <c r="A117" s="0" t="s">
        <v>16</v>
      </c>
      <c r="B117" s="0" t="s">
        <v>121</v>
      </c>
      <c r="C117" s="0" t="s">
        <v>3477</v>
      </c>
      <c r="D117" s="0" t="s">
        <v>3486</v>
      </c>
      <c r="E117" s="0" t="s">
        <v>3487</v>
      </c>
      <c r="F117" s="0" t="s">
        <v>3212</v>
      </c>
      <c r="G117" s="0" t="s">
        <v>3488</v>
      </c>
    </row>
    <row customHeight="1" ht="11.25">
      <c r="A118" s="0" t="s">
        <v>16</v>
      </c>
      <c r="B118" s="0" t="s">
        <v>121</v>
      </c>
      <c r="C118" s="0" t="s">
        <v>3477</v>
      </c>
      <c r="D118" s="0" t="s">
        <v>3489</v>
      </c>
      <c r="E118" s="0" t="s">
        <v>3490</v>
      </c>
      <c r="F118" s="0" t="s">
        <v>3239</v>
      </c>
      <c r="G118" s="0" t="s">
        <v>3491</v>
      </c>
    </row>
    <row customHeight="1" ht="11.25">
      <c r="A119" s="0" t="s">
        <v>16</v>
      </c>
      <c r="B119" s="0" t="s">
        <v>121</v>
      </c>
      <c r="C119" s="0" t="s">
        <v>3477</v>
      </c>
      <c r="D119" s="0" t="s">
        <v>3492</v>
      </c>
      <c r="E119" s="0" t="s">
        <v>3493</v>
      </c>
      <c r="F119" s="0" t="s">
        <v>3212</v>
      </c>
      <c r="G119" s="0" t="s">
        <v>3494</v>
      </c>
    </row>
    <row customHeight="1" ht="11.25">
      <c r="A120" s="0" t="s">
        <v>16</v>
      </c>
      <c r="B120" s="0" t="s">
        <v>121</v>
      </c>
      <c r="C120" s="0" t="s">
        <v>3477</v>
      </c>
      <c r="D120" s="0" t="s">
        <v>3495</v>
      </c>
      <c r="E120" s="0" t="s">
        <v>3496</v>
      </c>
      <c r="F120" s="0" t="s">
        <v>3212</v>
      </c>
      <c r="G120" s="0" t="s">
        <v>3497</v>
      </c>
    </row>
    <row customHeight="1" ht="11.25">
      <c r="A121" s="0" t="s">
        <v>16</v>
      </c>
      <c r="B121" s="0" t="s">
        <v>121</v>
      </c>
      <c r="C121" s="0" t="s">
        <v>3477</v>
      </c>
      <c r="D121" s="0" t="s">
        <v>121</v>
      </c>
      <c r="E121" s="0" t="s">
        <v>3477</v>
      </c>
      <c r="F121" s="0" t="s">
        <v>3209</v>
      </c>
      <c r="G121" s="0" t="s">
        <v>3498</v>
      </c>
    </row>
    <row customHeight="1" ht="11.25">
      <c r="A122" s="0" t="s">
        <v>16</v>
      </c>
      <c r="B122" s="0" t="s">
        <v>121</v>
      </c>
      <c r="C122" s="0" t="s">
        <v>3477</v>
      </c>
      <c r="D122" s="0" t="s">
        <v>3499</v>
      </c>
      <c r="E122" s="0" t="s">
        <v>3500</v>
      </c>
      <c r="F122" s="0" t="s">
        <v>3212</v>
      </c>
      <c r="G122" s="0" t="s">
        <v>3501</v>
      </c>
    </row>
    <row customHeight="1" ht="11.25">
      <c r="A123" s="0" t="s">
        <v>16</v>
      </c>
      <c r="B123" s="0" t="s">
        <v>121</v>
      </c>
      <c r="C123" s="0" t="s">
        <v>3477</v>
      </c>
      <c r="D123" s="0" t="s">
        <v>3502</v>
      </c>
      <c r="E123" s="0" t="s">
        <v>3503</v>
      </c>
      <c r="F123" s="0" t="s">
        <v>3212</v>
      </c>
      <c r="G123" s="0" t="s">
        <v>3504</v>
      </c>
    </row>
    <row customHeight="1" ht="11.25">
      <c r="A124" s="0" t="s">
        <v>16</v>
      </c>
      <c r="B124" s="0" t="s">
        <v>121</v>
      </c>
      <c r="C124" s="0" t="s">
        <v>3477</v>
      </c>
      <c r="D124" s="0" t="s">
        <v>3505</v>
      </c>
      <c r="E124" s="0" t="s">
        <v>3506</v>
      </c>
      <c r="F124" s="0" t="s">
        <v>3212</v>
      </c>
      <c r="G124" s="0" t="s">
        <v>3507</v>
      </c>
    </row>
    <row customHeight="1" ht="11.25">
      <c r="A125" s="0" t="s">
        <v>16</v>
      </c>
      <c r="B125" s="0" t="s">
        <v>121</v>
      </c>
      <c r="C125" s="0" t="s">
        <v>3477</v>
      </c>
      <c r="D125" s="0" t="s">
        <v>3508</v>
      </c>
      <c r="E125" s="0" t="s">
        <v>3509</v>
      </c>
      <c r="F125" s="0" t="s">
        <v>3228</v>
      </c>
      <c r="G125" s="0" t="s">
        <v>3510</v>
      </c>
    </row>
    <row customHeight="1" ht="11.25">
      <c r="A126" s="0" t="s">
        <v>16</v>
      </c>
      <c r="B126" s="0" t="s">
        <v>121</v>
      </c>
      <c r="C126" s="0" t="s">
        <v>3477</v>
      </c>
      <c r="D126" s="0" t="s">
        <v>3511</v>
      </c>
      <c r="E126" s="0" t="s">
        <v>3512</v>
      </c>
      <c r="F126" s="0" t="s">
        <v>3228</v>
      </c>
      <c r="G126" s="0" t="s">
        <v>3513</v>
      </c>
    </row>
    <row customHeight="1" ht="11.25">
      <c r="A127" s="0" t="s">
        <v>16</v>
      </c>
      <c r="B127" s="0" t="s">
        <v>121</v>
      </c>
      <c r="C127" s="0" t="s">
        <v>3477</v>
      </c>
      <c r="D127" s="0" t="s">
        <v>3514</v>
      </c>
      <c r="E127" s="0" t="s">
        <v>3515</v>
      </c>
      <c r="F127" s="0" t="s">
        <v>3212</v>
      </c>
      <c r="G127" s="0" t="s">
        <v>3516</v>
      </c>
    </row>
    <row customHeight="1" ht="11.25">
      <c r="A128" s="0" t="s">
        <v>16</v>
      </c>
      <c r="B128" s="0" t="s">
        <v>121</v>
      </c>
      <c r="C128" s="0" t="s">
        <v>3477</v>
      </c>
      <c r="D128" s="0" t="s">
        <v>3517</v>
      </c>
      <c r="E128" s="0" t="s">
        <v>3518</v>
      </c>
      <c r="F128" s="0" t="s">
        <v>3212</v>
      </c>
      <c r="G128" s="0" t="s">
        <v>3519</v>
      </c>
    </row>
    <row customHeight="1" ht="11.25">
      <c r="A129" s="0" t="s">
        <v>16</v>
      </c>
      <c r="B129" s="0" t="s">
        <v>3520</v>
      </c>
      <c r="C129" s="0" t="s">
        <v>3521</v>
      </c>
      <c r="D129" s="0" t="s">
        <v>3520</v>
      </c>
      <c r="E129" s="0" t="s">
        <v>3521</v>
      </c>
      <c r="F129" s="0" t="s">
        <v>3522</v>
      </c>
      <c r="G129" s="0" t="s">
        <v>3523</v>
      </c>
    </row>
    <row customHeight="1" ht="11.25">
      <c r="A130" s="0" t="s">
        <v>16</v>
      </c>
      <c r="B130" s="0" t="s">
        <v>3524</v>
      </c>
      <c r="C130" s="0" t="s">
        <v>3525</v>
      </c>
      <c r="D130" s="0" t="s">
        <v>3526</v>
      </c>
      <c r="E130" s="0" t="s">
        <v>3527</v>
      </c>
      <c r="F130" s="0" t="s">
        <v>3212</v>
      </c>
      <c r="G130" s="0" t="s">
        <v>3528</v>
      </c>
    </row>
    <row customHeight="1" ht="11.25">
      <c r="A131" s="0" t="s">
        <v>16</v>
      </c>
      <c r="B131" s="0" t="s">
        <v>3524</v>
      </c>
      <c r="C131" s="0" t="s">
        <v>3525</v>
      </c>
      <c r="D131" s="0" t="s">
        <v>3529</v>
      </c>
      <c r="E131" s="0" t="s">
        <v>3530</v>
      </c>
      <c r="F131" s="0" t="s">
        <v>3212</v>
      </c>
      <c r="G131" s="0" t="s">
        <v>3531</v>
      </c>
    </row>
    <row customHeight="1" ht="11.25">
      <c r="A132" s="0" t="s">
        <v>16</v>
      </c>
      <c r="B132" s="0" t="s">
        <v>3524</v>
      </c>
      <c r="C132" s="0" t="s">
        <v>3525</v>
      </c>
      <c r="D132" s="0" t="s">
        <v>3532</v>
      </c>
      <c r="E132" s="0" t="s">
        <v>3533</v>
      </c>
      <c r="F132" s="0" t="s">
        <v>3212</v>
      </c>
      <c r="G132" s="0" t="s">
        <v>3534</v>
      </c>
    </row>
    <row customHeight="1" ht="11.25">
      <c r="A133" s="0" t="s">
        <v>16</v>
      </c>
      <c r="B133" s="0" t="s">
        <v>3524</v>
      </c>
      <c r="C133" s="0" t="s">
        <v>3525</v>
      </c>
      <c r="D133" s="0" t="s">
        <v>3535</v>
      </c>
      <c r="E133" s="0" t="s">
        <v>3536</v>
      </c>
      <c r="F133" s="0" t="s">
        <v>3212</v>
      </c>
      <c r="G133" s="0" t="s">
        <v>3537</v>
      </c>
    </row>
    <row customHeight="1" ht="11.25">
      <c r="A134" s="0" t="s">
        <v>16</v>
      </c>
      <c r="B134" s="0" t="s">
        <v>3524</v>
      </c>
      <c r="C134" s="0" t="s">
        <v>3525</v>
      </c>
      <c r="D134" s="0" t="s">
        <v>3538</v>
      </c>
      <c r="E134" s="0" t="s">
        <v>3539</v>
      </c>
      <c r="F134" s="0" t="s">
        <v>3212</v>
      </c>
      <c r="G134" s="0" t="s">
        <v>3540</v>
      </c>
    </row>
    <row customHeight="1" ht="11.25">
      <c r="A135" s="0" t="s">
        <v>16</v>
      </c>
      <c r="B135" s="0" t="s">
        <v>3524</v>
      </c>
      <c r="C135" s="0" t="s">
        <v>3525</v>
      </c>
      <c r="D135" s="0" t="s">
        <v>3541</v>
      </c>
      <c r="E135" s="0" t="s">
        <v>3542</v>
      </c>
      <c r="F135" s="0" t="s">
        <v>3212</v>
      </c>
      <c r="G135" s="0" t="s">
        <v>3543</v>
      </c>
    </row>
    <row customHeight="1" ht="11.25">
      <c r="A136" s="0" t="s">
        <v>16</v>
      </c>
      <c r="B136" s="0" t="s">
        <v>3524</v>
      </c>
      <c r="C136" s="0" t="s">
        <v>3525</v>
      </c>
      <c r="D136" s="0" t="s">
        <v>3524</v>
      </c>
      <c r="E136" s="0" t="s">
        <v>3525</v>
      </c>
      <c r="F136" s="0" t="s">
        <v>3209</v>
      </c>
      <c r="G136" s="0" t="s">
        <v>3544</v>
      </c>
    </row>
    <row customHeight="1" ht="11.25">
      <c r="A137" s="0" t="s">
        <v>16</v>
      </c>
      <c r="B137" s="0" t="s">
        <v>3524</v>
      </c>
      <c r="C137" s="0" t="s">
        <v>3525</v>
      </c>
      <c r="D137" s="0" t="s">
        <v>3545</v>
      </c>
      <c r="E137" s="0" t="s">
        <v>3546</v>
      </c>
      <c r="F137" s="0" t="s">
        <v>3228</v>
      </c>
      <c r="G137" s="0" t="s">
        <v>3547</v>
      </c>
    </row>
    <row customHeight="1" ht="11.25">
      <c r="A138" s="0" t="s">
        <v>16</v>
      </c>
      <c r="B138" s="0" t="s">
        <v>3524</v>
      </c>
      <c r="C138" s="0" t="s">
        <v>3525</v>
      </c>
      <c r="D138" s="0" t="s">
        <v>3548</v>
      </c>
      <c r="E138" s="0" t="s">
        <v>3549</v>
      </c>
      <c r="F138" s="0" t="s">
        <v>3212</v>
      </c>
      <c r="G138" s="0" t="s">
        <v>3550</v>
      </c>
    </row>
    <row customHeight="1" ht="11.25">
      <c r="A139" s="0" t="s">
        <v>16</v>
      </c>
      <c r="B139" s="0" t="s">
        <v>132</v>
      </c>
      <c r="C139" s="0" t="s">
        <v>3551</v>
      </c>
      <c r="D139" s="0" t="s">
        <v>3552</v>
      </c>
      <c r="E139" s="0" t="s">
        <v>3553</v>
      </c>
      <c r="F139" s="0" t="s">
        <v>3212</v>
      </c>
      <c r="G139" s="0" t="s">
        <v>3554</v>
      </c>
    </row>
    <row customHeight="1" ht="11.25">
      <c r="A140" s="0" t="s">
        <v>16</v>
      </c>
      <c r="B140" s="0" t="s">
        <v>132</v>
      </c>
      <c r="C140" s="0" t="s">
        <v>3551</v>
      </c>
      <c r="D140" s="0" t="s">
        <v>3555</v>
      </c>
      <c r="E140" s="0" t="s">
        <v>3556</v>
      </c>
      <c r="F140" s="0" t="s">
        <v>3215</v>
      </c>
      <c r="G140" s="0" t="s">
        <v>3557</v>
      </c>
    </row>
    <row customHeight="1" ht="11.25">
      <c r="A141" s="0" t="s">
        <v>16</v>
      </c>
      <c r="B141" s="0" t="s">
        <v>132</v>
      </c>
      <c r="C141" s="0" t="s">
        <v>3551</v>
      </c>
      <c r="D141" s="0" t="s">
        <v>3558</v>
      </c>
      <c r="E141" s="0" t="s">
        <v>3559</v>
      </c>
      <c r="F141" s="0" t="s">
        <v>3239</v>
      </c>
      <c r="G141" s="0" t="s">
        <v>3560</v>
      </c>
    </row>
    <row customHeight="1" ht="11.25">
      <c r="A142" s="0" t="s">
        <v>16</v>
      </c>
      <c r="B142" s="0" t="s">
        <v>132</v>
      </c>
      <c r="C142" s="0" t="s">
        <v>3551</v>
      </c>
      <c r="D142" s="0" t="s">
        <v>3561</v>
      </c>
      <c r="E142" s="0" t="s">
        <v>3562</v>
      </c>
      <c r="F142" s="0" t="s">
        <v>3228</v>
      </c>
      <c r="G142" s="0" t="s">
        <v>3563</v>
      </c>
    </row>
    <row customHeight="1" ht="11.25">
      <c r="A143" s="0" t="s">
        <v>16</v>
      </c>
      <c r="B143" s="0" t="s">
        <v>132</v>
      </c>
      <c r="C143" s="0" t="s">
        <v>3551</v>
      </c>
      <c r="D143" s="0" t="s">
        <v>3564</v>
      </c>
      <c r="E143" s="0" t="s">
        <v>3565</v>
      </c>
      <c r="F143" s="0" t="s">
        <v>3228</v>
      </c>
      <c r="G143" s="0" t="s">
        <v>3566</v>
      </c>
    </row>
    <row customHeight="1" ht="11.25">
      <c r="A144" s="0" t="s">
        <v>16</v>
      </c>
      <c r="B144" s="0" t="s">
        <v>132</v>
      </c>
      <c r="C144" s="0" t="s">
        <v>3551</v>
      </c>
      <c r="D144" s="0" t="s">
        <v>133</v>
      </c>
      <c r="E144" s="0" t="s">
        <v>134</v>
      </c>
      <c r="F144" s="0" t="s">
        <v>3228</v>
      </c>
      <c r="G144" s="0" t="s">
        <v>131</v>
      </c>
    </row>
    <row customHeight="1" ht="11.25">
      <c r="A145" s="0" t="s">
        <v>16</v>
      </c>
      <c r="B145" s="0" t="s">
        <v>132</v>
      </c>
      <c r="C145" s="0" t="s">
        <v>3551</v>
      </c>
      <c r="D145" s="0" t="s">
        <v>132</v>
      </c>
      <c r="E145" s="0" t="s">
        <v>3551</v>
      </c>
      <c r="F145" s="0" t="s">
        <v>3209</v>
      </c>
      <c r="G145" s="0" t="s">
        <v>3567</v>
      </c>
    </row>
    <row customHeight="1" ht="11.25">
      <c r="A146" s="0" t="s">
        <v>16</v>
      </c>
      <c r="B146" s="0" t="s">
        <v>3568</v>
      </c>
      <c r="C146" s="0" t="s">
        <v>3569</v>
      </c>
      <c r="D146" s="0" t="s">
        <v>3570</v>
      </c>
      <c r="E146" s="0" t="s">
        <v>3571</v>
      </c>
      <c r="F146" s="0" t="s">
        <v>3212</v>
      </c>
      <c r="G146" s="0" t="s">
        <v>3572</v>
      </c>
    </row>
    <row customHeight="1" ht="11.25">
      <c r="A147" s="0" t="s">
        <v>16</v>
      </c>
      <c r="B147" s="0" t="s">
        <v>3568</v>
      </c>
      <c r="C147" s="0" t="s">
        <v>3569</v>
      </c>
      <c r="D147" s="0" t="s">
        <v>3573</v>
      </c>
      <c r="E147" s="0" t="s">
        <v>3574</v>
      </c>
      <c r="F147" s="0" t="s">
        <v>3212</v>
      </c>
      <c r="G147" s="0" t="s">
        <v>3575</v>
      </c>
    </row>
    <row customHeight="1" ht="11.25">
      <c r="A148" s="0" t="s">
        <v>16</v>
      </c>
      <c r="B148" s="0" t="s">
        <v>3568</v>
      </c>
      <c r="C148" s="0" t="s">
        <v>3569</v>
      </c>
      <c r="D148" s="0" t="s">
        <v>3576</v>
      </c>
      <c r="E148" s="0" t="s">
        <v>3577</v>
      </c>
      <c r="F148" s="0" t="s">
        <v>3212</v>
      </c>
      <c r="G148" s="0" t="s">
        <v>3578</v>
      </c>
    </row>
    <row customHeight="1" ht="11.25">
      <c r="A149" s="0" t="s">
        <v>16</v>
      </c>
      <c r="B149" s="0" t="s">
        <v>3568</v>
      </c>
      <c r="C149" s="0" t="s">
        <v>3569</v>
      </c>
      <c r="D149" s="0" t="s">
        <v>3579</v>
      </c>
      <c r="E149" s="0" t="s">
        <v>3580</v>
      </c>
      <c r="F149" s="0" t="s">
        <v>3212</v>
      </c>
      <c r="G149" s="0" t="s">
        <v>3581</v>
      </c>
    </row>
    <row customHeight="1" ht="11.25">
      <c r="A150" s="0" t="s">
        <v>16</v>
      </c>
      <c r="B150" s="0" t="s">
        <v>3568</v>
      </c>
      <c r="C150" s="0" t="s">
        <v>3569</v>
      </c>
      <c r="D150" s="0" t="s">
        <v>3582</v>
      </c>
      <c r="E150" s="0" t="s">
        <v>3583</v>
      </c>
      <c r="F150" s="0" t="s">
        <v>3212</v>
      </c>
      <c r="G150" s="0" t="s">
        <v>3584</v>
      </c>
    </row>
    <row customHeight="1" ht="11.25">
      <c r="A151" s="0" t="s">
        <v>16</v>
      </c>
      <c r="B151" s="0" t="s">
        <v>3568</v>
      </c>
      <c r="C151" s="0" t="s">
        <v>3569</v>
      </c>
      <c r="D151" s="0" t="s">
        <v>3585</v>
      </c>
      <c r="E151" s="0" t="s">
        <v>3586</v>
      </c>
      <c r="F151" s="0" t="s">
        <v>3212</v>
      </c>
      <c r="G151" s="0" t="s">
        <v>3587</v>
      </c>
    </row>
    <row customHeight="1" ht="11.25">
      <c r="A152" s="0" t="s">
        <v>16</v>
      </c>
      <c r="B152" s="0" t="s">
        <v>3568</v>
      </c>
      <c r="C152" s="0" t="s">
        <v>3569</v>
      </c>
      <c r="D152" s="0" t="s">
        <v>3588</v>
      </c>
      <c r="E152" s="0" t="s">
        <v>3589</v>
      </c>
      <c r="F152" s="0" t="s">
        <v>3212</v>
      </c>
      <c r="G152" s="0" t="s">
        <v>3590</v>
      </c>
    </row>
    <row customHeight="1" ht="11.25">
      <c r="A153" s="0" t="s">
        <v>16</v>
      </c>
      <c r="B153" s="0" t="s">
        <v>3568</v>
      </c>
      <c r="C153" s="0" t="s">
        <v>3569</v>
      </c>
      <c r="D153" s="0" t="s">
        <v>3591</v>
      </c>
      <c r="E153" s="0" t="s">
        <v>3592</v>
      </c>
      <c r="F153" s="0" t="s">
        <v>3228</v>
      </c>
      <c r="G153" s="0" t="s">
        <v>3593</v>
      </c>
    </row>
    <row customHeight="1" ht="11.25">
      <c r="A154" s="0" t="s">
        <v>16</v>
      </c>
      <c r="B154" s="0" t="s">
        <v>3568</v>
      </c>
      <c r="C154" s="0" t="s">
        <v>3569</v>
      </c>
      <c r="D154" s="0" t="s">
        <v>3568</v>
      </c>
      <c r="E154" s="0" t="s">
        <v>3569</v>
      </c>
      <c r="F154" s="0" t="s">
        <v>3209</v>
      </c>
      <c r="G154" s="0" t="s">
        <v>3594</v>
      </c>
    </row>
    <row customHeight="1" ht="11.25">
      <c r="A155" s="0" t="s">
        <v>16</v>
      </c>
      <c r="B155" s="0" t="s">
        <v>3568</v>
      </c>
      <c r="C155" s="0" t="s">
        <v>3569</v>
      </c>
      <c r="D155" s="0" t="s">
        <v>3595</v>
      </c>
      <c r="E155" s="0" t="s">
        <v>3596</v>
      </c>
      <c r="F155" s="0" t="s">
        <v>3212</v>
      </c>
      <c r="G155" s="0" t="s">
        <v>3597</v>
      </c>
    </row>
    <row customHeight="1" ht="11.25">
      <c r="A156" s="0" t="s">
        <v>16</v>
      </c>
      <c r="B156" s="0" t="s">
        <v>3568</v>
      </c>
      <c r="C156" s="0" t="s">
        <v>3569</v>
      </c>
      <c r="D156" s="0" t="s">
        <v>3598</v>
      </c>
      <c r="E156" s="0" t="s">
        <v>3599</v>
      </c>
      <c r="F156" s="0" t="s">
        <v>3212</v>
      </c>
      <c r="G156" s="0" t="s">
        <v>3600</v>
      </c>
    </row>
    <row customHeight="1" ht="11.25">
      <c r="A157" s="0" t="s">
        <v>16</v>
      </c>
      <c r="B157" s="0" t="s">
        <v>3568</v>
      </c>
      <c r="C157" s="0" t="s">
        <v>3569</v>
      </c>
      <c r="D157" s="0" t="s">
        <v>3601</v>
      </c>
      <c r="E157" s="0" t="s">
        <v>3602</v>
      </c>
      <c r="F157" s="0" t="s">
        <v>3212</v>
      </c>
      <c r="G157" s="0" t="s">
        <v>3603</v>
      </c>
    </row>
    <row customHeight="1" ht="11.25">
      <c r="A158" s="0" t="s">
        <v>16</v>
      </c>
      <c r="B158" s="0" t="s">
        <v>3604</v>
      </c>
      <c r="C158" s="0" t="s">
        <v>3605</v>
      </c>
      <c r="D158" s="0" t="s">
        <v>3606</v>
      </c>
      <c r="E158" s="0" t="s">
        <v>3607</v>
      </c>
      <c r="F158" s="0" t="s">
        <v>3212</v>
      </c>
      <c r="G158" s="0" t="s">
        <v>3608</v>
      </c>
    </row>
    <row customHeight="1" ht="11.25">
      <c r="A159" s="0" t="s">
        <v>16</v>
      </c>
      <c r="B159" s="0" t="s">
        <v>3604</v>
      </c>
      <c r="C159" s="0" t="s">
        <v>3605</v>
      </c>
      <c r="D159" s="0" t="s">
        <v>3609</v>
      </c>
      <c r="E159" s="0" t="s">
        <v>3610</v>
      </c>
      <c r="F159" s="0" t="s">
        <v>3239</v>
      </c>
      <c r="G159" s="0" t="s">
        <v>3611</v>
      </c>
    </row>
    <row customHeight="1" ht="11.25">
      <c r="A160" s="0" t="s">
        <v>16</v>
      </c>
      <c r="B160" s="0" t="s">
        <v>3604</v>
      </c>
      <c r="C160" s="0" t="s">
        <v>3605</v>
      </c>
      <c r="D160" s="0" t="s">
        <v>3612</v>
      </c>
      <c r="E160" s="0" t="s">
        <v>3613</v>
      </c>
      <c r="F160" s="0" t="s">
        <v>3212</v>
      </c>
      <c r="G160" s="0" t="s">
        <v>3614</v>
      </c>
    </row>
    <row customHeight="1" ht="11.25">
      <c r="A161" s="0" t="s">
        <v>16</v>
      </c>
      <c r="B161" s="0" t="s">
        <v>3604</v>
      </c>
      <c r="C161" s="0" t="s">
        <v>3605</v>
      </c>
      <c r="D161" s="0" t="s">
        <v>3604</v>
      </c>
      <c r="E161" s="0" t="s">
        <v>3605</v>
      </c>
      <c r="F161" s="0" t="s">
        <v>3209</v>
      </c>
      <c r="G161" s="0" t="s">
        <v>3615</v>
      </c>
    </row>
    <row customHeight="1" ht="11.25">
      <c r="A162" s="0" t="s">
        <v>16</v>
      </c>
      <c r="B162" s="0" t="s">
        <v>3604</v>
      </c>
      <c r="C162" s="0" t="s">
        <v>3605</v>
      </c>
      <c r="D162" s="0" t="s">
        <v>3616</v>
      </c>
      <c r="E162" s="0" t="s">
        <v>3617</v>
      </c>
      <c r="F162" s="0" t="s">
        <v>3212</v>
      </c>
      <c r="G162" s="0" t="s">
        <v>3618</v>
      </c>
    </row>
    <row customHeight="1" ht="11.25">
      <c r="A163" s="0" t="s">
        <v>16</v>
      </c>
      <c r="B163" s="0" t="s">
        <v>3604</v>
      </c>
      <c r="C163" s="0" t="s">
        <v>3605</v>
      </c>
      <c r="D163" s="0" t="s">
        <v>3619</v>
      </c>
      <c r="E163" s="0" t="s">
        <v>3620</v>
      </c>
      <c r="F163" s="0" t="s">
        <v>3212</v>
      </c>
      <c r="G163" s="0" t="s">
        <v>3621</v>
      </c>
    </row>
    <row customHeight="1" ht="11.25">
      <c r="A164" s="0" t="s">
        <v>16</v>
      </c>
      <c r="B164" s="0" t="s">
        <v>3604</v>
      </c>
      <c r="C164" s="0" t="s">
        <v>3605</v>
      </c>
      <c r="D164" s="0" t="s">
        <v>3622</v>
      </c>
      <c r="E164" s="0" t="s">
        <v>3623</v>
      </c>
      <c r="F164" s="0" t="s">
        <v>3212</v>
      </c>
      <c r="G164" s="0" t="s">
        <v>3624</v>
      </c>
    </row>
    <row customHeight="1" ht="11.25">
      <c r="A165" s="0" t="s">
        <v>16</v>
      </c>
      <c r="B165" s="0" t="s">
        <v>3625</v>
      </c>
      <c r="C165" s="0" t="s">
        <v>3626</v>
      </c>
      <c r="D165" s="0" t="s">
        <v>3627</v>
      </c>
      <c r="E165" s="0" t="s">
        <v>3628</v>
      </c>
      <c r="F165" s="0" t="s">
        <v>3212</v>
      </c>
      <c r="G165" s="0" t="s">
        <v>3629</v>
      </c>
    </row>
    <row customHeight="1" ht="11.25">
      <c r="A166" s="0" t="s">
        <v>16</v>
      </c>
      <c r="B166" s="0" t="s">
        <v>3625</v>
      </c>
      <c r="C166" s="0" t="s">
        <v>3626</v>
      </c>
      <c r="D166" s="0" t="s">
        <v>3630</v>
      </c>
      <c r="E166" s="0" t="s">
        <v>3631</v>
      </c>
      <c r="F166" s="0" t="s">
        <v>3212</v>
      </c>
      <c r="G166" s="0" t="s">
        <v>3632</v>
      </c>
    </row>
    <row customHeight="1" ht="11.25">
      <c r="A167" s="0" t="s">
        <v>16</v>
      </c>
      <c r="B167" s="0" t="s">
        <v>3625</v>
      </c>
      <c r="C167" s="0" t="s">
        <v>3626</v>
      </c>
      <c r="D167" s="0" t="s">
        <v>3633</v>
      </c>
      <c r="E167" s="0" t="s">
        <v>3634</v>
      </c>
      <c r="F167" s="0" t="s">
        <v>3212</v>
      </c>
      <c r="G167" s="0" t="s">
        <v>3635</v>
      </c>
    </row>
    <row customHeight="1" ht="11.25">
      <c r="A168" s="0" t="s">
        <v>16</v>
      </c>
      <c r="B168" s="0" t="s">
        <v>3625</v>
      </c>
      <c r="C168" s="0" t="s">
        <v>3626</v>
      </c>
      <c r="D168" s="0" t="s">
        <v>3636</v>
      </c>
      <c r="E168" s="0" t="s">
        <v>3637</v>
      </c>
      <c r="F168" s="0" t="s">
        <v>3212</v>
      </c>
      <c r="G168" s="0" t="s">
        <v>3638</v>
      </c>
    </row>
    <row customHeight="1" ht="11.25">
      <c r="A169" s="0" t="s">
        <v>16</v>
      </c>
      <c r="B169" s="0" t="s">
        <v>3625</v>
      </c>
      <c r="C169" s="0" t="s">
        <v>3626</v>
      </c>
      <c r="D169" s="0" t="s">
        <v>3639</v>
      </c>
      <c r="E169" s="0" t="s">
        <v>3640</v>
      </c>
      <c r="F169" s="0" t="s">
        <v>3212</v>
      </c>
      <c r="G169" s="0" t="s">
        <v>3641</v>
      </c>
    </row>
    <row customHeight="1" ht="11.25">
      <c r="A170" s="0" t="s">
        <v>16</v>
      </c>
      <c r="B170" s="0" t="s">
        <v>3625</v>
      </c>
      <c r="C170" s="0" t="s">
        <v>3626</v>
      </c>
      <c r="D170" s="0" t="s">
        <v>3642</v>
      </c>
      <c r="E170" s="0" t="s">
        <v>3643</v>
      </c>
      <c r="F170" s="0" t="s">
        <v>3212</v>
      </c>
      <c r="G170" s="0" t="s">
        <v>3644</v>
      </c>
    </row>
    <row customHeight="1" ht="11.25">
      <c r="A171" s="0" t="s">
        <v>16</v>
      </c>
      <c r="B171" s="0" t="s">
        <v>3625</v>
      </c>
      <c r="C171" s="0" t="s">
        <v>3626</v>
      </c>
      <c r="D171" s="0" t="s">
        <v>3645</v>
      </c>
      <c r="E171" s="0" t="s">
        <v>3646</v>
      </c>
      <c r="F171" s="0" t="s">
        <v>3212</v>
      </c>
      <c r="G171" s="0" t="s">
        <v>3647</v>
      </c>
    </row>
    <row customHeight="1" ht="11.25">
      <c r="A172" s="0" t="s">
        <v>16</v>
      </c>
      <c r="B172" s="0" t="s">
        <v>3625</v>
      </c>
      <c r="C172" s="0" t="s">
        <v>3626</v>
      </c>
      <c r="D172" s="0" t="s">
        <v>3648</v>
      </c>
      <c r="E172" s="0" t="s">
        <v>3649</v>
      </c>
      <c r="F172" s="0" t="s">
        <v>3212</v>
      </c>
      <c r="G172" s="0" t="s">
        <v>3650</v>
      </c>
    </row>
    <row customHeight="1" ht="11.25">
      <c r="A173" s="0" t="s">
        <v>16</v>
      </c>
      <c r="B173" s="0" t="s">
        <v>3625</v>
      </c>
      <c r="C173" s="0" t="s">
        <v>3626</v>
      </c>
      <c r="D173" s="0" t="s">
        <v>3651</v>
      </c>
      <c r="E173" s="0" t="s">
        <v>3652</v>
      </c>
      <c r="F173" s="0" t="s">
        <v>3212</v>
      </c>
      <c r="G173" s="0" t="s">
        <v>3653</v>
      </c>
    </row>
    <row customHeight="1" ht="11.25">
      <c r="A174" s="0" t="s">
        <v>16</v>
      </c>
      <c r="B174" s="0" t="s">
        <v>3625</v>
      </c>
      <c r="C174" s="0" t="s">
        <v>3626</v>
      </c>
      <c r="D174" s="0" t="s">
        <v>3654</v>
      </c>
      <c r="E174" s="0" t="s">
        <v>3655</v>
      </c>
      <c r="F174" s="0" t="s">
        <v>3212</v>
      </c>
      <c r="G174" s="0" t="s">
        <v>3656</v>
      </c>
    </row>
    <row customHeight="1" ht="11.25">
      <c r="A175" s="0" t="s">
        <v>16</v>
      </c>
      <c r="B175" s="0" t="s">
        <v>3625</v>
      </c>
      <c r="C175" s="0" t="s">
        <v>3626</v>
      </c>
      <c r="D175" s="0" t="s">
        <v>3657</v>
      </c>
      <c r="E175" s="0" t="s">
        <v>3658</v>
      </c>
      <c r="F175" s="0" t="s">
        <v>3212</v>
      </c>
      <c r="G175" s="0" t="s">
        <v>3659</v>
      </c>
    </row>
    <row customHeight="1" ht="11.25">
      <c r="A176" s="0" t="s">
        <v>16</v>
      </c>
      <c r="B176" s="0" t="s">
        <v>3625</v>
      </c>
      <c r="C176" s="0" t="s">
        <v>3626</v>
      </c>
      <c r="D176" s="0" t="s">
        <v>3660</v>
      </c>
      <c r="E176" s="0" t="s">
        <v>3661</v>
      </c>
      <c r="F176" s="0" t="s">
        <v>3212</v>
      </c>
      <c r="G176" s="0" t="s">
        <v>3662</v>
      </c>
    </row>
    <row customHeight="1" ht="11.25">
      <c r="A177" s="0" t="s">
        <v>16</v>
      </c>
      <c r="B177" s="0" t="s">
        <v>3625</v>
      </c>
      <c r="C177" s="0" t="s">
        <v>3626</v>
      </c>
      <c r="D177" s="0" t="s">
        <v>3663</v>
      </c>
      <c r="E177" s="0" t="s">
        <v>3664</v>
      </c>
      <c r="F177" s="0" t="s">
        <v>3212</v>
      </c>
      <c r="G177" s="0" t="s">
        <v>3665</v>
      </c>
    </row>
    <row customHeight="1" ht="11.25">
      <c r="A178" s="0" t="s">
        <v>16</v>
      </c>
      <c r="B178" s="0" t="s">
        <v>3625</v>
      </c>
      <c r="C178" s="0" t="s">
        <v>3626</v>
      </c>
      <c r="D178" s="0" t="s">
        <v>3666</v>
      </c>
      <c r="E178" s="0" t="s">
        <v>3667</v>
      </c>
      <c r="F178" s="0" t="s">
        <v>3212</v>
      </c>
      <c r="G178" s="0" t="s">
        <v>3668</v>
      </c>
    </row>
    <row customHeight="1" ht="11.25">
      <c r="A179" s="0" t="s">
        <v>16</v>
      </c>
      <c r="B179" s="0" t="s">
        <v>3625</v>
      </c>
      <c r="C179" s="0" t="s">
        <v>3626</v>
      </c>
      <c r="D179" s="0" t="s">
        <v>3669</v>
      </c>
      <c r="E179" s="0" t="s">
        <v>3670</v>
      </c>
      <c r="F179" s="0" t="s">
        <v>3212</v>
      </c>
      <c r="G179" s="0" t="s">
        <v>3671</v>
      </c>
    </row>
    <row customHeight="1" ht="11.25">
      <c r="A180" s="0" t="s">
        <v>16</v>
      </c>
      <c r="B180" s="0" t="s">
        <v>3625</v>
      </c>
      <c r="C180" s="0" t="s">
        <v>3626</v>
      </c>
      <c r="D180" s="0" t="s">
        <v>3672</v>
      </c>
      <c r="E180" s="0" t="s">
        <v>3673</v>
      </c>
      <c r="F180" s="0" t="s">
        <v>3212</v>
      </c>
      <c r="G180" s="0" t="s">
        <v>3674</v>
      </c>
    </row>
    <row customHeight="1" ht="11.25">
      <c r="A181" s="0" t="s">
        <v>16</v>
      </c>
      <c r="B181" s="0" t="s">
        <v>3625</v>
      </c>
      <c r="C181" s="0" t="s">
        <v>3626</v>
      </c>
      <c r="D181" s="0" t="s">
        <v>3625</v>
      </c>
      <c r="E181" s="0" t="s">
        <v>3626</v>
      </c>
      <c r="F181" s="0" t="s">
        <v>3209</v>
      </c>
      <c r="G181" s="0" t="s">
        <v>3675</v>
      </c>
    </row>
    <row customHeight="1" ht="11.25">
      <c r="A182" s="0" t="s">
        <v>16</v>
      </c>
      <c r="B182" s="0" t="s">
        <v>3625</v>
      </c>
      <c r="C182" s="0" t="s">
        <v>3626</v>
      </c>
      <c r="D182" s="0" t="s">
        <v>3676</v>
      </c>
      <c r="E182" s="0" t="s">
        <v>3677</v>
      </c>
      <c r="F182" s="0" t="s">
        <v>3212</v>
      </c>
      <c r="G182" s="0" t="s">
        <v>3678</v>
      </c>
    </row>
    <row customHeight="1" ht="11.25">
      <c r="A183" s="0" t="s">
        <v>16</v>
      </c>
      <c r="B183" s="0" t="s">
        <v>3625</v>
      </c>
      <c r="C183" s="0" t="s">
        <v>3626</v>
      </c>
      <c r="D183" s="0" t="s">
        <v>3679</v>
      </c>
      <c r="E183" s="0" t="s">
        <v>3680</v>
      </c>
      <c r="F183" s="0" t="s">
        <v>3212</v>
      </c>
      <c r="G183" s="0" t="s">
        <v>3681</v>
      </c>
    </row>
    <row customHeight="1" ht="11.25">
      <c r="A184" s="0" t="s">
        <v>16</v>
      </c>
      <c r="B184" s="0" t="s">
        <v>108</v>
      </c>
      <c r="C184" s="0" t="s">
        <v>109</v>
      </c>
      <c r="D184" s="0" t="s">
        <v>3682</v>
      </c>
      <c r="E184" s="0" t="s">
        <v>3683</v>
      </c>
      <c r="F184" s="0" t="s">
        <v>3212</v>
      </c>
      <c r="G184" s="0" t="s">
        <v>3684</v>
      </c>
    </row>
    <row customHeight="1" ht="11.25">
      <c r="A185" s="0" t="s">
        <v>16</v>
      </c>
      <c r="B185" s="0" t="s">
        <v>108</v>
      </c>
      <c r="C185" s="0" t="s">
        <v>109</v>
      </c>
      <c r="D185" s="0" t="s">
        <v>3685</v>
      </c>
      <c r="E185" s="0" t="s">
        <v>3686</v>
      </c>
      <c r="F185" s="0" t="s">
        <v>3212</v>
      </c>
      <c r="G185" s="0" t="s">
        <v>3687</v>
      </c>
    </row>
    <row customHeight="1" ht="11.25">
      <c r="A186" s="0" t="s">
        <v>16</v>
      </c>
      <c r="B186" s="0" t="s">
        <v>108</v>
      </c>
      <c r="C186" s="0" t="s">
        <v>109</v>
      </c>
      <c r="D186" s="0" t="s">
        <v>3688</v>
      </c>
      <c r="E186" s="0" t="s">
        <v>3689</v>
      </c>
      <c r="F186" s="0" t="s">
        <v>3212</v>
      </c>
      <c r="G186" s="0" t="s">
        <v>3690</v>
      </c>
    </row>
    <row customHeight="1" ht="11.25">
      <c r="A187" s="0" t="s">
        <v>16</v>
      </c>
      <c r="B187" s="0" t="s">
        <v>108</v>
      </c>
      <c r="C187" s="0" t="s">
        <v>109</v>
      </c>
      <c r="D187" s="0" t="s">
        <v>3691</v>
      </c>
      <c r="E187" s="0" t="s">
        <v>3692</v>
      </c>
      <c r="F187" s="0" t="s">
        <v>3212</v>
      </c>
      <c r="G187" s="0" t="s">
        <v>3693</v>
      </c>
    </row>
    <row customHeight="1" ht="11.25">
      <c r="A188" s="0" t="s">
        <v>16</v>
      </c>
      <c r="B188" s="0" t="s">
        <v>108</v>
      </c>
      <c r="C188" s="0" t="s">
        <v>109</v>
      </c>
      <c r="D188" s="0" t="s">
        <v>3694</v>
      </c>
      <c r="E188" s="0" t="s">
        <v>3695</v>
      </c>
      <c r="F188" s="0" t="s">
        <v>3212</v>
      </c>
      <c r="G188" s="0" t="s">
        <v>3696</v>
      </c>
    </row>
    <row customHeight="1" ht="11.25">
      <c r="A189" s="0" t="s">
        <v>16</v>
      </c>
      <c r="B189" s="0" t="s">
        <v>108</v>
      </c>
      <c r="C189" s="0" t="s">
        <v>109</v>
      </c>
      <c r="D189" s="0" t="s">
        <v>3697</v>
      </c>
      <c r="E189" s="0" t="s">
        <v>3698</v>
      </c>
      <c r="F189" s="0" t="s">
        <v>3212</v>
      </c>
      <c r="G189" s="0" t="s">
        <v>3699</v>
      </c>
    </row>
    <row customHeight="1" ht="11.25">
      <c r="A190" s="0" t="s">
        <v>16</v>
      </c>
      <c r="B190" s="0" t="s">
        <v>108</v>
      </c>
      <c r="C190" s="0" t="s">
        <v>109</v>
      </c>
      <c r="D190" s="0" t="s">
        <v>3700</v>
      </c>
      <c r="E190" s="0" t="s">
        <v>3701</v>
      </c>
      <c r="F190" s="0" t="s">
        <v>3212</v>
      </c>
      <c r="G190" s="0" t="s">
        <v>3702</v>
      </c>
    </row>
    <row customHeight="1" ht="11.25">
      <c r="A191" s="0" t="s">
        <v>16</v>
      </c>
      <c r="B191" s="0" t="s">
        <v>108</v>
      </c>
      <c r="C191" s="0" t="s">
        <v>109</v>
      </c>
      <c r="D191" s="0" t="s">
        <v>3703</v>
      </c>
      <c r="E191" s="0" t="s">
        <v>3704</v>
      </c>
      <c r="F191" s="0" t="s">
        <v>3212</v>
      </c>
      <c r="G191" s="0" t="s">
        <v>3705</v>
      </c>
    </row>
    <row customHeight="1" ht="11.25">
      <c r="A192" s="0" t="s">
        <v>16</v>
      </c>
      <c r="B192" s="0" t="s">
        <v>108</v>
      </c>
      <c r="C192" s="0" t="s">
        <v>109</v>
      </c>
      <c r="D192" s="0" t="s">
        <v>3706</v>
      </c>
      <c r="E192" s="0" t="s">
        <v>3707</v>
      </c>
      <c r="F192" s="0" t="s">
        <v>3212</v>
      </c>
      <c r="G192" s="0" t="s">
        <v>3708</v>
      </c>
    </row>
    <row customHeight="1" ht="11.25">
      <c r="A193" s="0" t="s">
        <v>16</v>
      </c>
      <c r="B193" s="0" t="s">
        <v>108</v>
      </c>
      <c r="C193" s="0" t="s">
        <v>109</v>
      </c>
      <c r="D193" s="0" t="s">
        <v>3709</v>
      </c>
      <c r="E193" s="0" t="s">
        <v>3710</v>
      </c>
      <c r="F193" s="0" t="s">
        <v>3212</v>
      </c>
      <c r="G193" s="0" t="s">
        <v>3711</v>
      </c>
    </row>
    <row customHeight="1" ht="11.25">
      <c r="A194" s="0" t="s">
        <v>16</v>
      </c>
      <c r="B194" s="0" t="s">
        <v>108</v>
      </c>
      <c r="C194" s="0" t="s">
        <v>109</v>
      </c>
      <c r="D194" s="0" t="s">
        <v>3712</v>
      </c>
      <c r="E194" s="0" t="s">
        <v>3713</v>
      </c>
      <c r="F194" s="0" t="s">
        <v>3212</v>
      </c>
      <c r="G194" s="0" t="s">
        <v>3714</v>
      </c>
    </row>
    <row customHeight="1" ht="11.25">
      <c r="A195" s="0" t="s">
        <v>16</v>
      </c>
      <c r="B195" s="0" t="s">
        <v>108</v>
      </c>
      <c r="C195" s="0" t="s">
        <v>109</v>
      </c>
      <c r="D195" s="0" t="s">
        <v>3715</v>
      </c>
      <c r="E195" s="0" t="s">
        <v>3716</v>
      </c>
      <c r="F195" s="0" t="s">
        <v>3212</v>
      </c>
      <c r="G195" s="0" t="s">
        <v>3717</v>
      </c>
    </row>
    <row customHeight="1" ht="11.25">
      <c r="A196" s="0" t="s">
        <v>16</v>
      </c>
      <c r="B196" s="0" t="s">
        <v>108</v>
      </c>
      <c r="C196" s="0" t="s">
        <v>109</v>
      </c>
      <c r="D196" s="0" t="s">
        <v>3718</v>
      </c>
      <c r="E196" s="0" t="s">
        <v>3719</v>
      </c>
      <c r="F196" s="0" t="s">
        <v>3212</v>
      </c>
      <c r="G196" s="0" t="s">
        <v>3720</v>
      </c>
    </row>
    <row customHeight="1" ht="11.25">
      <c r="A197" s="0" t="s">
        <v>16</v>
      </c>
      <c r="B197" s="0" t="s">
        <v>108</v>
      </c>
      <c r="C197" s="0" t="s">
        <v>109</v>
      </c>
      <c r="D197" s="0" t="s">
        <v>3721</v>
      </c>
      <c r="E197" s="0" t="s">
        <v>3722</v>
      </c>
      <c r="F197" s="0" t="s">
        <v>3212</v>
      </c>
      <c r="G197" s="0" t="s">
        <v>3723</v>
      </c>
    </row>
    <row customHeight="1" ht="11.25">
      <c r="A198" s="0" t="s">
        <v>16</v>
      </c>
      <c r="B198" s="0" t="s">
        <v>108</v>
      </c>
      <c r="C198" s="0" t="s">
        <v>109</v>
      </c>
      <c r="D198" s="0" t="s">
        <v>3724</v>
      </c>
      <c r="E198" s="0" t="s">
        <v>3725</v>
      </c>
      <c r="F198" s="0" t="s">
        <v>3212</v>
      </c>
      <c r="G198" s="0" t="s">
        <v>3726</v>
      </c>
    </row>
    <row customHeight="1" ht="11.25">
      <c r="A199" s="0" t="s">
        <v>16</v>
      </c>
      <c r="B199" s="0" t="s">
        <v>108</v>
      </c>
      <c r="C199" s="0" t="s">
        <v>109</v>
      </c>
      <c r="D199" s="0" t="s">
        <v>3727</v>
      </c>
      <c r="E199" s="0" t="s">
        <v>3728</v>
      </c>
      <c r="F199" s="0" t="s">
        <v>3212</v>
      </c>
      <c r="G199" s="0" t="s">
        <v>3729</v>
      </c>
    </row>
    <row customHeight="1" ht="11.25">
      <c r="A200" s="0" t="s">
        <v>16</v>
      </c>
      <c r="B200" s="0" t="s">
        <v>108</v>
      </c>
      <c r="C200" s="0" t="s">
        <v>109</v>
      </c>
      <c r="D200" s="0" t="s">
        <v>3730</v>
      </c>
      <c r="E200" s="0" t="s">
        <v>3731</v>
      </c>
      <c r="F200" s="0" t="s">
        <v>3212</v>
      </c>
      <c r="G200" s="0" t="s">
        <v>3732</v>
      </c>
    </row>
    <row customHeight="1" ht="11.25">
      <c r="A201" s="0" t="s">
        <v>16</v>
      </c>
      <c r="B201" s="0" t="s">
        <v>108</v>
      </c>
      <c r="C201" s="0" t="s">
        <v>109</v>
      </c>
      <c r="D201" s="0" t="s">
        <v>3733</v>
      </c>
      <c r="E201" s="0" t="s">
        <v>3734</v>
      </c>
      <c r="F201" s="0" t="s">
        <v>3212</v>
      </c>
      <c r="G201" s="0" t="s">
        <v>3735</v>
      </c>
    </row>
    <row customHeight="1" ht="11.25">
      <c r="A202" s="0" t="s">
        <v>16</v>
      </c>
      <c r="B202" s="0" t="s">
        <v>108</v>
      </c>
      <c r="C202" s="0" t="s">
        <v>109</v>
      </c>
      <c r="D202" s="0" t="s">
        <v>3736</v>
      </c>
      <c r="E202" s="0" t="s">
        <v>3737</v>
      </c>
      <c r="F202" s="0" t="s">
        <v>3212</v>
      </c>
      <c r="G202" s="0" t="s">
        <v>3738</v>
      </c>
    </row>
    <row customHeight="1" ht="11.25">
      <c r="A203" s="0" t="s">
        <v>16</v>
      </c>
      <c r="B203" s="0" t="s">
        <v>108</v>
      </c>
      <c r="C203" s="0" t="s">
        <v>109</v>
      </c>
      <c r="D203" s="0" t="s">
        <v>3739</v>
      </c>
      <c r="E203" s="0" t="s">
        <v>3740</v>
      </c>
      <c r="F203" s="0" t="s">
        <v>3212</v>
      </c>
      <c r="G203" s="0" t="s">
        <v>3741</v>
      </c>
    </row>
    <row customHeight="1" ht="11.25">
      <c r="A204" s="0" t="s">
        <v>16</v>
      </c>
      <c r="B204" s="0" t="s">
        <v>108</v>
      </c>
      <c r="C204" s="0" t="s">
        <v>109</v>
      </c>
      <c r="D204" s="0" t="s">
        <v>3742</v>
      </c>
      <c r="E204" s="0" t="s">
        <v>3743</v>
      </c>
      <c r="F204" s="0" t="s">
        <v>3228</v>
      </c>
      <c r="G204" s="0" t="s">
        <v>3744</v>
      </c>
    </row>
    <row customHeight="1" ht="11.25">
      <c r="A205" s="0" t="s">
        <v>16</v>
      </c>
      <c r="B205" s="0" t="s">
        <v>108</v>
      </c>
      <c r="C205" s="0" t="s">
        <v>109</v>
      </c>
      <c r="D205" s="0" t="s">
        <v>3745</v>
      </c>
      <c r="E205" s="0" t="s">
        <v>3746</v>
      </c>
      <c r="F205" s="0" t="s">
        <v>3212</v>
      </c>
      <c r="G205" s="0" t="s">
        <v>3747</v>
      </c>
    </row>
    <row customHeight="1" ht="11.25">
      <c r="A206" s="0" t="s">
        <v>16</v>
      </c>
      <c r="B206" s="0" t="s">
        <v>108</v>
      </c>
      <c r="C206" s="0" t="s">
        <v>109</v>
      </c>
      <c r="D206" s="0" t="s">
        <v>3748</v>
      </c>
      <c r="E206" s="0" t="s">
        <v>3749</v>
      </c>
      <c r="F206" s="0" t="s">
        <v>3212</v>
      </c>
      <c r="G206" s="0" t="s">
        <v>3750</v>
      </c>
    </row>
    <row customHeight="1" ht="11.25">
      <c r="A207" s="0" t="s">
        <v>16</v>
      </c>
      <c r="B207" s="0" t="s">
        <v>108</v>
      </c>
      <c r="C207" s="0" t="s">
        <v>109</v>
      </c>
      <c r="D207" s="0" t="s">
        <v>3751</v>
      </c>
      <c r="E207" s="0" t="s">
        <v>3752</v>
      </c>
      <c r="F207" s="0" t="s">
        <v>3212</v>
      </c>
      <c r="G207" s="0" t="s">
        <v>3753</v>
      </c>
    </row>
    <row customHeight="1" ht="11.25">
      <c r="A208" s="0" t="s">
        <v>16</v>
      </c>
      <c r="B208" s="0" t="s">
        <v>108</v>
      </c>
      <c r="C208" s="0" t="s">
        <v>109</v>
      </c>
      <c r="D208" s="0" t="s">
        <v>3754</v>
      </c>
      <c r="E208" s="0" t="s">
        <v>3755</v>
      </c>
      <c r="F208" s="0" t="s">
        <v>3212</v>
      </c>
      <c r="G208" s="0" t="s">
        <v>3756</v>
      </c>
    </row>
    <row customHeight="1" ht="11.25">
      <c r="A209" s="0" t="s">
        <v>16</v>
      </c>
      <c r="B209" s="0" t="s">
        <v>108</v>
      </c>
      <c r="C209" s="0" t="s">
        <v>109</v>
      </c>
      <c r="D209" s="0" t="s">
        <v>3757</v>
      </c>
      <c r="E209" s="0" t="s">
        <v>3758</v>
      </c>
      <c r="F209" s="0" t="s">
        <v>3212</v>
      </c>
      <c r="G209" s="0" t="s">
        <v>3759</v>
      </c>
    </row>
    <row customHeight="1" ht="11.25">
      <c r="A210" s="0" t="s">
        <v>16</v>
      </c>
      <c r="B210" s="0" t="s">
        <v>108</v>
      </c>
      <c r="C210" s="0" t="s">
        <v>109</v>
      </c>
      <c r="D210" s="0" t="s">
        <v>108</v>
      </c>
      <c r="E210" s="0" t="s">
        <v>109</v>
      </c>
      <c r="F210" s="0" t="s">
        <v>3209</v>
      </c>
      <c r="G210" s="0" t="s">
        <v>107</v>
      </c>
    </row>
    <row customHeight="1" ht="11.25">
      <c r="A211" s="0" t="s">
        <v>16</v>
      </c>
      <c r="B211" s="0" t="s">
        <v>108</v>
      </c>
      <c r="C211" s="0" t="s">
        <v>109</v>
      </c>
      <c r="D211" s="0" t="s">
        <v>3760</v>
      </c>
      <c r="E211" s="0" t="s">
        <v>3761</v>
      </c>
      <c r="F211" s="0" t="s">
        <v>3212</v>
      </c>
      <c r="G211" s="0" t="s">
        <v>3762</v>
      </c>
    </row>
    <row customHeight="1" ht="11.25">
      <c r="A212" s="0" t="s">
        <v>16</v>
      </c>
      <c r="B212" s="0" t="s">
        <v>3763</v>
      </c>
      <c r="C212" s="0" t="s">
        <v>3764</v>
      </c>
      <c r="D212" s="0" t="s">
        <v>3765</v>
      </c>
      <c r="E212" s="0" t="s">
        <v>3766</v>
      </c>
      <c r="F212" s="0" t="s">
        <v>3212</v>
      </c>
      <c r="G212" s="0" t="s">
        <v>3767</v>
      </c>
    </row>
    <row customHeight="1" ht="11.25">
      <c r="A213" s="0" t="s">
        <v>16</v>
      </c>
      <c r="B213" s="0" t="s">
        <v>3763</v>
      </c>
      <c r="C213" s="0" t="s">
        <v>3764</v>
      </c>
      <c r="D213" s="0" t="s">
        <v>3768</v>
      </c>
      <c r="E213" s="0" t="s">
        <v>3769</v>
      </c>
      <c r="F213" s="0" t="s">
        <v>3212</v>
      </c>
      <c r="G213" s="0" t="s">
        <v>3770</v>
      </c>
    </row>
    <row customHeight="1" ht="11.25">
      <c r="A214" s="0" t="s">
        <v>16</v>
      </c>
      <c r="B214" s="0" t="s">
        <v>3763</v>
      </c>
      <c r="C214" s="0" t="s">
        <v>3764</v>
      </c>
      <c r="D214" s="0" t="s">
        <v>3771</v>
      </c>
      <c r="E214" s="0" t="s">
        <v>3772</v>
      </c>
      <c r="F214" s="0" t="s">
        <v>3212</v>
      </c>
      <c r="G214" s="0" t="s">
        <v>3773</v>
      </c>
    </row>
    <row customHeight="1" ht="11.25">
      <c r="A215" s="0" t="s">
        <v>16</v>
      </c>
      <c r="B215" s="0" t="s">
        <v>3763</v>
      </c>
      <c r="C215" s="0" t="s">
        <v>3764</v>
      </c>
      <c r="D215" s="0" t="s">
        <v>3774</v>
      </c>
      <c r="E215" s="0" t="s">
        <v>3775</v>
      </c>
      <c r="F215" s="0" t="s">
        <v>3212</v>
      </c>
      <c r="G215" s="0" t="s">
        <v>3776</v>
      </c>
    </row>
    <row customHeight="1" ht="11.25">
      <c r="A216" s="0" t="s">
        <v>16</v>
      </c>
      <c r="B216" s="0" t="s">
        <v>3763</v>
      </c>
      <c r="C216" s="0" t="s">
        <v>3764</v>
      </c>
      <c r="D216" s="0" t="s">
        <v>3777</v>
      </c>
      <c r="E216" s="0" t="s">
        <v>3778</v>
      </c>
      <c r="F216" s="0" t="s">
        <v>3212</v>
      </c>
      <c r="G216" s="0" t="s">
        <v>3779</v>
      </c>
    </row>
    <row customHeight="1" ht="11.25">
      <c r="A217" s="0" t="s">
        <v>16</v>
      </c>
      <c r="B217" s="0" t="s">
        <v>3763</v>
      </c>
      <c r="C217" s="0" t="s">
        <v>3764</v>
      </c>
      <c r="D217" s="0" t="s">
        <v>3780</v>
      </c>
      <c r="E217" s="0" t="s">
        <v>3781</v>
      </c>
      <c r="F217" s="0" t="s">
        <v>3212</v>
      </c>
      <c r="G217" s="0" t="s">
        <v>3782</v>
      </c>
    </row>
    <row customHeight="1" ht="11.25">
      <c r="A218" s="0" t="s">
        <v>16</v>
      </c>
      <c r="B218" s="0" t="s">
        <v>3763</v>
      </c>
      <c r="C218" s="0" t="s">
        <v>3764</v>
      </c>
      <c r="D218" s="0" t="s">
        <v>3783</v>
      </c>
      <c r="E218" s="0" t="s">
        <v>3784</v>
      </c>
      <c r="F218" s="0" t="s">
        <v>3212</v>
      </c>
      <c r="G218" s="0" t="s">
        <v>3785</v>
      </c>
    </row>
    <row customHeight="1" ht="11.25">
      <c r="A219" s="0" t="s">
        <v>16</v>
      </c>
      <c r="B219" s="0" t="s">
        <v>3763</v>
      </c>
      <c r="C219" s="0" t="s">
        <v>3764</v>
      </c>
      <c r="D219" s="0" t="s">
        <v>3786</v>
      </c>
      <c r="E219" s="0" t="s">
        <v>3787</v>
      </c>
      <c r="F219" s="0" t="s">
        <v>3212</v>
      </c>
      <c r="G219" s="0" t="s">
        <v>3788</v>
      </c>
    </row>
    <row customHeight="1" ht="11.25">
      <c r="A220" s="0" t="s">
        <v>16</v>
      </c>
      <c r="B220" s="0" t="s">
        <v>3763</v>
      </c>
      <c r="C220" s="0" t="s">
        <v>3764</v>
      </c>
      <c r="D220" s="0" t="s">
        <v>3789</v>
      </c>
      <c r="E220" s="0" t="s">
        <v>3790</v>
      </c>
      <c r="F220" s="0" t="s">
        <v>3212</v>
      </c>
      <c r="G220" s="0" t="s">
        <v>3791</v>
      </c>
    </row>
    <row customHeight="1" ht="11.25">
      <c r="A221" s="0" t="s">
        <v>16</v>
      </c>
      <c r="B221" s="0" t="s">
        <v>3763</v>
      </c>
      <c r="C221" s="0" t="s">
        <v>3764</v>
      </c>
      <c r="D221" s="0" t="s">
        <v>3792</v>
      </c>
      <c r="E221" s="0" t="s">
        <v>3793</v>
      </c>
      <c r="F221" s="0" t="s">
        <v>3212</v>
      </c>
      <c r="G221" s="0" t="s">
        <v>3794</v>
      </c>
    </row>
    <row customHeight="1" ht="11.25">
      <c r="A222" s="0" t="s">
        <v>16</v>
      </c>
      <c r="B222" s="0" t="s">
        <v>3763</v>
      </c>
      <c r="C222" s="0" t="s">
        <v>3764</v>
      </c>
      <c r="D222" s="0" t="s">
        <v>3795</v>
      </c>
      <c r="E222" s="0" t="s">
        <v>3796</v>
      </c>
      <c r="F222" s="0" t="s">
        <v>3212</v>
      </c>
      <c r="G222" s="0" t="s">
        <v>3797</v>
      </c>
    </row>
    <row customHeight="1" ht="11.25">
      <c r="A223" s="0" t="s">
        <v>16</v>
      </c>
      <c r="B223" s="0" t="s">
        <v>3763</v>
      </c>
      <c r="C223" s="0" t="s">
        <v>3764</v>
      </c>
      <c r="D223" s="0" t="s">
        <v>3798</v>
      </c>
      <c r="E223" s="0" t="s">
        <v>3799</v>
      </c>
      <c r="F223" s="0" t="s">
        <v>3212</v>
      </c>
      <c r="G223" s="0" t="s">
        <v>3800</v>
      </c>
    </row>
    <row customHeight="1" ht="11.25">
      <c r="A224" s="0" t="s">
        <v>16</v>
      </c>
      <c r="B224" s="0" t="s">
        <v>3763</v>
      </c>
      <c r="C224" s="0" t="s">
        <v>3764</v>
      </c>
      <c r="D224" s="0" t="s">
        <v>3801</v>
      </c>
      <c r="E224" s="0" t="s">
        <v>3802</v>
      </c>
      <c r="F224" s="0" t="s">
        <v>3228</v>
      </c>
      <c r="G224" s="0" t="s">
        <v>3803</v>
      </c>
    </row>
    <row customHeight="1" ht="11.25">
      <c r="A225" s="0" t="s">
        <v>16</v>
      </c>
      <c r="B225" s="0" t="s">
        <v>3763</v>
      </c>
      <c r="C225" s="0" t="s">
        <v>3764</v>
      </c>
      <c r="D225" s="0" t="s">
        <v>3804</v>
      </c>
      <c r="E225" s="0" t="s">
        <v>3805</v>
      </c>
      <c r="F225" s="0" t="s">
        <v>3228</v>
      </c>
      <c r="G225" s="0" t="s">
        <v>3806</v>
      </c>
    </row>
    <row customHeight="1" ht="11.25">
      <c r="A226" s="0" t="s">
        <v>16</v>
      </c>
      <c r="B226" s="0" t="s">
        <v>3763</v>
      </c>
      <c r="C226" s="0" t="s">
        <v>3764</v>
      </c>
      <c r="D226" s="0" t="s">
        <v>3807</v>
      </c>
      <c r="E226" s="0" t="s">
        <v>3808</v>
      </c>
      <c r="F226" s="0" t="s">
        <v>3228</v>
      </c>
      <c r="G226" s="0" t="s">
        <v>3809</v>
      </c>
    </row>
    <row customHeight="1" ht="11.25">
      <c r="A227" s="0" t="s">
        <v>16</v>
      </c>
      <c r="B227" s="0" t="s">
        <v>3763</v>
      </c>
      <c r="C227" s="0" t="s">
        <v>3764</v>
      </c>
      <c r="D227" s="0" t="s">
        <v>3810</v>
      </c>
      <c r="E227" s="0" t="s">
        <v>3811</v>
      </c>
      <c r="F227" s="0" t="s">
        <v>3212</v>
      </c>
      <c r="G227" s="0" t="s">
        <v>3812</v>
      </c>
    </row>
    <row customHeight="1" ht="11.25">
      <c r="A228" s="0" t="s">
        <v>16</v>
      </c>
      <c r="B228" s="0" t="s">
        <v>3763</v>
      </c>
      <c r="C228" s="0" t="s">
        <v>3764</v>
      </c>
      <c r="D228" s="0" t="s">
        <v>3813</v>
      </c>
      <c r="E228" s="0" t="s">
        <v>3814</v>
      </c>
      <c r="F228" s="0" t="s">
        <v>3212</v>
      </c>
      <c r="G228" s="0" t="s">
        <v>3815</v>
      </c>
    </row>
    <row customHeight="1" ht="11.25">
      <c r="A229" s="0" t="s">
        <v>16</v>
      </c>
      <c r="B229" s="0" t="s">
        <v>3763</v>
      </c>
      <c r="C229" s="0" t="s">
        <v>3764</v>
      </c>
      <c r="D229" s="0" t="s">
        <v>3816</v>
      </c>
      <c r="E229" s="0" t="s">
        <v>3817</v>
      </c>
      <c r="F229" s="0" t="s">
        <v>3212</v>
      </c>
      <c r="G229" s="0" t="s">
        <v>3818</v>
      </c>
    </row>
    <row customHeight="1" ht="11.25">
      <c r="A230" s="0" t="s">
        <v>16</v>
      </c>
      <c r="B230" s="0" t="s">
        <v>3763</v>
      </c>
      <c r="C230" s="0" t="s">
        <v>3764</v>
      </c>
      <c r="D230" s="0" t="s">
        <v>3819</v>
      </c>
      <c r="E230" s="0" t="s">
        <v>3820</v>
      </c>
      <c r="F230" s="0" t="s">
        <v>3212</v>
      </c>
      <c r="G230" s="0" t="s">
        <v>3821</v>
      </c>
    </row>
    <row customHeight="1" ht="11.25">
      <c r="A231" s="0" t="s">
        <v>16</v>
      </c>
      <c r="B231" s="0" t="s">
        <v>3763</v>
      </c>
      <c r="C231" s="0" t="s">
        <v>3764</v>
      </c>
      <c r="D231" s="0" t="s">
        <v>3822</v>
      </c>
      <c r="E231" s="0" t="s">
        <v>3823</v>
      </c>
      <c r="F231" s="0" t="s">
        <v>3212</v>
      </c>
      <c r="G231" s="0" t="s">
        <v>3824</v>
      </c>
    </row>
    <row customHeight="1" ht="11.25">
      <c r="A232" s="0" t="s">
        <v>16</v>
      </c>
      <c r="B232" s="0" t="s">
        <v>3763</v>
      </c>
      <c r="C232" s="0" t="s">
        <v>3764</v>
      </c>
      <c r="D232" s="0" t="s">
        <v>3763</v>
      </c>
      <c r="E232" s="0" t="s">
        <v>3764</v>
      </c>
      <c r="F232" s="0" t="s">
        <v>3209</v>
      </c>
      <c r="G232" s="0" t="s">
        <v>3825</v>
      </c>
    </row>
    <row customHeight="1" ht="11.25">
      <c r="A233" s="0" t="s">
        <v>16</v>
      </c>
      <c r="B233" s="0" t="s">
        <v>3826</v>
      </c>
      <c r="C233" s="0" t="s">
        <v>3827</v>
      </c>
      <c r="D233" s="0" t="s">
        <v>3828</v>
      </c>
      <c r="E233" s="0" t="s">
        <v>3829</v>
      </c>
      <c r="F233" s="0" t="s">
        <v>3212</v>
      </c>
      <c r="G233" s="0" t="s">
        <v>3830</v>
      </c>
    </row>
    <row customHeight="1" ht="11.25">
      <c r="A234" s="0" t="s">
        <v>16</v>
      </c>
      <c r="B234" s="0" t="s">
        <v>3826</v>
      </c>
      <c r="C234" s="0" t="s">
        <v>3827</v>
      </c>
      <c r="D234" s="0" t="s">
        <v>3831</v>
      </c>
      <c r="E234" s="0" t="s">
        <v>3832</v>
      </c>
      <c r="F234" s="0" t="s">
        <v>3212</v>
      </c>
      <c r="G234" s="0" t="s">
        <v>3833</v>
      </c>
    </row>
    <row customHeight="1" ht="11.25">
      <c r="A235" s="0" t="s">
        <v>16</v>
      </c>
      <c r="B235" s="0" t="s">
        <v>3826</v>
      </c>
      <c r="C235" s="0" t="s">
        <v>3827</v>
      </c>
      <c r="D235" s="0" t="s">
        <v>3834</v>
      </c>
      <c r="E235" s="0" t="s">
        <v>3835</v>
      </c>
      <c r="F235" s="0" t="s">
        <v>3239</v>
      </c>
      <c r="G235" s="0" t="s">
        <v>3836</v>
      </c>
    </row>
    <row customHeight="1" ht="11.25">
      <c r="A236" s="0" t="s">
        <v>16</v>
      </c>
      <c r="B236" s="0" t="s">
        <v>3826</v>
      </c>
      <c r="C236" s="0" t="s">
        <v>3827</v>
      </c>
      <c r="D236" s="0" t="s">
        <v>3837</v>
      </c>
      <c r="E236" s="0" t="s">
        <v>3838</v>
      </c>
      <c r="F236" s="0" t="s">
        <v>3212</v>
      </c>
      <c r="G236" s="0" t="s">
        <v>3839</v>
      </c>
    </row>
    <row customHeight="1" ht="11.25">
      <c r="A237" s="0" t="s">
        <v>16</v>
      </c>
      <c r="B237" s="0" t="s">
        <v>3826</v>
      </c>
      <c r="C237" s="0" t="s">
        <v>3827</v>
      </c>
      <c r="D237" s="0" t="s">
        <v>3840</v>
      </c>
      <c r="E237" s="0" t="s">
        <v>3841</v>
      </c>
      <c r="F237" s="0" t="s">
        <v>3212</v>
      </c>
      <c r="G237" s="0" t="s">
        <v>3842</v>
      </c>
    </row>
    <row customHeight="1" ht="11.25">
      <c r="A238" s="0" t="s">
        <v>16</v>
      </c>
      <c r="B238" s="0" t="s">
        <v>3826</v>
      </c>
      <c r="C238" s="0" t="s">
        <v>3827</v>
      </c>
      <c r="D238" s="0" t="s">
        <v>3843</v>
      </c>
      <c r="E238" s="0" t="s">
        <v>3844</v>
      </c>
      <c r="F238" s="0" t="s">
        <v>3212</v>
      </c>
      <c r="G238" s="0" t="s">
        <v>3845</v>
      </c>
    </row>
    <row customHeight="1" ht="11.25">
      <c r="A239" s="0" t="s">
        <v>16</v>
      </c>
      <c r="B239" s="0" t="s">
        <v>3826</v>
      </c>
      <c r="C239" s="0" t="s">
        <v>3827</v>
      </c>
      <c r="D239" s="0" t="s">
        <v>3826</v>
      </c>
      <c r="E239" s="0" t="s">
        <v>3827</v>
      </c>
      <c r="F239" s="0" t="s">
        <v>3209</v>
      </c>
      <c r="G239" s="0" t="s">
        <v>3846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0134FF-CD85-A24B-92AF-1554E55AFAF1}"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38838" width="9.140625"/>
    <col min="2" max="2" style="38838" width="84.28125" customWidth="1"/>
    <col min="3" max="3" style="38838" width="9.140625"/>
  </cols>
  <sheetData>
    <row customHeight="1" ht="11.25">
      <c r="A1" s="1119" t="s">
        <v>3993</v>
      </c>
      <c r="B1" s="1119" t="s">
        <v>3994</v>
      </c>
      <c r="C1" s="1119" t="s">
        <v>1249</v>
      </c>
    </row>
    <row customHeight="1" ht="11.25">
      <c r="A2" s="1119">
        <v>4189678</v>
      </c>
      <c r="B2" s="1119" t="s">
        <v>3995</v>
      </c>
      <c r="C2" s="1119" t="s">
        <v>3996</v>
      </c>
    </row>
    <row customHeight="1" ht="11.25">
      <c r="A3" s="1119">
        <v>4190415</v>
      </c>
      <c r="B3" s="1119" t="s">
        <v>3997</v>
      </c>
      <c r="C3" s="1119" t="s">
        <v>3996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83DD9C-66EB-D29D-F939-5D5F1A069FBE}"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38843" width="38.421875" customWidth="1"/>
    <col min="2" max="5" style="38843" width="9.140625"/>
  </cols>
  <sheetData>
    <row customHeight="1" ht="15">
      <c r="A1" s="447" t="s">
        <v>3998</v>
      </c>
      <c r="B1" s="447" t="s">
        <v>3999</v>
      </c>
      <c r="C1" s="447"/>
      <c r="D1" s="447"/>
      <c r="E1" s="447"/>
    </row>
    <row customHeight="1" ht="15">
      <c r="A2" s="447"/>
      <c r="B2" s="447"/>
      <c r="C2" s="447"/>
      <c r="D2" s="447"/>
      <c r="E2" s="447"/>
    </row>
    <row customHeight="1" ht="15">
      <c r="A3" s="447"/>
      <c r="B3" s="447"/>
      <c r="C3" s="447"/>
      <c r="D3" s="447"/>
      <c r="E3" s="447"/>
    </row>
    <row customHeight="1" ht="15">
      <c r="A4" s="447"/>
      <c r="B4" s="447"/>
      <c r="C4" s="447"/>
      <c r="D4" s="447"/>
      <c r="E4" s="447"/>
    </row>
    <row customHeight="1" ht="15">
      <c r="A5" s="447"/>
      <c r="B5" s="447"/>
      <c r="C5" s="447"/>
      <c r="D5" s="447"/>
      <c r="E5" s="447"/>
    </row>
    <row customHeight="1" ht="15">
      <c r="A6" s="447"/>
      <c r="B6" s="447"/>
      <c r="C6" s="447"/>
      <c r="D6" s="447"/>
      <c r="E6" s="447"/>
    </row>
    <row customHeight="1" ht="15">
      <c r="A7" s="447"/>
      <c r="B7" s="447"/>
      <c r="C7" s="447"/>
      <c r="D7" s="447"/>
      <c r="E7" s="447"/>
    </row>
    <row customHeight="1" ht="15">
      <c r="A8" s="447"/>
      <c r="B8" s="447"/>
      <c r="C8" s="447"/>
      <c r="D8" s="447"/>
      <c r="E8" s="447"/>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31990E-B013-A9A6-A7DD-690089EBB5D5}"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4000</v>
      </c>
      <c r="B1" s="0" t="b">
        <v>1</v>
      </c>
    </row>
    <row customHeight="1" ht="11.25">
      <c r="A2" s="0" t="s">
        <v>4001</v>
      </c>
      <c r="B2" s="0" t="b">
        <v>0</v>
      </c>
    </row>
    <row customHeight="1" ht="11.25">
      <c r="A3" s="0" t="s">
        <v>4002</v>
      </c>
      <c r="B3" s="0" t="b">
        <v>1</v>
      </c>
    </row>
    <row customHeight="1" ht="11.25">
      <c r="A4" s="0" t="s">
        <v>4003</v>
      </c>
      <c r="B4" s="0" t="b">
        <v>0</v>
      </c>
    </row>
    <row customHeight="1" ht="11.25">
      <c r="A5" s="0" t="s">
        <v>4004</v>
      </c>
      <c r="B5" s="0" t="b">
        <v>0</v>
      </c>
    </row>
    <row customHeight="1" ht="11.25">
      <c r="A6" s="0" t="s">
        <v>4005</v>
      </c>
      <c r="B6" s="0" t="b">
        <v>0</v>
      </c>
    </row>
    <row customHeight="1" ht="11.25">
      <c r="A7" s="0" t="s">
        <v>4006</v>
      </c>
      <c r="B7" s="0" t="b">
        <v>0</v>
      </c>
    </row>
    <row customHeight="1" ht="11.25">
      <c r="A8" s="0" t="s">
        <v>4007</v>
      </c>
      <c r="B8" s="0" t="b">
        <v>0</v>
      </c>
    </row>
    <row customHeight="1" ht="11.25">
      <c r="A9" s="0" t="s">
        <v>4008</v>
      </c>
      <c r="B9" s="0" t="b">
        <v>1</v>
      </c>
    </row>
    <row customHeight="1" ht="11.25">
      <c r="A10" s="0" t="s">
        <v>4009</v>
      </c>
      <c r="B10" s="0" t="b">
        <v>0</v>
      </c>
    </row>
    <row customHeight="1" ht="11.25">
      <c r="A11" s="0" t="s">
        <v>4010</v>
      </c>
      <c r="B11" s="0" t="b">
        <v>0</v>
      </c>
    </row>
    <row customHeight="1" ht="11.25">
      <c r="A12" s="0" t="s">
        <v>4011</v>
      </c>
      <c r="B12" s="0" t="b">
        <v>0</v>
      </c>
    </row>
    <row customHeight="1" ht="11.25">
      <c r="A13" s="0" t="s">
        <v>4012</v>
      </c>
      <c r="B13" s="0" t="b">
        <v>0</v>
      </c>
    </row>
    <row customHeight="1" ht="11.25">
      <c r="A14" s="0" t="s">
        <v>4013</v>
      </c>
      <c r="B14" s="0" t="b">
        <v>0</v>
      </c>
    </row>
    <row customHeight="1" ht="11.25">
      <c r="A15" s="0" t="s">
        <v>4014</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EE7AB9-EE2F-C264-0464-68A4F10FC303}"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0497" width="9.140625"/>
  </cols>
  <sheetData>
    <row customHeight="1" ht="12.75">
      <c r="A1" s="347"/>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C124EB-6AF9-0443-B8B1-A69D28FB652F}"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30681" width="36.28125" customWidth="1"/>
    <col min="2" max="2" style="30681" width="21.140625" customWidth="1"/>
  </cols>
  <sheetData>
    <row customHeight="1" ht="11.25">
      <c r="A1" s="351" t="s">
        <v>4015</v>
      </c>
      <c r="B1" s="351" t="s">
        <v>4016</v>
      </c>
    </row>
    <row customHeight="1" ht="11.25">
      <c r="A2" s="346" t="s">
        <v>4017</v>
      </c>
      <c r="B2" s="346" t="s">
        <v>4018</v>
      </c>
    </row>
    <row customHeight="1" ht="11.25">
      <c r="A3" s="346" t="s">
        <v>4019</v>
      </c>
      <c r="B3" s="346" t="s">
        <v>4020</v>
      </c>
    </row>
    <row customHeight="1" ht="11.25">
      <c r="A4" s="346" t="s">
        <v>4021</v>
      </c>
      <c r="B4" s="346" t="s">
        <v>4022</v>
      </c>
    </row>
    <row customHeight="1" ht="11.25">
      <c r="A5" s="346" t="s">
        <v>4023</v>
      </c>
      <c r="B5" s="346" t="s">
        <v>4024</v>
      </c>
    </row>
    <row customHeight="1" ht="11.25">
      <c r="A6" s="346" t="s">
        <v>4025</v>
      </c>
      <c r="B6" s="346" t="s">
        <v>4026</v>
      </c>
    </row>
    <row customHeight="1" ht="11.25">
      <c r="A7" s="346" t="s">
        <v>4027</v>
      </c>
      <c r="B7" s="346" t="s">
        <v>4028</v>
      </c>
    </row>
    <row customHeight="1" ht="11.25">
      <c r="A8" s="346" t="s">
        <v>4029</v>
      </c>
      <c r="B8" s="346" t="s">
        <v>4030</v>
      </c>
    </row>
    <row customHeight="1" ht="11.25">
      <c r="A9" s="346" t="s">
        <v>4031</v>
      </c>
      <c r="B9" s="346" t="s">
        <v>4032</v>
      </c>
    </row>
    <row customHeight="1" ht="11.25">
      <c r="A10" s="346" t="s">
        <v>4033</v>
      </c>
      <c r="B10" s="346" t="s">
        <v>4034</v>
      </c>
    </row>
    <row customHeight="1" ht="11.25">
      <c r="A11" s="346" t="s">
        <v>4035</v>
      </c>
      <c r="B11" s="346" t="s">
        <v>4036</v>
      </c>
    </row>
    <row customHeight="1" ht="11.25">
      <c r="A12" s="346" t="s">
        <v>4037</v>
      </c>
      <c r="B12" s="346" t="s">
        <v>4038</v>
      </c>
    </row>
    <row customHeight="1" ht="11.25">
      <c r="A13" s="346" t="s">
        <v>4039</v>
      </c>
      <c r="B13" s="346" t="s">
        <v>4040</v>
      </c>
    </row>
    <row customHeight="1" ht="11.25">
      <c r="A14" s="346" t="s">
        <v>4041</v>
      </c>
      <c r="B14" s="346" t="s">
        <v>4042</v>
      </c>
    </row>
    <row customHeight="1" ht="11.25">
      <c r="A15" s="346" t="s">
        <v>4043</v>
      </c>
      <c r="B15" s="346" t="s">
        <v>4044</v>
      </c>
    </row>
    <row customHeight="1" ht="11.25">
      <c r="A16" s="346" t="s">
        <v>4045</v>
      </c>
      <c r="B16" s="346" t="s">
        <v>4046</v>
      </c>
    </row>
    <row customHeight="1" ht="11.25">
      <c r="A17" s="346" t="s">
        <v>4047</v>
      </c>
      <c r="B17" s="346" t="s">
        <v>4048</v>
      </c>
    </row>
    <row customHeight="1" ht="11.25">
      <c r="A18" s="346" t="s">
        <v>4049</v>
      </c>
      <c r="B18" s="346" t="s">
        <v>4050</v>
      </c>
    </row>
    <row customHeight="1" ht="11.25">
      <c r="A19" s="346" t="s">
        <v>4051</v>
      </c>
      <c r="B19" s="346" t="s">
        <v>4052</v>
      </c>
    </row>
    <row customHeight="1" ht="11.25">
      <c r="A20" s="346" t="s">
        <v>4053</v>
      </c>
      <c r="B20" s="346" t="s">
        <v>4054</v>
      </c>
    </row>
    <row customHeight="1" ht="11.25">
      <c r="A21" s="346" t="s">
        <v>4055</v>
      </c>
      <c r="B21" s="346" t="s">
        <v>4056</v>
      </c>
    </row>
    <row customHeight="1" ht="11.25">
      <c r="A22" s="346" t="s">
        <v>4057</v>
      </c>
      <c r="B22" s="346" t="s">
        <v>4058</v>
      </c>
    </row>
    <row customHeight="1" ht="11.25">
      <c r="A23" s="346" t="s">
        <v>4059</v>
      </c>
      <c r="B23" s="346" t="s">
        <v>4060</v>
      </c>
    </row>
    <row customHeight="1" ht="11.25">
      <c r="A24" s="346" t="s">
        <v>4061</v>
      </c>
      <c r="B24" s="346" t="s">
        <v>4062</v>
      </c>
    </row>
    <row customHeight="1" ht="11.25">
      <c r="A25" s="346" t="s">
        <v>4063</v>
      </c>
      <c r="B25" s="346" t="s">
        <v>4064</v>
      </c>
    </row>
    <row customHeight="1" ht="11.25">
      <c r="A26" s="346" t="s">
        <v>4065</v>
      </c>
      <c r="B26" s="346" t="s">
        <v>4066</v>
      </c>
    </row>
    <row customHeight="1" ht="11.25">
      <c r="A27" s="346" t="s">
        <v>4067</v>
      </c>
      <c r="B27" s="346" t="s">
        <v>4068</v>
      </c>
    </row>
    <row customHeight="1" ht="11.25">
      <c r="A28" s="346" t="s">
        <v>4069</v>
      </c>
      <c r="B28" s="346" t="s">
        <v>4070</v>
      </c>
    </row>
    <row customHeight="1" ht="11.25">
      <c r="A29" s="346" t="s">
        <v>4071</v>
      </c>
      <c r="B29" s="346" t="s">
        <v>4072</v>
      </c>
    </row>
    <row customHeight="1" ht="11.25">
      <c r="A30" s="346" t="s">
        <v>4073</v>
      </c>
      <c r="B30" s="346" t="s">
        <v>4074</v>
      </c>
    </row>
    <row customHeight="1" ht="11.25">
      <c r="A31" s="346" t="s">
        <v>4075</v>
      </c>
      <c r="B31" s="346" t="s">
        <v>4076</v>
      </c>
    </row>
    <row customHeight="1" ht="11.25">
      <c r="A32" s="346" t="s">
        <v>4077</v>
      </c>
      <c r="B32" s="346" t="s">
        <v>4078</v>
      </c>
    </row>
    <row customHeight="1" ht="11.25">
      <c r="A33" s="346" t="s">
        <v>4079</v>
      </c>
      <c r="B33" s="346" t="s">
        <v>4080</v>
      </c>
    </row>
    <row customHeight="1" ht="11.25">
      <c r="A34" s="346" t="s">
        <v>4081</v>
      </c>
      <c r="B34" s="346" t="s">
        <v>4082</v>
      </c>
    </row>
    <row customHeight="1" ht="11.25">
      <c r="A35" s="346" t="s">
        <v>4083</v>
      </c>
      <c r="B35" s="346" t="s">
        <v>4084</v>
      </c>
    </row>
    <row customHeight="1" ht="11.25">
      <c r="A36" s="346" t="s">
        <v>4085</v>
      </c>
      <c r="B36" s="346" t="s">
        <v>4086</v>
      </c>
    </row>
    <row customHeight="1" ht="11.25">
      <c r="A37" s="346" t="s">
        <v>4087</v>
      </c>
      <c r="B37" s="346" t="s">
        <v>4088</v>
      </c>
    </row>
    <row customHeight="1" ht="11.25">
      <c r="A38" s="346" t="s">
        <v>4089</v>
      </c>
      <c r="B38" s="346" t="s">
        <v>4090</v>
      </c>
    </row>
    <row customHeight="1" ht="11.25">
      <c r="A39" s="346" t="s">
        <v>4091</v>
      </c>
      <c r="B39" s="346" t="s">
        <v>4092</v>
      </c>
    </row>
    <row customHeight="1" ht="11.25">
      <c r="A40" s="346" t="s">
        <v>4093</v>
      </c>
      <c r="B40" s="346" t="s">
        <v>4094</v>
      </c>
    </row>
    <row customHeight="1" ht="11.25">
      <c r="A41" s="346" t="s">
        <v>4095</v>
      </c>
      <c r="B41" s="346" t="s">
        <v>4096</v>
      </c>
    </row>
    <row customHeight="1" ht="11.25">
      <c r="A42" s="346" t="s">
        <v>4097</v>
      </c>
      <c r="B42" s="346" t="s">
        <v>4098</v>
      </c>
    </row>
    <row customHeight="1" ht="11.25">
      <c r="A43" s="346" t="s">
        <v>4099</v>
      </c>
      <c r="B43" s="346" t="s">
        <v>4100</v>
      </c>
    </row>
    <row customHeight="1" ht="11.25">
      <c r="A44" s="346" t="s">
        <v>4101</v>
      </c>
      <c r="B44" s="346" t="s">
        <v>4102</v>
      </c>
    </row>
    <row customHeight="1" ht="11.25">
      <c r="A45" s="346" t="s">
        <v>4103</v>
      </c>
      <c r="B45" s="346" t="s">
        <v>4104</v>
      </c>
    </row>
    <row customHeight="1" ht="11.25">
      <c r="A46" s="346" t="s">
        <v>4105</v>
      </c>
      <c r="B46" s="346" t="s">
        <v>4106</v>
      </c>
    </row>
    <row customHeight="1" ht="11.25">
      <c r="A47" s="346" t="s">
        <v>4107</v>
      </c>
      <c r="B47" s="346" t="s">
        <v>4108</v>
      </c>
    </row>
    <row customHeight="1" ht="11.25">
      <c r="A48" s="346" t="s">
        <v>4109</v>
      </c>
      <c r="B48" s="346" t="s">
        <v>4110</v>
      </c>
    </row>
    <row customHeight="1" ht="11.25">
      <c r="A49" s="346" t="s">
        <v>4111</v>
      </c>
      <c r="B49" s="346" t="s">
        <v>4112</v>
      </c>
    </row>
    <row customHeight="1" ht="11.25">
      <c r="A50" s="346" t="s">
        <v>4113</v>
      </c>
      <c r="B50" s="346" t="s">
        <v>4114</v>
      </c>
    </row>
    <row customHeight="1" ht="11.25">
      <c r="A51" s="346" t="s">
        <v>4115</v>
      </c>
      <c r="B51" s="346" t="s">
        <v>4116</v>
      </c>
    </row>
    <row customHeight="1" ht="11.25">
      <c r="A52" s="346" t="s">
        <v>4117</v>
      </c>
      <c r="B52" s="346" t="s">
        <v>4118</v>
      </c>
    </row>
    <row customHeight="1" ht="11.25">
      <c r="A53" s="346" t="s">
        <v>4119</v>
      </c>
      <c r="B53" s="346" t="s">
        <v>4120</v>
      </c>
    </row>
    <row customHeight="1" ht="11.25">
      <c r="A54" s="346" t="s">
        <v>4121</v>
      </c>
      <c r="B54" s="346" t="s">
        <v>4122</v>
      </c>
    </row>
    <row customHeight="1" ht="11.25">
      <c r="A55" s="346" t="s">
        <v>4123</v>
      </c>
      <c r="B55" s="346" t="s">
        <v>4124</v>
      </c>
    </row>
    <row customHeight="1" ht="11.25">
      <c r="A56" s="346" t="s">
        <v>4125</v>
      </c>
      <c r="B56" s="346" t="s">
        <v>4126</v>
      </c>
    </row>
    <row customHeight="1" ht="11.25">
      <c r="A57" s="346" t="s">
        <v>4127</v>
      </c>
      <c r="B57" s="346" t="s">
        <v>4128</v>
      </c>
    </row>
    <row customHeight="1" ht="11.25">
      <c r="A58" s="346" t="s">
        <v>4129</v>
      </c>
      <c r="B58" s="346" t="s">
        <v>4130</v>
      </c>
    </row>
    <row customHeight="1" ht="11.25">
      <c r="A59" s="346" t="s">
        <v>4131</v>
      </c>
      <c r="B59" s="346" t="s">
        <v>4132</v>
      </c>
    </row>
    <row customHeight="1" ht="11.25">
      <c r="A60" s="346" t="s">
        <v>4133</v>
      </c>
      <c r="B60" s="346" t="s">
        <v>4134</v>
      </c>
    </row>
    <row customHeight="1" ht="11.25">
      <c r="A61" s="346"/>
      <c r="B61" s="346" t="s">
        <v>4135</v>
      </c>
    </row>
    <row customHeight="1" ht="11.25">
      <c r="A62" s="346"/>
      <c r="B62" s="346" t="s">
        <v>4136</v>
      </c>
    </row>
    <row customHeight="1" ht="11.25">
      <c r="A63" s="346"/>
      <c r="B63" s="346" t="s">
        <v>4137</v>
      </c>
    </row>
    <row customHeight="1" ht="11.25">
      <c r="A64" s="346"/>
      <c r="B64" s="346" t="s">
        <v>4138</v>
      </c>
    </row>
    <row customHeight="1" ht="11.25">
      <c r="A65" s="346"/>
      <c r="B65" s="346" t="s">
        <v>4139</v>
      </c>
    </row>
    <row customHeight="1" ht="11.25">
      <c r="A66" s="346"/>
      <c r="B66" s="346" t="s">
        <v>4140</v>
      </c>
    </row>
    <row customHeight="1" ht="11.25">
      <c r="A67" s="346"/>
      <c r="B67" s="346" t="s">
        <v>4141</v>
      </c>
    </row>
    <row customHeight="1" ht="11.25">
      <c r="A68" s="346"/>
      <c r="B68" s="346" t="s">
        <v>4142</v>
      </c>
    </row>
    <row customHeight="1" ht="11.25">
      <c r="A69" s="346"/>
      <c r="B69" s="346" t="s">
        <v>4143</v>
      </c>
    </row>
    <row customHeight="1" ht="11.25">
      <c r="A70" s="346"/>
      <c r="B70" s="346" t="s">
        <v>4144</v>
      </c>
    </row>
    <row customHeight="1" ht="11.25">
      <c r="A71" s="346"/>
      <c r="B71" s="346"/>
    </row>
    <row customHeight="1" ht="11.25">
      <c r="A72" s="346"/>
      <c r="B72" s="346"/>
    </row>
    <row customHeight="1" ht="11.25">
      <c r="A73" s="346"/>
      <c r="B73" s="346"/>
    </row>
    <row customHeight="1" ht="11.25">
      <c r="A74" s="346"/>
      <c r="B74" s="346"/>
    </row>
    <row customHeight="1" ht="11.25">
      <c r="A75" s="346"/>
      <c r="B75" s="346"/>
    </row>
    <row customHeight="1" ht="11.25">
      <c r="A76" s="346"/>
      <c r="B76" s="346"/>
    </row>
    <row customHeight="1" ht="11.25">
      <c r="A77" s="346"/>
      <c r="B77" s="346"/>
    </row>
    <row customHeight="1" ht="11.25">
      <c r="A78" s="346"/>
      <c r="B78" s="346"/>
    </row>
    <row customHeight="1" ht="11.25">
      <c r="A79" s="346"/>
      <c r="B79" s="346"/>
    </row>
    <row customHeight="1" ht="11.25">
      <c r="A80" s="346"/>
      <c r="B80" s="346"/>
    </row>
    <row customHeight="1" ht="11.25">
      <c r="A81" s="346"/>
      <c r="B81" s="346"/>
    </row>
    <row customHeight="1" ht="11.25">
      <c r="A82" s="346"/>
      <c r="B82" s="346"/>
    </row>
    <row customHeight="1" ht="11.25">
      <c r="A83" s="346"/>
      <c r="B83" s="346"/>
    </row>
    <row customHeight="1" ht="11.25">
      <c r="A84" s="346"/>
      <c r="B84" s="346"/>
    </row>
    <row customHeight="1" ht="11.25">
      <c r="A85" s="346"/>
      <c r="B85" s="346"/>
    </row>
    <row customHeight="1" ht="11.25">
      <c r="A86" s="346"/>
      <c r="B86" s="346"/>
    </row>
    <row customHeight="1" ht="11.25">
      <c r="A87" s="346"/>
      <c r="B87" s="346"/>
    </row>
    <row customHeight="1" ht="11.25">
      <c r="A88" s="346"/>
      <c r="B88" s="346"/>
    </row>
    <row customHeight="1" ht="11.25">
      <c r="A89" s="346"/>
      <c r="B89" s="346"/>
    </row>
    <row customHeight="1" ht="11.25">
      <c r="A90" s="346"/>
      <c r="B90" s="346"/>
    </row>
    <row customHeight="1" ht="11.25">
      <c r="A91" s="346"/>
      <c r="B91" s="346"/>
    </row>
    <row customHeight="1" ht="11.25">
      <c r="A92" s="346"/>
      <c r="B92" s="346"/>
    </row>
    <row customHeight="1" ht="11.25">
      <c r="A93" s="346"/>
      <c r="B93" s="346"/>
    </row>
    <row customHeight="1" ht="11.25">
      <c r="A94" s="346"/>
      <c r="B94" s="346"/>
    </row>
    <row customHeight="1" ht="11.25">
      <c r="A95" s="346"/>
      <c r="B95" s="346"/>
    </row>
    <row customHeight="1" ht="11.25">
      <c r="A96" s="346"/>
      <c r="B96" s="346"/>
    </row>
    <row customHeight="1" ht="11.25">
      <c r="A97" s="346"/>
      <c r="B97" s="346"/>
    </row>
    <row customHeight="1" ht="11.25">
      <c r="A98" s="346"/>
      <c r="B98" s="346"/>
    </row>
    <row customHeight="1" ht="11.25">
      <c r="A99" s="346"/>
      <c r="B99" s="346"/>
    </row>
    <row customHeight="1" ht="11.25">
      <c r="A100" s="346"/>
      <c r="B100" s="346"/>
    </row>
    <row customHeight="1" ht="11.25">
      <c r="A101" s="346"/>
      <c r="B101" s="346"/>
    </row>
    <row customHeight="1" ht="11.25">
      <c r="A102" s="346"/>
      <c r="B102" s="346"/>
    </row>
    <row customHeight="1" ht="11.25">
      <c r="A103" s="346"/>
      <c r="B103" s="346"/>
    </row>
    <row customHeight="1" ht="11.25">
      <c r="A104" s="346"/>
      <c r="B104" s="346"/>
    </row>
    <row customHeight="1" ht="11.25">
      <c r="A105" s="346"/>
      <c r="B105" s="346"/>
    </row>
    <row customHeight="1" ht="11.25">
      <c r="A106" s="346"/>
      <c r="B106" s="346"/>
    </row>
    <row customHeight="1" ht="11.25">
      <c r="A107" s="346"/>
      <c r="B107" s="346"/>
    </row>
    <row customHeight="1" ht="11.25">
      <c r="A108" s="346"/>
      <c r="B108" s="346"/>
    </row>
    <row customHeight="1" ht="11.25">
      <c r="A109" s="346"/>
      <c r="B109" s="346"/>
    </row>
    <row customHeight="1" ht="11.25">
      <c r="A110" s="346"/>
      <c r="B110" s="346"/>
    </row>
    <row customHeight="1" ht="11.25">
      <c r="A111" s="346"/>
      <c r="B111" s="346"/>
    </row>
    <row customHeight="1" ht="11.25">
      <c r="A112" s="346"/>
      <c r="B112" s="346"/>
    </row>
    <row customHeight="1" ht="11.25">
      <c r="A113" s="346"/>
      <c r="B113" s="346"/>
    </row>
    <row customHeight="1" ht="11.25">
      <c r="A114" s="346"/>
      <c r="B114" s="346"/>
    </row>
    <row customHeight="1" ht="11.25">
      <c r="A115" s="346"/>
      <c r="B115" s="346"/>
    </row>
    <row customHeight="1" ht="11.25">
      <c r="A116" s="346"/>
      <c r="B116" s="346"/>
    </row>
    <row customHeight="1" ht="11.25">
      <c r="A117" s="346"/>
      <c r="B117" s="346"/>
    </row>
    <row customHeight="1" ht="11.25">
      <c r="A118" s="346"/>
      <c r="B118" s="346"/>
    </row>
    <row customHeight="1" ht="11.25">
      <c r="A119" s="346"/>
      <c r="B119" s="346"/>
    </row>
    <row customHeight="1" ht="11.25">
      <c r="A120" s="346"/>
      <c r="B120" s="346"/>
    </row>
    <row customHeight="1" ht="11.25">
      <c r="A121" s="346"/>
      <c r="B121" s="346"/>
    </row>
    <row customHeight="1" ht="11.25">
      <c r="A122" s="346"/>
      <c r="B122" s="346"/>
    </row>
    <row customHeight="1" ht="11.25">
      <c r="A123" s="346"/>
      <c r="B123" s="346"/>
    </row>
    <row customHeight="1" ht="11.25">
      <c r="A124" s="346"/>
      <c r="B124" s="346"/>
    </row>
    <row customHeight="1" ht="11.25">
      <c r="A125" s="346"/>
      <c r="B125" s="346"/>
    </row>
    <row customHeight="1" ht="11.25">
      <c r="A126" s="346"/>
      <c r="B126" s="346"/>
    </row>
    <row customHeight="1" ht="11.25">
      <c r="A127" s="346"/>
      <c r="B127" s="346"/>
    </row>
    <row customHeight="1" ht="11.25">
      <c r="A128" s="346"/>
      <c r="B128" s="346"/>
    </row>
    <row customHeight="1" ht="11.25">
      <c r="A129" s="346"/>
      <c r="B129" s="346"/>
    </row>
    <row customHeight="1" ht="11.25">
      <c r="A130" s="346"/>
      <c r="B130" s="346"/>
    </row>
    <row customHeight="1" ht="11.25">
      <c r="A131" s="346"/>
      <c r="B131" s="346"/>
    </row>
    <row customHeight="1" ht="11.25">
      <c r="A132" s="346"/>
      <c r="B132" s="346"/>
    </row>
    <row customHeight="1" ht="11.25">
      <c r="A133" s="346"/>
      <c r="B133" s="346"/>
    </row>
    <row customHeight="1" ht="11.25">
      <c r="A134" s="346"/>
      <c r="B134" s="346"/>
    </row>
    <row customHeight="1" ht="11.25">
      <c r="A135" s="346"/>
      <c r="B135" s="346"/>
    </row>
    <row customHeight="1" ht="11.25">
      <c r="A136" s="346"/>
      <c r="B136" s="346"/>
    </row>
    <row customHeight="1" ht="11.25">
      <c r="A137" s="346"/>
      <c r="B137" s="346"/>
    </row>
    <row customHeight="1" ht="11.25">
      <c r="A138" s="346"/>
      <c r="B138" s="346"/>
    </row>
    <row customHeight="1" ht="11.25">
      <c r="A139" s="346"/>
      <c r="B139" s="346"/>
    </row>
    <row customHeight="1" ht="11.25">
      <c r="A140" s="346"/>
      <c r="B140" s="346"/>
    </row>
    <row customHeight="1" ht="11.25">
      <c r="A141" s="346"/>
      <c r="B141" s="346"/>
    </row>
    <row customHeight="1" ht="11.25">
      <c r="A142" s="346"/>
      <c r="B142" s="346"/>
    </row>
    <row customHeight="1" ht="11.25">
      <c r="A143" s="346"/>
      <c r="B143" s="346"/>
    </row>
    <row customHeight="1" ht="11.25">
      <c r="A144" s="346"/>
      <c r="B144" s="346"/>
    </row>
    <row customHeight="1" ht="11.25">
      <c r="A145" s="346"/>
      <c r="B145" s="346"/>
    </row>
    <row customHeight="1" ht="11.25">
      <c r="A146" s="346"/>
      <c r="B146" s="346"/>
    </row>
    <row customHeight="1" ht="11.25">
      <c r="A147" s="346"/>
      <c r="B147" s="346"/>
    </row>
    <row customHeight="1" ht="11.25">
      <c r="A148" s="346"/>
      <c r="B148" s="346"/>
    </row>
    <row customHeight="1" ht="11.25">
      <c r="A149" s="346"/>
      <c r="B149" s="346"/>
    </row>
    <row customHeight="1" ht="11.25">
      <c r="A150" s="346"/>
      <c r="B150" s="346"/>
    </row>
    <row customHeight="1" ht="11.25">
      <c r="A151" s="346"/>
      <c r="B151" s="346"/>
    </row>
    <row customHeight="1" ht="11.25">
      <c r="A152" s="346"/>
      <c r="B152" s="346"/>
    </row>
    <row customHeight="1" ht="11.25">
      <c r="A153" s="346"/>
      <c r="B153" s="346"/>
    </row>
    <row customHeight="1" ht="11.25">
      <c r="A154" s="346"/>
      <c r="B154" s="346"/>
    </row>
    <row customHeight="1" ht="11.25">
      <c r="A155" s="346"/>
      <c r="B155" s="346"/>
    </row>
    <row customHeight="1" ht="11.25">
      <c r="A156" s="346"/>
      <c r="B156" s="346"/>
    </row>
    <row customHeight="1" ht="11.25">
      <c r="A157" s="346"/>
      <c r="B157" s="346"/>
    </row>
    <row customHeight="1" ht="11.25">
      <c r="A158" s="346"/>
      <c r="B158" s="346"/>
    </row>
    <row customHeight="1" ht="11.25">
      <c r="A159" s="346"/>
      <c r="B159" s="346"/>
    </row>
    <row customHeight="1" ht="11.25">
      <c r="A160" s="346"/>
      <c r="B160" s="346"/>
    </row>
    <row customHeight="1" ht="11.25">
      <c r="A161" s="346"/>
      <c r="B161" s="346"/>
    </row>
    <row customHeight="1" ht="11.25">
      <c r="A162" s="346"/>
      <c r="B162" s="346"/>
    </row>
    <row customHeight="1" ht="11.25">
      <c r="A163" s="346"/>
      <c r="B163" s="346"/>
    </row>
    <row customHeight="1" ht="11.25">
      <c r="A164" s="346"/>
      <c r="B164" s="346"/>
    </row>
    <row customHeight="1" ht="11.25">
      <c r="A165" s="346"/>
      <c r="B165" s="346"/>
    </row>
    <row customHeight="1" ht="11.25">
      <c r="A166" s="346"/>
      <c r="B166" s="346"/>
    </row>
    <row customHeight="1" ht="11.25">
      <c r="A167" s="346"/>
      <c r="B167" s="346"/>
    </row>
    <row customHeight="1" ht="11.25">
      <c r="A168" s="346"/>
      <c r="B168" s="346"/>
    </row>
    <row customHeight="1" ht="11.25">
      <c r="A169" s="346"/>
      <c r="B169" s="346"/>
    </row>
    <row customHeight="1" ht="11.25">
      <c r="A170" s="346"/>
      <c r="B170" s="346"/>
    </row>
    <row customHeight="1" ht="11.25">
      <c r="A171" s="346"/>
      <c r="B171" s="346"/>
    </row>
    <row customHeight="1" ht="11.25">
      <c r="A172" s="346"/>
      <c r="B172" s="346"/>
    </row>
    <row customHeight="1" ht="11.25">
      <c r="A173" s="346"/>
      <c r="B173" s="346"/>
    </row>
    <row customHeight="1" ht="11.25">
      <c r="A174" s="346"/>
      <c r="B174" s="346"/>
    </row>
    <row customHeight="1" ht="11.25">
      <c r="A175" s="346"/>
      <c r="B175" s="346"/>
    </row>
    <row customHeight="1" ht="11.25">
      <c r="A176" s="346"/>
      <c r="B176" s="346"/>
    </row>
    <row customHeight="1" ht="11.25">
      <c r="A177" s="346"/>
      <c r="B177" s="346"/>
    </row>
    <row customHeight="1" ht="11.25">
      <c r="A178" s="346"/>
      <c r="B178" s="346"/>
    </row>
    <row customHeight="1" ht="11.25">
      <c r="A179" s="346"/>
      <c r="B179" s="346"/>
    </row>
    <row customHeight="1" ht="11.25">
      <c r="A180" s="346"/>
      <c r="B180" s="346"/>
    </row>
    <row customHeight="1" ht="11.25">
      <c r="A181" s="346"/>
      <c r="B181" s="346"/>
    </row>
    <row customHeight="1" ht="11.25">
      <c r="A182" s="346"/>
      <c r="B182" s="346"/>
    </row>
    <row customHeight="1" ht="11.25">
      <c r="A183" s="346"/>
      <c r="B183" s="346"/>
    </row>
    <row customHeight="1" ht="11.25">
      <c r="A184" s="346"/>
      <c r="B184" s="346"/>
    </row>
    <row customHeight="1" ht="11.25">
      <c r="A185" s="346"/>
      <c r="B185" s="346"/>
    </row>
    <row customHeight="1" ht="11.25">
      <c r="A186" s="346"/>
      <c r="B186" s="346"/>
    </row>
    <row customHeight="1" ht="11.25">
      <c r="A187" s="346"/>
      <c r="B187" s="346"/>
    </row>
    <row customHeight="1" ht="11.25">
      <c r="A188" s="346"/>
      <c r="B188" s="346"/>
    </row>
    <row customHeight="1" ht="11.25">
      <c r="A189" s="346"/>
      <c r="B189" s="346"/>
    </row>
    <row customHeight="1" ht="11.25">
      <c r="A190" s="346"/>
      <c r="B190" s="346"/>
    </row>
    <row customHeight="1" ht="11.25">
      <c r="A191" s="346"/>
      <c r="B191" s="346"/>
    </row>
    <row customHeight="1" ht="11.25">
      <c r="A192" s="346"/>
      <c r="B192" s="346"/>
    </row>
    <row customHeight="1" ht="11.25">
      <c r="A193" s="346"/>
      <c r="B193" s="346"/>
    </row>
    <row customHeight="1" ht="11.25">
      <c r="A194" s="346"/>
      <c r="B194" s="346"/>
    </row>
    <row customHeight="1" ht="11.25">
      <c r="A195" s="346"/>
      <c r="B195" s="346"/>
    </row>
    <row customHeight="1" ht="11.25">
      <c r="A196" s="346"/>
      <c r="B196" s="346"/>
    </row>
    <row customHeight="1" ht="11.25">
      <c r="A197" s="346"/>
      <c r="B197" s="346"/>
    </row>
    <row customHeight="1" ht="11.25">
      <c r="A198" s="346"/>
      <c r="B198" s="346"/>
    </row>
    <row customHeight="1" ht="11.25">
      <c r="A199" s="346"/>
      <c r="B199" s="346"/>
    </row>
    <row customHeight="1" ht="11.25">
      <c r="A200" s="346"/>
      <c r="B200" s="346"/>
    </row>
    <row customHeight="1" ht="11.25">
      <c r="A201" s="346"/>
      <c r="B201" s="346"/>
    </row>
    <row customHeight="1" ht="11.25">
      <c r="A202" s="346"/>
      <c r="B202" s="346"/>
    </row>
    <row customHeight="1" ht="11.25">
      <c r="A203" s="346"/>
      <c r="B203" s="346"/>
    </row>
    <row customHeight="1" ht="11.25">
      <c r="A204" s="346"/>
      <c r="B204" s="346"/>
    </row>
    <row customHeight="1" ht="11.25">
      <c r="A205" s="346"/>
      <c r="B205" s="346"/>
    </row>
    <row customHeight="1" ht="11.25">
      <c r="A206" s="346"/>
      <c r="B206" s="346"/>
    </row>
    <row customHeight="1" ht="11.25">
      <c r="A207" s="346"/>
      <c r="B207" s="346"/>
    </row>
    <row customHeight="1" ht="11.25">
      <c r="A208" s="346"/>
      <c r="B208" s="346"/>
    </row>
    <row customHeight="1" ht="11.25">
      <c r="A209" s="346"/>
      <c r="B209" s="346"/>
    </row>
    <row customHeight="1" ht="11.25">
      <c r="A210" s="346"/>
      <c r="B210" s="346"/>
    </row>
    <row customHeight="1" ht="11.25">
      <c r="A211" s="346"/>
      <c r="B211" s="346"/>
    </row>
    <row customHeight="1" ht="11.25">
      <c r="A212" s="346"/>
      <c r="B212" s="346"/>
    </row>
    <row customHeight="1" ht="11.25">
      <c r="A213" s="346"/>
      <c r="B213" s="346"/>
    </row>
    <row customHeight="1" ht="11.25">
      <c r="A214" s="346"/>
      <c r="B214" s="346"/>
    </row>
    <row customHeight="1" ht="11.25">
      <c r="A215" s="346"/>
      <c r="B215" s="346"/>
    </row>
    <row customHeight="1" ht="11.25">
      <c r="A216" s="346"/>
      <c r="B216" s="346"/>
    </row>
    <row customHeight="1" ht="11.25">
      <c r="A217" s="346"/>
      <c r="B217" s="346"/>
    </row>
    <row customHeight="1" ht="11.25">
      <c r="A218" s="346"/>
      <c r="B218" s="346"/>
    </row>
    <row customHeight="1" ht="11.25">
      <c r="A219" s="346"/>
      <c r="B219" s="346"/>
    </row>
    <row customHeight="1" ht="11.25">
      <c r="A220" s="346"/>
      <c r="B220" s="346"/>
    </row>
    <row customHeight="1" ht="11.25">
      <c r="A221" s="346"/>
      <c r="B221" s="346"/>
    </row>
    <row customHeight="1" ht="11.25">
      <c r="A222" s="346"/>
      <c r="B222" s="346"/>
    </row>
    <row customHeight="1" ht="11.25">
      <c r="A223" s="346"/>
      <c r="B223" s="346"/>
    </row>
    <row customHeight="1" ht="11.25">
      <c r="A224" s="346"/>
      <c r="B224" s="346"/>
    </row>
    <row customHeight="1" ht="11.25">
      <c r="A225" s="346"/>
      <c r="B225" s="346"/>
    </row>
    <row customHeight="1" ht="11.25">
      <c r="A226" s="346"/>
      <c r="B226" s="346"/>
    </row>
    <row customHeight="1" ht="11.25">
      <c r="A227" s="346"/>
      <c r="B227" s="346"/>
    </row>
    <row customHeight="1" ht="11.25">
      <c r="A228" s="346"/>
      <c r="B228" s="346"/>
    </row>
    <row customHeight="1" ht="11.25">
      <c r="A229" s="346"/>
      <c r="B229" s="346"/>
    </row>
    <row customHeight="1" ht="11.25">
      <c r="A230" s="346"/>
      <c r="B230" s="346"/>
    </row>
    <row customHeight="1" ht="11.25">
      <c r="A231" s="346"/>
      <c r="B231" s="346"/>
    </row>
    <row customHeight="1" ht="11.25">
      <c r="A232" s="346"/>
      <c r="B232" s="346"/>
    </row>
    <row customHeight="1" ht="11.25">
      <c r="A233" s="346"/>
      <c r="B233" s="346"/>
    </row>
    <row customHeight="1" ht="11.25">
      <c r="A234" s="346"/>
      <c r="B234" s="346"/>
    </row>
    <row customHeight="1" ht="11.25">
      <c r="A235" s="346"/>
      <c r="B235" s="346"/>
    </row>
    <row customHeight="1" ht="11.25">
      <c r="A236" s="346"/>
      <c r="B236" s="346"/>
    </row>
    <row customHeight="1" ht="11.25">
      <c r="A237" s="346"/>
      <c r="B237" s="346"/>
    </row>
    <row customHeight="1" ht="11.25">
      <c r="A238" s="346"/>
      <c r="B238" s="346"/>
    </row>
    <row customHeight="1" ht="11.25">
      <c r="A239" s="346"/>
      <c r="B239" s="346"/>
    </row>
    <row customHeight="1" ht="11.25">
      <c r="A240" s="346"/>
      <c r="B240" s="346"/>
    </row>
    <row customHeight="1" ht="11.25">
      <c r="A241" s="346"/>
      <c r="B241" s="346"/>
    </row>
    <row customHeight="1" ht="11.25">
      <c r="A242" s="346"/>
      <c r="B242" s="346"/>
    </row>
    <row customHeight="1" ht="11.25">
      <c r="A243" s="346"/>
      <c r="B243" s="346"/>
    </row>
    <row customHeight="1" ht="11.25">
      <c r="A244" s="346"/>
      <c r="B244" s="346"/>
    </row>
    <row customHeight="1" ht="11.25">
      <c r="A245" s="346"/>
      <c r="B245" s="346"/>
    </row>
    <row customHeight="1" ht="11.25">
      <c r="A246" s="346"/>
      <c r="B246" s="346"/>
    </row>
    <row customHeight="1" ht="11.25">
      <c r="A247" s="346"/>
      <c r="B247" s="346"/>
    </row>
    <row customHeight="1" ht="11.25">
      <c r="A248" s="346"/>
      <c r="B248" s="346"/>
    </row>
    <row customHeight="1" ht="11.25">
      <c r="A249" s="346"/>
      <c r="B249" s="346"/>
    </row>
    <row customHeight="1" ht="11.25">
      <c r="A250" s="346"/>
      <c r="B250" s="346"/>
    </row>
    <row customHeight="1" ht="11.25">
      <c r="A251" s="346"/>
      <c r="B251" s="346"/>
    </row>
    <row customHeight="1" ht="11.25">
      <c r="A252" s="346"/>
      <c r="B252" s="346"/>
    </row>
    <row customHeight="1" ht="11.25">
      <c r="A253" s="346"/>
      <c r="B253" s="346"/>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716362-4B59-C665-405B-4F2D00FA4692}"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30681" width="3.7109375" customWidth="1"/>
    <col min="2" max="2" style="30681" width="90.7109375" customWidth="1"/>
    <col min="3" max="4" style="30681" width="9.140625"/>
  </cols>
  <sheetData>
    <row customHeight="1" ht="11.25">
      <c r="B1" s="377" t="s">
        <v>4145</v>
      </c>
    </row>
    <row customHeight="1" ht="90">
      <c r="B2" s="378" t="s">
        <v>4146</v>
      </c>
    </row>
    <row customHeight="1" ht="67.5">
      <c r="B3" s="378" t="s">
        <v>4147</v>
      </c>
    </row>
    <row customHeight="1" ht="33.75">
      <c r="B4" s="378" t="s">
        <v>4148</v>
      </c>
    </row>
    <row customHeight="1" ht="11.25">
      <c r="B5" s="378" t="s">
        <v>4149</v>
      </c>
    </row>
    <row customHeight="1" ht="22.5">
      <c r="B6" s="378" t="s">
        <v>4150</v>
      </c>
    </row>
    <row customHeight="1" ht="22.5">
      <c r="B7" s="378" t="s">
        <v>4151</v>
      </c>
    </row>
    <row customHeight="1" ht="22.5">
      <c r="B8" s="378" t="s">
        <v>4152</v>
      </c>
    </row>
    <row customHeight="1" ht="22.5">
      <c r="B9" s="378" t="s">
        <v>4153</v>
      </c>
    </row>
    <row customHeight="1" ht="56.25">
      <c r="B10" s="378" t="s">
        <v>4154</v>
      </c>
    </row>
    <row customHeight="1" ht="12.75">
      <c r="B11" s="443" t="s">
        <v>4155</v>
      </c>
    </row>
    <row customHeight="1" ht="11.25">
      <c r="B12" s="377" t="s">
        <v>4156</v>
      </c>
    </row>
    <row customHeight="1" ht="22.5">
      <c r="B13" s="378" t="s">
        <v>4157</v>
      </c>
    </row>
    <row customHeight="1" ht="67.5">
      <c r="B14" s="378" t="s">
        <v>4158</v>
      </c>
    </row>
    <row customHeight="1" ht="22.5">
      <c r="B15" s="378" t="s">
        <v>4159</v>
      </c>
    </row>
    <row customHeight="1" ht="11.25">
      <c r="B16" s="377" t="s">
        <v>4160</v>
      </c>
      <c r="D16" s="384"/>
    </row>
    <row customHeight="1" ht="33.75">
      <c r="B17" s="378" t="s">
        <v>4161</v>
      </c>
    </row>
    <row customHeight="1" ht="33.75">
      <c r="B18" s="378" t="s">
        <v>4162</v>
      </c>
    </row>
    <row customHeight="1" ht="11.25">
      <c r="B19" s="378" t="s">
        <v>4163</v>
      </c>
    </row>
    <row customHeight="1" ht="33.75">
      <c r="B20" s="378" t="s">
        <v>4164</v>
      </c>
    </row>
    <row customHeight="1" ht="11.25">
      <c r="B21" s="377" t="s">
        <v>4165</v>
      </c>
    </row>
    <row customHeight="1" ht="11.25">
      <c r="B22" s="378" t="s">
        <v>4166</v>
      </c>
    </row>
    <row r="24" customHeight="1" ht="22.5">
      <c r="B24" s="445" t="s">
        <v>4167</v>
      </c>
    </row>
    <row r="26" customHeight="1" ht="11.25">
      <c r="B26" s="377" t="s">
        <v>4168</v>
      </c>
    </row>
    <row customHeight="1" ht="22.5">
      <c r="B27" s="444" t="s">
        <v>456</v>
      </c>
    </row>
    <row customHeight="1" ht="56.25">
      <c r="B28" s="444" t="s">
        <v>4169</v>
      </c>
    </row>
    <row customHeight="1" ht="11.25">
      <c r="B29" s="494" t="s">
        <v>4170</v>
      </c>
    </row>
    <row customHeight="1" ht="22.5">
      <c r="B30" s="444" t="s">
        <v>4171</v>
      </c>
    </row>
    <row r="32" customHeight="1" ht="11.25">
      <c r="A32" s="472"/>
      <c r="B32" s="473" t="s">
        <v>4172</v>
      </c>
    </row>
    <row customHeight="1" ht="14.25">
      <c r="A33" s="474">
        <v>1</v>
      </c>
      <c r="B33" s="475" t="s">
        <v>4173</v>
      </c>
    </row>
    <row customHeight="1" ht="14.25">
      <c r="A34" s="474">
        <v>2</v>
      </c>
      <c r="B34" s="475" t="s">
        <v>4174</v>
      </c>
    </row>
    <row customHeight="1" ht="11.25">
      <c r="B35" s="473" t="s">
        <v>4175</v>
      </c>
    </row>
    <row customHeight="1" ht="11.25">
      <c r="B36" s="475" t="s">
        <v>4176</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840FE1-0528-3F46-E004-B03D31CD80C5}"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30505" width="9.140625" hidden="1" customWidth="1"/>
    <col min="2" max="2" style="30541" width="9.140625" hidden="1" customWidth="1"/>
    <col min="3" max="3" style="30726" width="3.00390625" customWidth="1"/>
    <col min="4" max="4" style="30541" width="5.00390625" customWidth="1"/>
    <col min="5" max="5" style="30541" width="38.00390625" customWidth="1"/>
    <col min="6" max="7" style="30541" width="3.00390625" customWidth="1"/>
    <col min="8" max="8" style="30541" width="38.00390625" customWidth="1"/>
    <col min="9" max="9" style="30541" width="35.00390625" customWidth="1"/>
    <col min="10" max="10" style="30541" width="103.00390625" customWidth="1"/>
    <col min="11" max="11" style="30636" width="3.00390625" customWidth="1"/>
    <col min="12" max="14" style="30621" width="10.00390625" customWidth="1"/>
    <col min="15" max="15" style="30621" width="13.00390625" customWidth="1"/>
    <col min="16" max="16" style="30621" width="15.00390625" customWidth="1"/>
    <col min="17" max="17" style="30621" width="16.00390625" customWidth="1"/>
    <col min="18" max="21" style="30621" width="10.00390625" customWidth="1"/>
    <col min="22" max="22" style="30541" width="10.57421875" hidden="1"/>
  </cols>
  <sheetData>
    <row customHeight="1" ht="22.5" hidden="1">
      <c r="E1" s="696"/>
      <c r="F1" s="696"/>
      <c r="G1" s="696"/>
      <c r="H1" s="2501" t="s">
        <v>412</v>
      </c>
      <c r="I1" s="2501"/>
      <c r="V1" s="1891" t="s">
        <v>14</v>
      </c>
    </row>
    <row s="30541" customFormat="1" customHeight="1" ht="14.25" hidden="1">
      <c r="C2" s="1903"/>
      <c r="D2" s="2517" t="s">
        <v>141</v>
      </c>
      <c r="E2" s="2519"/>
      <c r="F2" s="1909"/>
      <c r="G2" s="1904" t="s">
        <v>141</v>
      </c>
      <c r="H2" s="1907"/>
      <c r="I2" s="1905"/>
      <c r="L2" s="1906"/>
      <c r="M2" s="1906"/>
      <c r="N2" s="1906"/>
      <c r="O2" s="1906" t="s">
        <v>442</v>
      </c>
      <c r="P2" s="1906"/>
      <c r="Q2" s="1906"/>
      <c r="R2" s="1908" t="s">
        <v>441</v>
      </c>
      <c r="S2" s="1908" t="s">
        <v>441</v>
      </c>
      <c r="T2" s="1906"/>
      <c r="U2" s="1906"/>
      <c r="V2" s="1902">
        <v>0</v>
      </c>
    </row>
    <row s="30541" customFormat="1" customHeight="1" ht="14.25" hidden="1">
      <c r="C3" s="1903"/>
      <c r="D3" s="2518"/>
      <c r="E3" s="2520"/>
      <c r="F3" s="689"/>
      <c r="G3" s="1153"/>
      <c r="H3" s="1153" t="s">
        <v>443</v>
      </c>
      <c r="I3" s="597"/>
      <c r="L3" s="1906"/>
      <c r="M3" s="1906"/>
      <c r="N3" s="1906"/>
      <c r="O3" s="1906"/>
      <c r="P3" s="1906"/>
      <c r="Q3" s="1906"/>
      <c r="R3" s="1908"/>
      <c r="S3" s="1908"/>
      <c r="T3" s="1906"/>
      <c r="U3" s="1906"/>
      <c r="V3" s="1902">
        <v>0</v>
      </c>
    </row>
    <row customHeight="1" ht="14.25" hidden="1">
      <c r="V4" s="1891">
        <v>0</v>
      </c>
    </row>
    <row s="31220" customFormat="1" customHeight="1" ht="5.25">
      <c r="C5" s="985"/>
      <c r="D5" s="986"/>
      <c r="E5" s="986"/>
      <c r="F5" s="986"/>
      <c r="G5" s="986"/>
      <c r="H5" s="986" t="s">
        <v>416</v>
      </c>
      <c r="I5" s="986"/>
      <c r="J5" s="986"/>
      <c r="L5" s="1898"/>
      <c r="M5" s="1898"/>
      <c r="N5" s="1898"/>
      <c r="O5" s="1898"/>
      <c r="P5" s="1898"/>
      <c r="Q5" s="1898"/>
      <c r="R5" s="1898"/>
      <c r="S5" s="1898"/>
      <c r="T5" s="1898"/>
      <c r="U5" s="1898"/>
      <c r="V5" s="1897">
        <v>5</v>
      </c>
    </row>
    <row customHeight="1" ht="29.25">
      <c r="C6" s="1800"/>
      <c r="D6" s="2521" t="s">
        <v>444</v>
      </c>
      <c r="E6" s="2521"/>
      <c r="F6" s="2521"/>
      <c r="G6" s="2521"/>
      <c r="H6" s="2521"/>
      <c r="I6" s="2521"/>
      <c r="J6" s="775"/>
      <c r="K6" s="1899"/>
      <c r="V6" s="1891">
        <v>28</v>
      </c>
    </row>
    <row customHeight="1" ht="18">
      <c r="C7" s="1800"/>
      <c r="D7" s="2460" t="str">
        <f>IF(org=0,"Не определено",org)</f>
        <v>АО "ДГК"</v>
      </c>
      <c r="E7" s="2460"/>
      <c r="F7" s="2460"/>
      <c r="G7" s="2460"/>
      <c r="H7" s="2460"/>
      <c r="I7" s="2460"/>
      <c r="J7" s="775"/>
      <c r="K7" s="1899"/>
      <c r="V7" s="1891">
        <v>17</v>
      </c>
    </row>
    <row s="30516" customFormat="1" customHeight="1" ht="5.25">
      <c r="A8" s="1895"/>
      <c r="C8" s="770"/>
      <c r="D8" s="769"/>
      <c r="E8" s="769"/>
      <c r="F8" s="769"/>
      <c r="G8" s="769"/>
      <c r="H8" s="769"/>
      <c r="I8" s="769"/>
      <c r="J8" s="769"/>
      <c r="L8" s="1898"/>
      <c r="M8" s="1898"/>
      <c r="N8" s="1898"/>
      <c r="O8" s="1898"/>
      <c r="P8" s="1898"/>
      <c r="Q8" s="1898"/>
      <c r="R8" s="1898"/>
      <c r="S8" s="1898"/>
      <c r="T8" s="1898"/>
      <c r="U8" s="1898"/>
      <c r="V8" s="1896">
        <v>5</v>
      </c>
    </row>
    <row s="30516" customFormat="1" customHeight="1" ht="5.25">
      <c r="A9" s="1895"/>
      <c r="C9" s="770"/>
      <c r="D9" s="769"/>
      <c r="E9" s="769"/>
      <c r="F9" s="769"/>
      <c r="G9" s="769"/>
      <c r="H9" s="769"/>
      <c r="I9" s="769"/>
      <c r="J9" s="769"/>
      <c r="L9" s="1906"/>
      <c r="M9" s="1906"/>
      <c r="N9" s="1906"/>
      <c r="O9" s="1906"/>
      <c r="P9" s="1906"/>
      <c r="Q9" s="1906"/>
      <c r="R9" s="1906"/>
      <c r="S9" s="1906"/>
      <c r="T9" s="1906"/>
      <c r="U9" s="1906"/>
      <c r="V9" s="1896">
        <v>5</v>
      </c>
    </row>
    <row customHeight="1" ht="14.699999999999998">
      <c r="C10" s="1800"/>
      <c r="D10" s="2502" t="s">
        <v>360</v>
      </c>
      <c r="E10" s="2503"/>
      <c r="F10" s="2503"/>
      <c r="G10" s="2503"/>
      <c r="H10" s="2503"/>
      <c r="I10" s="2503"/>
      <c r="J10" s="2507" t="s">
        <v>361</v>
      </c>
      <c r="V10" s="1891">
        <v>14</v>
      </c>
    </row>
    <row customHeight="1" ht="27.299999999999997">
      <c r="C11" s="1800"/>
      <c r="D11" s="2411" t="s">
        <v>91</v>
      </c>
      <c r="E11" s="2507" t="s">
        <v>137</v>
      </c>
      <c r="F11" s="2476" t="s">
        <v>91</v>
      </c>
      <c r="G11" s="2477"/>
      <c r="H11" s="2459" t="s">
        <v>445</v>
      </c>
      <c r="I11" s="2459" t="s">
        <v>446</v>
      </c>
      <c r="J11" s="2507"/>
      <c r="V11" s="1891">
        <v>26</v>
      </c>
    </row>
    <row customHeight="1" ht="14.699999999999998">
      <c r="C12" s="1800"/>
      <c r="D12" s="2411"/>
      <c r="E12" s="2507"/>
      <c r="F12" s="2484"/>
      <c r="G12" s="2485"/>
      <c r="H12" s="2516"/>
      <c r="I12" s="2516"/>
      <c r="J12" s="2507"/>
      <c r="V12" s="1891">
        <v>14</v>
      </c>
    </row>
    <row s="31261" customFormat="1" customHeight="1" ht="11.25" hidden="1">
      <c r="C13" s="782"/>
      <c r="D13" s="783" t="s">
        <v>436</v>
      </c>
      <c r="E13" s="783"/>
      <c r="F13" s="783"/>
      <c r="G13" s="783"/>
      <c r="H13" s="781"/>
      <c r="I13" s="781"/>
      <c r="J13" s="719"/>
      <c r="L13" s="1898"/>
      <c r="M13" s="1898"/>
      <c r="N13" s="1898"/>
      <c r="O13" s="1898"/>
      <c r="P13" s="1898"/>
      <c r="Q13" s="1898"/>
      <c r="R13" s="1898"/>
      <c r="S13" s="1898"/>
      <c r="T13" s="1898"/>
      <c r="U13" s="1898"/>
      <c r="V13" s="780">
        <v>0</v>
      </c>
    </row>
    <row customHeight="1" ht="14.699999999999998">
      <c r="A14" s="1891"/>
      <c r="C14" s="1800"/>
      <c r="D14" s="2517" t="s">
        <v>141</v>
      </c>
      <c r="E14" s="2519"/>
      <c r="F14" s="1901"/>
      <c r="G14" s="1900" t="s">
        <v>141</v>
      </c>
      <c r="H14" s="1907"/>
      <c r="I14" s="1905"/>
      <c r="J14" s="2453" t="s">
        <v>447</v>
      </c>
      <c r="K14" s="1891"/>
      <c r="R14" s="784" t="s">
        <v>441</v>
      </c>
      <c r="S14" s="784" t="s">
        <v>441</v>
      </c>
      <c r="V14" s="1891">
        <v>14</v>
      </c>
    </row>
    <row customHeight="1" ht="14.699999999999998">
      <c r="A15" s="1891"/>
      <c r="C15" s="1800"/>
      <c r="D15" s="2518"/>
      <c r="E15" s="2520"/>
      <c r="F15" s="689"/>
      <c r="G15" s="1153"/>
      <c r="H15" s="1153" t="s">
        <v>443</v>
      </c>
      <c r="I15" s="597"/>
      <c r="J15" s="2454"/>
      <c r="K15" s="1891"/>
      <c r="R15" s="784"/>
      <c r="S15" s="784"/>
      <c r="V15" s="1891">
        <v>14</v>
      </c>
    </row>
    <row customHeight="1" ht="14.699999999999998">
      <c r="A16" s="1891"/>
      <c r="C16" s="1800"/>
      <c r="D16" s="689"/>
      <c r="E16" s="1153" t="s">
        <v>151</v>
      </c>
      <c r="F16" s="597"/>
      <c r="G16" s="597"/>
      <c r="H16" s="690"/>
      <c r="I16" s="690"/>
      <c r="J16" s="2455"/>
      <c r="K16" s="1891"/>
      <c r="V16" s="1891">
        <v>14</v>
      </c>
    </row>
    <row customHeight="1" ht="14.699999999999998">
      <c r="K17" s="1891"/>
      <c r="V17" s="1891">
        <v>14</v>
      </c>
    </row>
    <row customHeight="1" ht="22.5" hidden="1">
      <c r="A18" s="1892" t="s">
        <v>85</v>
      </c>
      <c r="B18" s="1891">
        <v>0</v>
      </c>
      <c r="C18" s="735">
        <v>3</v>
      </c>
      <c r="D18" s="1891">
        <v>5</v>
      </c>
      <c r="E18" s="1891">
        <v>38</v>
      </c>
      <c r="F18" s="1891">
        <v>3</v>
      </c>
      <c r="G18" s="1891">
        <v>3</v>
      </c>
      <c r="H18" s="1891">
        <v>38</v>
      </c>
      <c r="I18" s="1891">
        <v>35</v>
      </c>
      <c r="J18" s="1891">
        <v>103</v>
      </c>
      <c r="K18" s="1893">
        <v>3</v>
      </c>
      <c r="L18" s="1898">
        <v>10</v>
      </c>
      <c r="M18" s="1898">
        <v>10</v>
      </c>
      <c r="N18" s="1898">
        <v>10</v>
      </c>
      <c r="O18" s="1898">
        <v>13</v>
      </c>
      <c r="P18" s="1898">
        <v>15</v>
      </c>
      <c r="Q18" s="1898">
        <v>16</v>
      </c>
      <c r="R18" s="1898">
        <v>10</v>
      </c>
      <c r="S18" s="1898">
        <v>10</v>
      </c>
      <c r="T18" s="1898">
        <v>10</v>
      </c>
      <c r="U18" s="1898">
        <v>10</v>
      </c>
      <c r="V18" s="1891">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