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<sst xmlns="http://schemas.openxmlformats.org/spreadsheetml/2006/main" count="3711" uniqueCount="3711">
  <si>
    <t xml:space="preserve"> (требуется обновление)</t>
  </si>
  <si>
    <t xml:space="preserve">Код отчёта: PP110.OPEN.INFO.REQUEST.HEAT.EIAS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</si>
  <si>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</si>
  <si>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</si>
  <si>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</si>
  <si>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</si>
  <si>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</si>
  <si>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</si>
  <si>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</si>
  <si>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</si>
  <si>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</si>
  <si>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</si>
  <si>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</si>
  <si>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</si>
  <si>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</si>
  <si>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 xml:space="preserve">Субъект РФ</t>
  </si>
  <si>
    <t xml:space="preserve">Приморский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</si>
  <si>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</si>
  <si>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</si>
  <si>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</si>
  <si>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</si>
  <si>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</si>
  <si>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</si>
  <si>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</si>
  <si>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</si>
  <si>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</si>
  <si>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</si>
  <si>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</si>
  <si>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</si>
  <si>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</si>
  <si>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</si>
  <si>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</si>
  <si>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</si>
  <si>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</si>
  <si>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</si>
  <si>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</si>
  <si>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</si>
  <si>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</si>
  <si>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</si>
  <si>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</si>
  <si>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</si>
  <si>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27-3420</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</si>
  <si>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</si>
  <si>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</si>
  <si>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</si>
  <si>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</si>
  <si>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t>
  </si>
  <si>
    <t xml:space="preserve">Наименование (описание) обособленного подразделения</t>
  </si>
  <si>
    <t>ИНН</t>
  </si>
  <si>
    <t>1434031363</t>
  </si>
  <si>
    <t>КПП</t>
  </si>
  <si>
    <t>253645001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</si>
  <si>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</si>
  <si>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</si>
  <si>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</si>
  <si>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</si>
  <si>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</si>
  <si>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</si>
  <si>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</si>
  <si>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</si>
  <si>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</si>
  <si>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</si>
  <si>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</si>
  <si>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</si>
  <si>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</si>
  <si>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</si>
  <si>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</si>
  <si>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</si>
  <si>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</si>
  <si>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</si>
  <si>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</si>
  <si>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</si>
  <si>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</si>
  <si>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</si>
  <si>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</si>
  <si>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Катриченко Т.С.</t>
  </si>
  <si>
    <t>Должность</t>
  </si>
  <si>
    <t xml:space="preserve">Ведущий экономист</t>
  </si>
  <si>
    <t xml:space="preserve">Контактный телефон</t>
  </si>
  <si>
    <t xml:space="preserve">(423) 2-62-97-00 доб. 55-453</t>
  </si>
  <si>
    <t>E-mail</t>
  </si>
  <si>
    <t>Katrichenko-TS@dgk.ru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</si>
  <si>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</si>
  <si>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</si>
  <si>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</si>
  <si>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</si>
  <si>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</si>
  <si>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</si>
  <si>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</si>
  <si>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</si>
  <si>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</si>
  <si>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</si>
  <si>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</si>
  <si>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</si>
  <si>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</si>
  <si>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</si>
  <si>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</si>
  <si>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</si>
  <si>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</si>
  <si>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Владивостокский городской округ</t>
  </si>
  <si>
    <t>05701000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</si>
  <si>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</si>
  <si>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</si>
  <si>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</si>
  <si>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</si>
  <si>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</si>
  <si>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</si>
  <si>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</si>
  <si>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</si>
  <si>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</si>
  <si>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</si>
  <si>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</si>
  <si>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</si>
  <si>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</si>
  <si>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</si>
  <si>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</si>
  <si>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</si>
  <si>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</si>
  <si>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</si>
  <si>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</si>
  <si>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</si>
  <si>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</si>
  <si>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</si>
  <si>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</si>
  <si>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</si>
  <si>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</si>
  <si>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</si>
  <si>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</si>
  <si>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</si>
  <si>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</si>
  <si>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</si>
  <si>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</si>
  <si>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</si>
  <si>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</si>
  <si>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</si>
  <si>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</si>
  <si>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</si>
  <si>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</si>
  <si>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</si>
  <si>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</si>
  <si>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</si>
  <si>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</si>
  <si>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</si>
  <si>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</si>
  <si>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</si>
  <si>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</si>
  <si>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</si>
  <si>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</si>
  <si>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</si>
  <si>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</si>
  <si>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</si>
  <si>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</si>
  <si>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</si>
  <si>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</si>
  <si>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</si>
  <si>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</si>
  <si>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</si>
  <si>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</si>
  <si>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</si>
  <si>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</si>
  <si>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</si>
  <si>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</si>
  <si>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</si>
  <si>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</si>
  <si>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</si>
  <si>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</si>
  <si>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</si>
  <si>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</si>
  <si>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</si>
  <si>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</si>
  <si>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</si>
  <si>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</si>
  <si>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</si>
  <si>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</si>
  <si>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</si>
  <si>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</si>
  <si>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</si>
  <si>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</si>
  <si>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</si>
  <si>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</si>
  <si>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</si>
  <si>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</si>
  <si>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</si>
  <si>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</si>
  <si>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</si>
  <si>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</si>
  <si>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</si>
  <si>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</si>
  <si>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</si>
  <si>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</si>
  <si>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</si>
  <si>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</si>
  <si>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</si>
  <si>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</si>
  <si>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</si>
  <si>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</si>
  <si>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</si>
  <si>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</si>
  <si>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</si>
  <si>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</si>
  <si>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</si>
  <si>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</si>
  <si>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t>
  </si>
  <si>
    <t xml:space="preserve">Владивостокская ТЭЦ-2</t>
  </si>
  <si>
    <t>"4190072"</t>
  </si>
  <si>
    <t>pIns_PT_VTAR_H</t>
  </si>
  <si>
    <t>pt_ntar_20</t>
  </si>
  <si>
    <t>pt_ter_20</t>
  </si>
  <si>
    <t>pt_cs_20</t>
  </si>
  <si>
    <t>pt_ist_te_20</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</si>
  <si>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</si>
  <si>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</si>
  <si>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</si>
  <si>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</si>
  <si>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</si>
  <si>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</si>
  <si>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</si>
  <si>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</si>
  <si>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</si>
  <si>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</si>
  <si>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</si>
  <si>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</si>
  <si>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</si>
  <si>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</si>
  <si>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</si>
  <si>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</si>
  <si>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</si>
  <si>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</si>
  <si>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</si>
  <si>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</si>
  <si>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</si>
  <si>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</si>
  <si>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</si>
  <si>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</si>
  <si>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</si>
  <si>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</si>
  <si>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</si>
  <si>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</si>
  <si>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</si>
  <si>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</si>
  <si>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</si>
  <si>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</si>
  <si>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</si>
  <si>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</si>
  <si>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</si>
  <si>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</si>
  <si>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</si>
  <si>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</si>
  <si>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</si>
  <si>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</si>
  <si>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</si>
  <si>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</si>
  <si>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</si>
  <si>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</si>
  <si>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</si>
  <si>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</si>
  <si>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</si>
  <si>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</si>
  <si>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</si>
  <si>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</si>
  <si>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</si>
  <si>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</si>
  <si>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</si>
  <si>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</si>
  <si>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</si>
  <si>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</si>
  <si>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</si>
  <si>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</si>
  <si>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</si>
  <si>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</si>
  <si>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</si>
  <si>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</si>
  <si>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</si>
  <si>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</si>
  <si>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</si>
  <si>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</si>
  <si>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</si>
  <si>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</si>
  <si>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</si>
  <si>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</si>
  <si>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</si>
  <si>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</si>
  <si>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</si>
  <si>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</si>
  <si>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</si>
  <si>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</si>
  <si>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</si>
  <si>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</si>
  <si>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</si>
  <si>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</si>
  <si>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</si>
  <si>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</si>
  <si>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</si>
  <si>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</si>
  <si>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</si>
  <si>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</si>
  <si>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</si>
  <si>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</si>
  <si>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</si>
  <si>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</si>
  <si>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</si>
  <si>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</si>
  <si>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</si>
  <si>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</si>
  <si>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</si>
  <si>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</si>
  <si>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</si>
  <si>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</si>
  <si>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</si>
  <si>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</si>
  <si>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</si>
  <si>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</si>
  <si>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</si>
  <si>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</si>
  <si>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</si>
  <si>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</si>
  <si>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</si>
  <si>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</si>
  <si>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</si>
  <si>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</si>
  <si>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</si>
  <si>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</si>
  <si>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</si>
  <si>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</si>
  <si>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</si>
  <si>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</si>
  <si>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</si>
  <si>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</si>
  <si>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</si>
  <si>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</si>
  <si>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</si>
  <si>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</si>
  <si>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</si>
  <si>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</si>
  <si>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</si>
  <si>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</si>
  <si>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</si>
  <si>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</si>
  <si>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</si>
  <si>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</si>
  <si>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</si>
  <si>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</si>
  <si>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</si>
  <si>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</si>
  <si>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</si>
  <si>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</si>
  <si>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</si>
  <si>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</si>
  <si>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</si>
  <si>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</si>
  <si>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</si>
  <si>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</si>
  <si>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</si>
  <si>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</si>
  <si>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</si>
  <si>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</si>
  <si>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</si>
  <si>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</si>
  <si>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</si>
  <si>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</si>
  <si>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</si>
  <si>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</si>
  <si>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</si>
  <si>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</si>
  <si>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</si>
  <si>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</si>
  <si>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</si>
  <si>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</si>
  <si>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</si>
  <si>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</si>
  <si>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</si>
  <si>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</si>
  <si>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</si>
  <si>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</si>
  <si>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</si>
  <si>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</si>
  <si>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</si>
  <si>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</si>
  <si>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</si>
  <si>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</si>
  <si>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</si>
  <si>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</si>
  <si>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</si>
  <si>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</si>
  <si>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</si>
  <si>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</si>
  <si>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</si>
  <si>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</si>
  <si>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</si>
  <si>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</si>
  <si>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</si>
  <si>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</si>
  <si>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</si>
  <si>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</si>
  <si>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</si>
  <si>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</si>
  <si>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</si>
  <si>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</si>
  <si>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</si>
  <si>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</si>
  <si>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</si>
  <si>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</si>
  <si>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</si>
  <si>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</si>
  <si>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</si>
  <si>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</si>
  <si>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</si>
  <si>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</si>
  <si>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</si>
  <si>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</si>
  <si>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</si>
  <si>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</si>
  <si>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</si>
  <si>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</si>
  <si>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</si>
  <si>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</si>
  <si>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</si>
  <si>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</si>
  <si>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</si>
  <si>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</si>
  <si>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</si>
  <si>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</si>
  <si>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</si>
  <si>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</si>
  <si>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</si>
  <si>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</si>
  <si>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</si>
  <si>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</si>
  <si>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</si>
  <si>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</si>
  <si>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</si>
  <si>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</si>
  <si>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</si>
  <si>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</si>
  <si>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</si>
  <si>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</si>
  <si>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</si>
  <si>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</si>
  <si>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</si>
  <si>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</si>
  <si>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</si>
  <si>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</si>
  <si>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</si>
  <si>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</si>
  <si>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</si>
  <si>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</si>
  <si>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</si>
  <si>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</si>
  <si>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</si>
  <si>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</si>
  <si>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</si>
  <si>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</si>
  <si>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</si>
  <si>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</si>
  <si>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</si>
  <si>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</si>
  <si>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</si>
  <si>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</si>
  <si>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</si>
  <si>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</si>
  <si>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</si>
  <si>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</si>
  <si>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</si>
  <si>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</si>
  <si>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</si>
  <si>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</si>
  <si>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</si>
  <si>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</si>
  <si>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</si>
  <si>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</si>
  <si>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</si>
  <si>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</si>
  <si>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</si>
  <si>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</si>
  <si>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</si>
  <si>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</si>
  <si>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</si>
  <si>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</si>
  <si>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</si>
  <si>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</si>
  <si>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</si>
  <si>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</si>
  <si>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</si>
  <si>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</si>
  <si>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</si>
  <si>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</si>
  <si>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</si>
  <si>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</si>
  <si>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</si>
  <si>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</si>
  <si>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</si>
  <si>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</si>
  <si>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</si>
  <si>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</si>
  <si>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</si>
  <si>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</si>
  <si>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</si>
  <si>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</si>
  <si>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</si>
  <si>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</si>
  <si>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</si>
  <si>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тыс.руб.</t>
  </si>
  <si>
    <t xml:space="preserve">Лукьянов Сергей Петрович</t>
  </si>
  <si>
    <t xml:space="preserve">Здание, расположенное по адресу, г. Владивосток, ул. Борисенко, 100Л.</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</si>
  <si>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</si>
  <si>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</si>
  <si>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</si>
  <si>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</si>
  <si>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</si>
  <si>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</si>
  <si>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</si>
  <si>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</si>
  <si>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</si>
  <si>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</si>
  <si>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</si>
  <si>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</si>
  <si>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</si>
  <si>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</si>
  <si>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</si>
  <si>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</si>
  <si>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</si>
  <si>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</si>
  <si>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</si>
  <si>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</si>
  <si>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</si>
  <si>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</si>
  <si>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</si>
  <si>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</si>
  <si>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</si>
  <si>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</si>
  <si>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</si>
  <si>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</si>
  <si>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</si>
  <si>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</si>
  <si>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</si>
  <si>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</si>
  <si>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</si>
  <si>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</si>
  <si>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</si>
  <si>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</si>
  <si>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</si>
  <si>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</si>
  <si>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</si>
  <si>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</si>
  <si>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</si>
  <si>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</si>
  <si>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</si>
  <si>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</si>
  <si>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</si>
  <si>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</si>
  <si>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</si>
  <si>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</si>
  <si>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</si>
  <si>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</si>
  <si>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</si>
  <si>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</si>
  <si>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</si>
  <si>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</si>
  <si>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</si>
  <si>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</si>
  <si>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</si>
  <si>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</si>
  <si>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</si>
  <si>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</si>
  <si>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</si>
  <si>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</si>
  <si>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</si>
  <si>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</si>
  <si>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</si>
  <si>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</si>
  <si>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</si>
  <si>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</si>
  <si>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</si>
  <si>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</si>
  <si>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</si>
  <si>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</si>
  <si>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</si>
  <si>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</si>
  <si>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</si>
  <si>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</si>
  <si>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</si>
  <si>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</si>
  <si>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</si>
  <si>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</si>
  <si>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</si>
  <si>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</si>
  <si>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</si>
  <si>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</si>
  <si>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</si>
  <si>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</si>
  <si>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</si>
  <si>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</si>
  <si>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</si>
  <si>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</si>
  <si>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</si>
  <si>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</si>
  <si>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</si>
  <si>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</si>
  <si>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</si>
  <si>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</si>
  <si>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</si>
  <si>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</si>
  <si>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</si>
  <si>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</si>
  <si>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</si>
  <si>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</si>
  <si>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</si>
  <si>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</si>
  <si>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</si>
  <si>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</si>
  <si>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</si>
  <si>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</si>
  <si>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</si>
  <si>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</si>
  <si>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</si>
  <si>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</si>
  <si>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</si>
  <si>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</si>
  <si>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</si>
  <si>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</si>
  <si>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</si>
  <si>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</si>
  <si>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</si>
  <si>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</si>
  <si>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</si>
  <si>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</si>
  <si>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</si>
  <si>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</si>
  <si>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</si>
  <si>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</si>
  <si>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</si>
  <si>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</si>
  <si>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</si>
  <si>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</si>
  <si>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</si>
  <si>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</si>
  <si>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</si>
  <si>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</si>
  <si>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</si>
  <si>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</si>
  <si>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</si>
  <si>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</si>
  <si>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</si>
  <si>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</si>
  <si>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</si>
  <si>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</si>
  <si>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</si>
  <si>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</si>
  <si>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</si>
  <si>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</si>
  <si>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</si>
  <si>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</si>
  <si>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</si>
  <si>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</si>
  <si>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</si>
  <si>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</si>
  <si>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</si>
  <si>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</si>
  <si>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</si>
  <si>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</si>
  <si>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</si>
  <si>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</si>
  <si>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</si>
  <si>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</si>
  <si>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</si>
  <si>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</si>
  <si>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</si>
  <si>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</si>
  <si>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</si>
  <si>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</si>
  <si>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</si>
  <si>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</si>
  <si>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</si>
  <si>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</si>
  <si>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</si>
  <si>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</si>
  <si>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</si>
  <si>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</si>
  <si>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</si>
  <si>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</si>
  <si>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</si>
  <si>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</si>
  <si>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</si>
  <si>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</si>
  <si>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</si>
  <si>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</si>
  <si>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</si>
  <si>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</si>
  <si>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</si>
  <si>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</si>
  <si>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</si>
  <si>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</si>
  <si>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</si>
  <si>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</si>
  <si>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</si>
  <si>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</si>
  <si>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</si>
  <si>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</si>
  <si>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</si>
  <si>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</si>
  <si>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</si>
  <si>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</si>
  <si>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</si>
  <si>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</si>
  <si>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</si>
  <si>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</si>
  <si>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</si>
  <si>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</si>
  <si>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</si>
  <si>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</si>
  <si>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</si>
  <si>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</si>
  <si>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</si>
  <si>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</si>
  <si>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</si>
  <si>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</si>
  <si>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</si>
  <si>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</si>
  <si>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</si>
  <si>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</si>
  <si>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</si>
  <si>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</si>
  <si>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</si>
  <si>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</si>
  <si>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</si>
  <si>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</si>
  <si>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</si>
  <si>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</si>
  <si>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</si>
  <si>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</si>
  <si>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</si>
  <si>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</si>
  <si>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</si>
  <si>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</si>
  <si>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</si>
  <si>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</si>
  <si>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</si>
  <si>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</si>
  <si>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</si>
  <si>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</si>
  <si>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</si>
  <si>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</si>
  <si>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</si>
  <si>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</si>
  <si>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</si>
  <si>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</si>
  <si>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</si>
  <si>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</si>
  <si>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</si>
  <si>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</si>
  <si>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</si>
  <si>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</si>
  <si>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</si>
  <si>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</si>
  <si>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</si>
  <si>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</si>
  <si>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</si>
  <si>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</si>
  <si>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</si>
  <si>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</si>
  <si>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</si>
  <si>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</si>
  <si>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</si>
  <si>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</si>
  <si>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</si>
  <si>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</si>
  <si>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</si>
  <si>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</si>
  <si>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</si>
  <si>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</si>
  <si>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</si>
  <si>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</si>
  <si>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</si>
  <si>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</si>
  <si>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</si>
  <si>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</si>
  <si>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</si>
  <si>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</si>
  <si>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</si>
  <si>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</si>
  <si>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</si>
  <si>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</si>
  <si>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</si>
  <si>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</si>
  <si>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</si>
  <si>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</si>
  <si>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</si>
  <si>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</si>
  <si>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</si>
  <si>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</si>
  <si>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</si>
  <si>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</si>
  <si>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</si>
  <si>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</si>
  <si>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</si>
  <si>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</si>
  <si>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</si>
  <si>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</si>
  <si>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</si>
  <si>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</si>
  <si>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</si>
  <si>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</si>
  <si>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</si>
  <si>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</si>
  <si>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</si>
  <si>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</si>
  <si>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</si>
  <si>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</si>
  <si>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</si>
  <si>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</si>
  <si>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</si>
  <si>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</si>
  <si>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</si>
  <si>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</si>
  <si>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</si>
  <si>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</si>
  <si>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</si>
  <si>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</si>
  <si>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</si>
  <si>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</si>
  <si>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</si>
  <si>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</si>
  <si>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</si>
  <si>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</si>
  <si>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</si>
  <si>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</si>
  <si>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</si>
  <si>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</si>
  <si>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</si>
  <si>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</si>
  <si>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</si>
  <si>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</si>
  <si>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</si>
  <si>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</si>
  <si>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</si>
  <si>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</si>
  <si>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</si>
  <si>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</si>
  <si>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</si>
  <si>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</si>
  <si>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</si>
  <si>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</si>
  <si>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</si>
  <si>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</si>
  <si>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</si>
  <si>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</si>
  <si>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</si>
  <si>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</si>
  <si>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</si>
  <si>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</si>
  <si>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</si>
  <si>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</si>
  <si>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</si>
  <si>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</si>
  <si>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</si>
  <si>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</si>
  <si>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</si>
  <si>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</si>
  <si>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</si>
  <si>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</si>
  <si>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</si>
  <si>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</si>
  <si>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</si>
  <si>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</si>
  <si>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</si>
  <si>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</si>
  <si>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</si>
  <si>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</si>
  <si>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</si>
  <si>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</si>
  <si>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</si>
  <si>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</si>
  <si>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</si>
  <si>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</si>
  <si>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</si>
  <si>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</si>
  <si>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</si>
  <si>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</si>
  <si>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</si>
  <si>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</si>
  <si>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</si>
  <si>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</si>
  <si>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</si>
  <si>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</si>
  <si>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</si>
  <si>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</si>
  <si>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</si>
  <si>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</si>
  <si>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</si>
  <si>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</si>
  <si>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</si>
  <si>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</si>
  <si>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</si>
  <si>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</si>
  <si>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</si>
  <si>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</si>
  <si>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</si>
  <si>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</si>
  <si>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</si>
  <si>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</si>
  <si>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</si>
  <si>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</si>
  <si>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</si>
  <si>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</si>
  <si>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</si>
  <si>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</si>
  <si>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</si>
  <si>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</si>
  <si>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</si>
  <si>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</si>
  <si>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</si>
  <si>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</si>
  <si>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</si>
  <si>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</si>
  <si>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</si>
  <si>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</si>
  <si>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</si>
  <si>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</si>
  <si>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</si>
  <si>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</si>
  <si>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</si>
  <si>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</si>
  <si>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</si>
  <si>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</si>
  <si>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</si>
  <si>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</si>
  <si>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</si>
  <si>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</si>
  <si>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</si>
  <si>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</si>
  <si>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</si>
  <si>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</si>
  <si>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</si>
  <si>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</si>
  <si>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</si>
  <si>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</si>
  <si>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</si>
  <si>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</si>
  <si>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</si>
  <si>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</si>
  <si>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</si>
  <si>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</si>
  <si>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</si>
  <si>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</si>
  <si>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</si>
  <si>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</si>
  <si>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</si>
  <si>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</si>
  <si>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</si>
  <si>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</si>
  <si>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</si>
  <si>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</si>
  <si>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</si>
  <si>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</si>
  <si>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</si>
  <si>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</si>
  <si>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</si>
  <si>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</si>
  <si>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</si>
  <si>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</si>
  <si>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</si>
  <si>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</si>
  <si>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</si>
  <si>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</si>
  <si>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</si>
  <si>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</si>
  <si>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</si>
  <si>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</si>
  <si>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</si>
  <si>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</si>
  <si>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</si>
  <si>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</si>
  <si>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</si>
  <si>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</si>
  <si>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</si>
  <si>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</si>
  <si>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</si>
  <si>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</si>
  <si>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</si>
  <si>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</si>
  <si>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</si>
  <si>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</si>
  <si>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</si>
  <si>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</si>
  <si>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</si>
  <si>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</si>
  <si>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</si>
  <si>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</si>
  <si>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</si>
  <si>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</si>
  <si>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</si>
  <si>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</si>
  <si>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</si>
  <si>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</si>
  <si>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</si>
  <si>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</si>
  <si>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</si>
  <si>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</si>
  <si>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</si>
  <si>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</si>
  <si>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</si>
  <si>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</si>
  <si>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</si>
  <si>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</si>
  <si>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</si>
  <si>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</si>
  <si>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</si>
  <si>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</si>
  <si>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</si>
  <si>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</si>
  <si>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</si>
  <si>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</si>
  <si>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</si>
  <si>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</si>
  <si>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</si>
  <si>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</si>
  <si>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</si>
  <si>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</si>
  <si>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</si>
  <si>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</si>
  <si>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</si>
  <si>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</si>
  <si>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</si>
  <si>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</si>
  <si>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</si>
  <si>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</si>
  <si>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</si>
  <si>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</si>
  <si>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</si>
  <si>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</si>
  <si>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</si>
  <si>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</si>
  <si>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</si>
  <si>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</si>
  <si>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</si>
  <si>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</si>
  <si>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</si>
  <si>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</si>
  <si>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</si>
  <si>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</si>
  <si>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</si>
  <si>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</si>
  <si>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</si>
  <si>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</si>
  <si>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</si>
  <si>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</si>
  <si>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</si>
  <si>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</si>
  <si>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</si>
  <si>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</si>
  <si>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</si>
  <si>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</si>
  <si>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</si>
  <si>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</si>
  <si>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</si>
  <si>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</si>
  <si>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</si>
  <si>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</si>
  <si>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</si>
  <si>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</si>
  <si>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</si>
  <si>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</si>
  <si>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</si>
  <si>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</si>
  <si>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</si>
  <si>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</si>
  <si>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</si>
  <si>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</si>
  <si>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</si>
  <si>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</si>
  <si>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</si>
  <si>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</si>
  <si>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</si>
  <si>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</si>
  <si>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</si>
  <si>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</si>
  <si>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</si>
  <si>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</si>
  <si>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</si>
  <si>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</si>
  <si>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</si>
  <si>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</si>
  <si>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</si>
  <si>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</si>
  <si>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</si>
  <si>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</si>
  <si>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</si>
  <si>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</si>
  <si>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</si>
  <si>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</si>
  <si>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</si>
  <si>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</si>
  <si>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</si>
  <si>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</si>
  <si>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</si>
  <si>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</si>
  <si>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</si>
  <si>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</si>
  <si>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</si>
  <si>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</si>
  <si>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</si>
  <si>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</si>
  <si>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</si>
  <si>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</si>
  <si>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</si>
  <si>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</si>
  <si>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</si>
  <si>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</si>
  <si>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</si>
  <si>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</si>
  <si>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</si>
  <si>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</si>
  <si>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</si>
  <si>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</si>
  <si>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</si>
  <si>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</si>
  <si>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</si>
  <si>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</si>
  <si>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</si>
  <si>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</si>
  <si>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</si>
  <si>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</si>
  <si>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</si>
  <si>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</si>
  <si>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</si>
  <si>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</si>
  <si>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</si>
  <si>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</si>
  <si>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</si>
  <si>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</si>
  <si>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</si>
  <si>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</si>
  <si>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</si>
  <si>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</si>
  <si>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</si>
  <si>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</si>
  <si>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</si>
  <si>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</si>
  <si>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</si>
  <si>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</si>
  <si>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</si>
  <si>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</si>
  <si>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</si>
  <si>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</si>
  <si>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</si>
  <si>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</si>
  <si>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</si>
  <si>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</si>
  <si>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</si>
  <si>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</si>
  <si>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</si>
  <si>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</si>
  <si>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</si>
  <si>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</si>
  <si>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экономически обоснованных расходов (затрат)</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</si>
  <si>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</si>
  <si>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</si>
  <si>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</si>
  <si>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</si>
  <si>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</si>
  <si>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</si>
  <si>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сайт АО "ДГК"</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</si>
  <si>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</si>
  <si>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</si>
  <si>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</si>
  <si>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</si>
  <si>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</si>
  <si>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</si>
  <si>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</si>
  <si>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</si>
  <si>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</si>
  <si>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</si>
  <si>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</si>
  <si>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</si>
  <si>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</si>
  <si>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</si>
  <si>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</si>
  <si>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</si>
  <si>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</si>
  <si>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</si>
  <si>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</si>
  <si>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</si>
  <si>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</si>
  <si>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</si>
  <si>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</si>
  <si>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</si>
  <si>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</si>
  <si>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</si>
  <si>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</si>
  <si>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</si>
  <si>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</si>
  <si>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</si>
  <si>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</si>
  <si>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</si>
  <si>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</si>
  <si>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</si>
  <si>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</si>
  <si>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</si>
  <si>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</si>
  <si>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</si>
  <si>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</si>
  <si>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</si>
  <si>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</si>
  <si>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</si>
  <si>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</si>
  <si>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</si>
  <si>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</si>
  <si>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</si>
  <si>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</si>
  <si>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</si>
  <si>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</si>
  <si>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</si>
  <si>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</si>
  <si>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</si>
  <si>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</si>
  <si>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</si>
  <si>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</si>
  <si>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</si>
  <si>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</si>
  <si>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</si>
  <si>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</si>
  <si>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</si>
  <si>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</si>
  <si>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</si>
  <si>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</si>
  <si>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</si>
  <si>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</si>
  <si>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</si>
  <si>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</si>
  <si>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</si>
  <si>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</si>
  <si>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</si>
  <si>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</si>
  <si>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</si>
  <si>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</si>
  <si>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</si>
  <si>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</si>
  <si>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</si>
  <si>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</si>
  <si>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</si>
  <si>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</si>
  <si>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</si>
  <si>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</si>
  <si>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</si>
  <si>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</si>
  <si>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</si>
  <si>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</si>
  <si>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</si>
  <si>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</si>
  <si>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</si>
  <si>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</si>
  <si>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</si>
  <si>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</si>
  <si>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</si>
  <si>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</si>
  <si>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</si>
  <si>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</si>
  <si>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</si>
  <si>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</si>
  <si>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</si>
  <si>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</si>
  <si>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</si>
  <si>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</si>
  <si>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</si>
  <si>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</si>
  <si>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</si>
  <si>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</si>
  <si>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</si>
  <si>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</si>
  <si>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</si>
  <si>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</si>
  <si>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</si>
  <si>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</si>
  <si>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</si>
  <si>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</si>
  <si>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</si>
  <si>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</si>
  <si>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</si>
  <si>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</si>
  <si>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</si>
  <si>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</si>
  <si>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</si>
  <si>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</si>
  <si>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</si>
  <si>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</si>
  <si>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</si>
  <si>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</si>
  <si>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</si>
  <si>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</si>
  <si>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</si>
  <si>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</si>
  <si>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</si>
  <si>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</si>
  <si>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</si>
  <si>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</si>
  <si>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</si>
  <si>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</si>
  <si>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</si>
  <si>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</si>
  <si>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</si>
  <si>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</si>
  <si>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</si>
  <si>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</si>
  <si>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</si>
  <si>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</si>
  <si>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</si>
  <si>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</si>
  <si>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</si>
  <si>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</si>
  <si>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</si>
  <si>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</si>
  <si>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</si>
  <si>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</si>
  <si>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</si>
  <si>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</si>
  <si>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</si>
  <si>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</si>
  <si>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</si>
  <si>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</si>
  <si>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</si>
  <si>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</si>
  <si>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</si>
  <si>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</si>
  <si>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</si>
  <si>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</si>
  <si>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</si>
  <si>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</si>
  <si>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</si>
  <si>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</si>
  <si>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</si>
  <si>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</si>
  <si>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</si>
  <si>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</si>
  <si>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</si>
  <si>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</si>
  <si>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</si>
  <si>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</si>
  <si>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</si>
  <si>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</si>
  <si>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</si>
  <si>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</si>
  <si>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</si>
  <si>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</si>
  <si>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</si>
  <si>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</si>
  <si>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</si>
  <si>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</si>
  <si>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</si>
  <si>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</si>
  <si>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</si>
  <si>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</si>
  <si>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</si>
  <si>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</si>
  <si>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</si>
  <si>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</si>
  <si>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</si>
  <si>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</si>
  <si>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</si>
  <si>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</si>
  <si>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</si>
  <si>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</si>
  <si>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</si>
  <si>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</si>
  <si>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</si>
  <si>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</si>
  <si>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</si>
  <si>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</si>
  <si>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</si>
  <si>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</si>
  <si>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</si>
  <si>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</si>
  <si>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</si>
  <si>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</si>
  <si>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</si>
  <si>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</si>
  <si>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</si>
  <si>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</si>
  <si>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</si>
  <si>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</si>
  <si>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</si>
  <si>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</si>
  <si>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</si>
  <si>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</si>
  <si>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</si>
  <si>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</si>
  <si>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</si>
  <si>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</si>
  <si>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</si>
  <si>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</si>
  <si>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</si>
  <si>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</si>
  <si>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</si>
  <si>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</si>
  <si>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</si>
  <si>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</si>
  <si>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</si>
  <si>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</si>
  <si>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</si>
  <si>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</si>
  <si>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</si>
  <si>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</si>
  <si>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</si>
  <si>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</si>
  <si>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</si>
  <si>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</si>
  <si>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</si>
  <si>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</si>
  <si>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</si>
  <si>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</si>
  <si>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</si>
  <si>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</si>
  <si>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</si>
  <si>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</si>
  <si>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</si>
  <si>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</si>
  <si>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</si>
  <si>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</si>
  <si>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</si>
  <si>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</si>
  <si>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</si>
  <si>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</si>
  <si>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</si>
  <si>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</si>
  <si>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</si>
  <si>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</si>
  <si>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</si>
  <si>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</si>
  <si>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</si>
  <si>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</si>
  <si>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</si>
  <si>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</si>
  <si>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</si>
  <si>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</si>
  <si>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</si>
  <si>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</si>
  <si>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</si>
  <si>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</si>
  <si>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</si>
  <si>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</si>
  <si>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</si>
  <si>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</si>
  <si>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</si>
  <si>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</si>
  <si>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</si>
  <si>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</si>
  <si>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</si>
  <si>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</si>
  <si>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</si>
  <si>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</si>
  <si>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</si>
  <si>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</si>
  <si>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</si>
  <si>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</si>
  <si>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</si>
  <si>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</si>
  <si>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</si>
  <si>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</si>
  <si>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</si>
  <si>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</si>
  <si>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</si>
  <si>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</si>
  <si>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</si>
  <si>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</si>
  <si>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</si>
  <si>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</si>
  <si>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</si>
  <si>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</si>
  <si>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</si>
  <si>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</si>
  <si>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</si>
  <si>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</si>
  <si>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</si>
  <si>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</si>
  <si>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</si>
  <si>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</si>
  <si>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</si>
  <si>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</si>
  <si>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</si>
  <si>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</si>
  <si>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</si>
  <si>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</si>
  <si>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</si>
  <si>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</si>
  <si>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</si>
  <si>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</si>
  <si>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</si>
  <si>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</si>
  <si>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</si>
  <si>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</si>
  <si>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</si>
  <si>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</si>
  <si>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</si>
  <si>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</si>
  <si>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</si>
  <si>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</si>
  <si>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</si>
  <si>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</si>
  <si>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</si>
  <si>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</si>
  <si>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</si>
  <si>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</si>
  <si>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</si>
  <si>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</si>
  <si>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</si>
  <si>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</si>
  <si>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</si>
  <si>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</si>
  <si>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</si>
  <si>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</si>
  <si>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</si>
  <si>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</si>
  <si>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</si>
  <si>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</si>
  <si>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</si>
  <si>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</si>
  <si>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</si>
  <si>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</si>
  <si>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</si>
  <si>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</si>
  <si>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</si>
  <si>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</si>
  <si>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</si>
  <si>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</si>
  <si>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</si>
  <si>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</si>
  <si>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</si>
  <si>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</si>
  <si>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</si>
  <si>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</si>
  <si>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</si>
  <si>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</si>
  <si>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</si>
  <si>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</si>
  <si>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</si>
  <si>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</si>
  <si>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</si>
  <si>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</si>
  <si>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</si>
  <si>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</si>
  <si>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</si>
  <si>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</si>
  <si>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</si>
  <si>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</si>
  <si>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</si>
  <si>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</si>
  <si>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</si>
  <si>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</si>
  <si>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</si>
  <si>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</si>
  <si>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</si>
  <si>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</si>
  <si>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</si>
  <si>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</si>
  <si>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</si>
  <si>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</si>
  <si>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</si>
  <si>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</si>
  <si>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</si>
  <si>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</si>
  <si>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</si>
  <si>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</si>
  <si>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</si>
  <si>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</si>
  <si>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</si>
  <si>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</si>
  <si>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</si>
  <si>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</si>
  <si>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</si>
  <si>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</si>
  <si>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</si>
  <si>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</si>
  <si>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</si>
  <si>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</si>
  <si>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</si>
  <si>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</si>
  <si>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</si>
  <si>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</si>
  <si>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</si>
  <si>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</si>
  <si>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</si>
  <si>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</si>
  <si>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</si>
  <si>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</si>
  <si>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</si>
  <si>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</si>
  <si>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</si>
  <si>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</si>
  <si>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</si>
  <si>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</si>
  <si>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</si>
  <si>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</si>
  <si>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</si>
  <si>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</si>
  <si>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</si>
  <si>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</si>
  <si>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</si>
  <si>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</si>
  <si>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</si>
  <si>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</si>
  <si>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</si>
  <si>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</si>
  <si>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</si>
  <si>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</si>
  <si>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</si>
  <si>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</si>
  <si>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</si>
  <si>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</si>
  <si>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</si>
  <si>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</si>
  <si>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</si>
  <si>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</si>
  <si>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</si>
  <si>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</si>
  <si>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</si>
  <si>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</si>
  <si>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</si>
  <si>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</si>
  <si>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</si>
  <si>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</si>
  <si>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</si>
  <si>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</si>
  <si>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</si>
  <si>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</si>
  <si>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</si>
  <si>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</si>
  <si>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</si>
  <si>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</si>
  <si>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</si>
  <si>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</si>
  <si>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</si>
  <si>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</si>
  <si>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</si>
  <si>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</si>
  <si>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</si>
  <si>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</si>
  <si>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</si>
  <si>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</si>
  <si>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</si>
  <si>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</si>
  <si>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</si>
  <si>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</si>
  <si>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</si>
  <si>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</si>
  <si>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</si>
  <si>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</si>
  <si>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</si>
  <si>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</si>
  <si>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</si>
  <si>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</si>
  <si>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</si>
  <si>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</si>
  <si>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</si>
  <si>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</si>
  <si>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</si>
  <si>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</si>
  <si>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</si>
  <si>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</si>
  <si>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</si>
  <si>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</si>
  <si>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</si>
  <si>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</si>
  <si>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</si>
  <si>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</si>
  <si>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</si>
  <si>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</si>
  <si>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</si>
  <si>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</si>
  <si>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</si>
  <si>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</si>
  <si>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</si>
  <si>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</si>
  <si>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</si>
  <si>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</si>
  <si>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</si>
  <si>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</si>
  <si>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</si>
  <si>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</si>
  <si>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</si>
  <si>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</si>
  <si>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</si>
  <si>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</si>
  <si>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</si>
  <si>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</si>
  <si>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</si>
  <si>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</si>
  <si>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</si>
  <si>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</si>
  <si>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</si>
  <si>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</si>
  <si>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</si>
  <si>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</si>
  <si>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</si>
  <si>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</si>
  <si>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</si>
  <si>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</si>
  <si>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</si>
  <si>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</si>
  <si>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</si>
  <si>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</si>
  <si>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</si>
  <si>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</si>
  <si>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</si>
  <si>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</si>
  <si>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</si>
  <si>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</si>
  <si>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</si>
  <si>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</si>
  <si>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</si>
  <si>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</si>
  <si>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</si>
  <si>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</si>
  <si>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</si>
  <si>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</si>
  <si>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</si>
  <si>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</si>
  <si>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</si>
  <si>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</si>
  <si>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</si>
  <si>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</si>
  <si>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</si>
  <si>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</si>
  <si>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</si>
  <si>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</si>
  <si>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</si>
  <si>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</si>
  <si>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</si>
  <si>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</si>
  <si>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</si>
  <si>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</si>
  <si>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</si>
  <si>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</si>
  <si>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</si>
  <si>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</si>
  <si>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</si>
  <si>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</si>
  <si>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</si>
  <si>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</si>
  <si>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</si>
  <si>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</si>
  <si>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</si>
  <si>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</si>
  <si>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</si>
  <si>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</si>
  <si>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</si>
  <si>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</si>
  <si>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</si>
  <si>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</si>
  <si>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</si>
  <si>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</si>
  <si>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</si>
  <si>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</si>
  <si>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</si>
  <si>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</si>
  <si>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</si>
  <si>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</si>
  <si>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</si>
  <si>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</si>
  <si>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</si>
  <si>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</si>
  <si>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</si>
  <si>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</si>
  <si>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</si>
  <si>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</si>
  <si>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</si>
  <si>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</si>
  <si>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</si>
  <si>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</si>
  <si>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</si>
  <si>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</si>
  <si>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</si>
  <si>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</si>
  <si>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</si>
  <si>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</si>
  <si>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</si>
  <si>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</si>
  <si>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</si>
  <si>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</si>
  <si>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</si>
  <si>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</si>
  <si>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</si>
  <si>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</si>
  <si>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</si>
  <si>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</si>
  <si>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</si>
  <si>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</si>
  <si>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</si>
  <si>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</si>
  <si>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</si>
  <si>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</si>
  <si>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</si>
  <si>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</si>
  <si>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</si>
  <si>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</si>
  <si>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</si>
  <si>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</si>
  <si>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</si>
  <si>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</si>
  <si>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</si>
  <si>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</si>
  <si>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</si>
  <si>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</si>
  <si>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</si>
  <si>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</si>
  <si>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</si>
  <si>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</si>
  <si>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</si>
  <si>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</si>
  <si>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</si>
  <si>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</si>
  <si>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</si>
  <si>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</si>
  <si>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</si>
  <si>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</si>
  <si>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</si>
  <si>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</si>
  <si>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</si>
  <si>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</si>
  <si>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</si>
  <si>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</si>
  <si>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</si>
  <si>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</si>
  <si>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</si>
  <si>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</si>
  <si>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</si>
  <si>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</si>
  <si>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</si>
  <si>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</si>
  <si>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</si>
  <si>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</si>
  <si>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</si>
  <si>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</si>
  <si>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</si>
  <si>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</si>
  <si>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</si>
  <si>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</si>
  <si>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</si>
  <si>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</si>
  <si>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</si>
  <si>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</si>
  <si>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</si>
  <si>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</si>
  <si>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</si>
  <si>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</si>
  <si>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</si>
  <si>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</si>
  <si>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</si>
  <si>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</si>
  <si>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</si>
  <si>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</si>
  <si>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</si>
  <si>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</si>
  <si>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</si>
  <si>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</si>
  <si>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</si>
  <si>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</si>
  <si>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</si>
  <si>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</si>
  <si>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</si>
  <si>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</si>
  <si>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</si>
  <si>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</si>
  <si>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</si>
  <si>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</si>
  <si>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</si>
  <si>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</si>
  <si>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</si>
  <si>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</si>
  <si>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</si>
  <si>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</si>
  <si>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</si>
  <si>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</si>
  <si>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</si>
  <si>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</si>
  <si>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</si>
  <si>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</si>
  <si>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</si>
  <si>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</si>
  <si>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</si>
  <si>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</si>
  <si>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</si>
  <si>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</si>
  <si>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</si>
  <si>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</si>
  <si>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</si>
  <si>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</si>
  <si>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</si>
  <si>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</si>
  <si>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</si>
  <si>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</si>
  <si>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</si>
  <si>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</si>
  <si>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</si>
  <si>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</si>
  <si>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</si>
  <si>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</si>
  <si>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</si>
  <si>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</si>
  <si>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</si>
  <si>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</si>
  <si>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</si>
  <si>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</si>
  <si>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</si>
  <si>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</si>
  <si>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</si>
  <si>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</si>
  <si>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</si>
  <si>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</si>
  <si>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</si>
  <si>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</si>
  <si>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</si>
  <si>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</si>
  <si>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</si>
  <si>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</si>
  <si>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</si>
  <si>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</si>
  <si>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</si>
  <si>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</si>
  <si>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</si>
  <si>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</si>
  <si>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</si>
  <si>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</si>
  <si>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</si>
  <si>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</si>
  <si>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</si>
  <si>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</si>
  <si>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</si>
  <si>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</si>
  <si>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</si>
  <si>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</si>
  <si>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</si>
  <si>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</si>
  <si>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</si>
  <si>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</si>
  <si>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</si>
  <si>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</si>
  <si>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</si>
  <si>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</si>
  <si>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</si>
  <si>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</si>
  <si>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</si>
  <si>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</si>
  <si>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</si>
  <si>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</si>
  <si>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</si>
  <si>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</si>
  <si>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</si>
  <si>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</si>
  <si>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</si>
  <si>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</si>
  <si>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</si>
  <si>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</si>
  <si>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</si>
  <si>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</si>
  <si>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</si>
  <si>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</si>
  <si>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</si>
  <si>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</si>
  <si>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</si>
  <si>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</si>
  <si>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</si>
  <si>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</si>
  <si>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</si>
  <si>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</si>
  <si>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</si>
  <si>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</si>
  <si>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</si>
  <si>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</si>
  <si>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</si>
  <si>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</si>
  <si>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</si>
  <si>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</si>
  <si>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</si>
  <si>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</si>
  <si>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</si>
  <si>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</si>
  <si>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</si>
  <si>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</si>
  <si>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</si>
  <si>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</si>
  <si>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</si>
  <si>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</si>
  <si>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</si>
  <si>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</si>
  <si>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</si>
  <si>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</si>
  <si>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</si>
  <si>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</si>
  <si>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</si>
  <si>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</si>
  <si>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</si>
  <si>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</si>
  <si>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</si>
  <si>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</si>
  <si>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</si>
  <si>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</si>
  <si>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</si>
  <si>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</si>
  <si>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</si>
  <si>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</si>
  <si>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</si>
  <si>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</si>
  <si>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</si>
  <si>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</si>
  <si>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</si>
  <si>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</si>
  <si>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</si>
  <si>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</si>
  <si>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</si>
  <si>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</si>
  <si>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</si>
  <si>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</si>
  <si>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</si>
  <si>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</si>
  <si>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</si>
  <si>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</si>
  <si>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</si>
  <si>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</si>
  <si>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</si>
  <si>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</si>
  <si>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</si>
  <si>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</si>
  <si>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</si>
  <si>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</si>
  <si>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</si>
  <si>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</si>
  <si>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</si>
  <si>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</si>
  <si>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</si>
  <si>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</si>
  <si>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</si>
  <si>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</si>
  <si>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</si>
  <si>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</si>
  <si>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</si>
  <si>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</si>
  <si>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</si>
  <si>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</si>
  <si>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</si>
  <si>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</si>
  <si>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</si>
  <si>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</si>
  <si>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</si>
  <si>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</si>
  <si>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</si>
  <si>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</si>
  <si>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</si>
  <si>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</si>
  <si>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</si>
  <si>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</si>
  <si>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</si>
  <si>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</si>
  <si>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</si>
  <si>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</si>
  <si>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</si>
  <si>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</si>
  <si>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</si>
  <si>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</si>
  <si>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</si>
  <si>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</si>
  <si>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</si>
  <si>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</si>
  <si>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</si>
  <si>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</si>
  <si>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</si>
  <si>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</si>
  <si>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</si>
  <si>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</si>
  <si>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</si>
  <si>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</si>
  <si>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</si>
  <si>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</si>
  <si>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</si>
  <si>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</si>
  <si>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</si>
  <si>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</si>
  <si>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</si>
  <si>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</si>
  <si>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</si>
  <si>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</si>
  <si>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</si>
  <si>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</si>
  <si>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</si>
  <si>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</si>
  <si>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</si>
  <si>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</si>
  <si>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</si>
  <si>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</si>
  <si>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</si>
  <si>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</si>
  <si>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</si>
  <si>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</si>
  <si>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</si>
  <si>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</si>
  <si>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</si>
  <si>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</si>
  <si>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</si>
  <si>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</si>
  <si>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</si>
  <si>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</si>
  <si>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</si>
  <si>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</si>
  <si>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</si>
  <si>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</si>
  <si>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</si>
  <si>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</si>
  <si>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</si>
  <si>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</si>
  <si>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</si>
  <si>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</si>
  <si>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</si>
  <si>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</si>
  <si>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</si>
  <si>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</si>
  <si>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</si>
  <si>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</si>
  <si>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</si>
  <si>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</si>
  <si>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</si>
  <si>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</si>
  <si>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</si>
  <si>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</si>
  <si>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</si>
  <si>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</si>
  <si>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</si>
  <si>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</si>
  <si>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</si>
  <si>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</si>
  <si>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</si>
  <si>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</si>
  <si>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</si>
  <si>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</si>
  <si>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</si>
  <si>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</si>
  <si>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</si>
  <si>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</si>
  <si>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</si>
  <si>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</si>
  <si>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</si>
  <si>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</si>
  <si>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</si>
  <si>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</si>
  <si>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</si>
  <si>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</si>
  <si>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</si>
  <si>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</si>
  <si>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</si>
  <si>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</si>
  <si>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</si>
  <si>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</si>
  <si>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</si>
  <si>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</si>
  <si>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</si>
  <si>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</si>
  <si>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</si>
  <si>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</si>
  <si>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</si>
  <si>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</si>
  <si>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</si>
  <si>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</si>
  <si>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</si>
  <si>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</si>
  <si>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</si>
  <si>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</si>
  <si>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</si>
  <si>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</si>
  <si>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</si>
  <si>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</si>
  <si>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</si>
  <si>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</si>
  <si>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</si>
  <si>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</si>
  <si>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</si>
  <si>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</si>
  <si>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</si>
  <si>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</si>
  <si>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</si>
  <si>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</si>
  <si>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</si>
  <si>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</si>
  <si>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</si>
  <si>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</si>
  <si>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</si>
  <si>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</si>
  <si>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</si>
  <si>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</si>
  <si>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</si>
  <si>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</si>
  <si>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</si>
  <si>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</si>
  <si>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</si>
  <si>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</si>
  <si>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</si>
  <si>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</si>
  <si>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</si>
  <si>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</si>
  <si>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</si>
  <si>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</si>
  <si>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</si>
  <si>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</si>
  <si>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</si>
  <si>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</si>
  <si>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</si>
  <si>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</si>
  <si>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</si>
  <si>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</si>
  <si>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</si>
  <si>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</si>
  <si>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</si>
  <si>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</si>
  <si>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</si>
  <si>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</si>
  <si>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</si>
  <si>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</si>
  <si>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</si>
  <si>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</si>
  <si>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</si>
  <si>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</si>
  <si>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</si>
  <si>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</si>
  <si>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</si>
  <si>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</si>
  <si>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</si>
  <si>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</si>
  <si>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</si>
  <si>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</si>
  <si>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</si>
  <si>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</si>
  <si>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</si>
  <si>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</si>
  <si>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</si>
  <si>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</si>
  <si>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</si>
  <si>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</si>
  <si>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</si>
  <si>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</si>
  <si>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</si>
  <si>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</si>
  <si>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</si>
  <si>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</si>
  <si>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</si>
  <si>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</si>
  <si>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</si>
  <si>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</si>
  <si>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</si>
  <si>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</si>
  <si>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</si>
  <si>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</si>
  <si>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</si>
  <si>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</si>
  <si>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</si>
  <si>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</si>
  <si>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</si>
  <si>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 xml:space="preserve">АГЕНТСТВО ПО ТАРИФАМ ПРИМОРСКОГО КРАЯ</t>
  </si>
  <si>
    <t>2540069025</t>
  </si>
  <si>
    <t>254001001</t>
  </si>
  <si>
    <t>26470028</t>
  </si>
  <si>
    <t xml:space="preserve">АО " Находкинский морской торговый порт"</t>
  </si>
  <si>
    <t>2508001449</t>
  </si>
  <si>
    <t>250801001</t>
  </si>
  <si>
    <t>26565199</t>
  </si>
  <si>
    <t xml:space="preserve">АО "Артемовская экспедиция"</t>
  </si>
  <si>
    <t>2502016255</t>
  </si>
  <si>
    <t>250201001</t>
  </si>
  <si>
    <t>26320264</t>
  </si>
  <si>
    <t xml:space="preserve">АО "Аскольд"</t>
  </si>
  <si>
    <t>2501001009</t>
  </si>
  <si>
    <t>250101001</t>
  </si>
  <si>
    <t xml:space="preserve">23-09-2021 00:00:00</t>
  </si>
  <si>
    <t>26470102</t>
  </si>
  <si>
    <t xml:space="preserve">АО "Горнорудная компания "АИР"</t>
  </si>
  <si>
    <t>2517005270</t>
  </si>
  <si>
    <t>254250001</t>
  </si>
  <si>
    <t>27051081</t>
  </si>
  <si>
    <t>997450001</t>
  </si>
  <si>
    <t xml:space="preserve">19-12-2005 00:00:00</t>
  </si>
  <si>
    <t>26759235</t>
  </si>
  <si>
    <t xml:space="preserve">АО "ДГК" филиал ЛуТЭК</t>
  </si>
  <si>
    <t>252602001</t>
  </si>
  <si>
    <t>26759238</t>
  </si>
  <si>
    <t xml:space="preserve">АО "ДГК" филиал Приморская генерация</t>
  </si>
  <si>
    <t>253602001</t>
  </si>
  <si>
    <t>26470018</t>
  </si>
  <si>
    <t xml:space="preserve">АО "Дальневосточный завод "Звезда"</t>
  </si>
  <si>
    <t>2503026908</t>
  </si>
  <si>
    <t>250301001</t>
  </si>
  <si>
    <t>26781662</t>
  </si>
  <si>
    <t xml:space="preserve">АО "Желдорреммаш" филиал "Уссурийский локомотиворемонтный завод"</t>
  </si>
  <si>
    <t>7715729877</t>
  </si>
  <si>
    <t>251143001</t>
  </si>
  <si>
    <t>26470114</t>
  </si>
  <si>
    <t xml:space="preserve">АО "Импульс"</t>
  </si>
  <si>
    <t>2528000926</t>
  </si>
  <si>
    <t>252801001</t>
  </si>
  <si>
    <t>26469962</t>
  </si>
  <si>
    <t xml:space="preserve">АО "Кислород"</t>
  </si>
  <si>
    <t>2511000090</t>
  </si>
  <si>
    <t>251101001</t>
  </si>
  <si>
    <t>28048296</t>
  </si>
  <si>
    <t xml:space="preserve">АО "Кузбассэнерго"</t>
  </si>
  <si>
    <t>4200000333</t>
  </si>
  <si>
    <t>420501001</t>
  </si>
  <si>
    <t xml:space="preserve">30-12-1993 00:00:00</t>
  </si>
  <si>
    <t>26538809</t>
  </si>
  <si>
    <t xml:space="preserve">АО "МАВ"</t>
  </si>
  <si>
    <t>2502035642</t>
  </si>
  <si>
    <t>28236659</t>
  </si>
  <si>
    <t xml:space="preserve">АО "Первая инвестиционная управляющая компания"</t>
  </si>
  <si>
    <t>2536236650</t>
  </si>
  <si>
    <t>253601001</t>
  </si>
  <si>
    <t>28445259</t>
  </si>
  <si>
    <t xml:space="preserve">АО "РАО ЭС Востока"</t>
  </si>
  <si>
    <t>2801133630</t>
  </si>
  <si>
    <t>272401001</t>
  </si>
  <si>
    <t xml:space="preserve">01-07-2008 00:00:00</t>
  </si>
  <si>
    <t>26470237</t>
  </si>
  <si>
    <t xml:space="preserve">АО "Спасcкцемент"</t>
  </si>
  <si>
    <t>2510001238</t>
  </si>
  <si>
    <t>251001001</t>
  </si>
  <si>
    <t xml:space="preserve">16-06-2010 00:00:00</t>
  </si>
  <si>
    <t>26470020</t>
  </si>
  <si>
    <t xml:space="preserve">АО "Теплоэнергетическая компания"</t>
  </si>
  <si>
    <t>2503025767</t>
  </si>
  <si>
    <t>26579122</t>
  </si>
  <si>
    <t xml:space="preserve">АО "Торговый порт п. Посьет"</t>
  </si>
  <si>
    <t>2531002070</t>
  </si>
  <si>
    <t>253101001</t>
  </si>
  <si>
    <t>31355473</t>
  </si>
  <si>
    <t xml:space="preserve">АО "Уссурийское предприятие тепловых сетей"</t>
  </si>
  <si>
    <t>2511111265</t>
  </si>
  <si>
    <t xml:space="preserve">12-11-2019 00:00:00</t>
  </si>
  <si>
    <t>31256016</t>
  </si>
  <si>
    <t xml:space="preserve">АО "ХСКР"</t>
  </si>
  <si>
    <t>7708550371</t>
  </si>
  <si>
    <t>770801001</t>
  </si>
  <si>
    <t>31338821</t>
  </si>
  <si>
    <t xml:space="preserve">АО «ДВЭУК-ГенерацияСети»</t>
  </si>
  <si>
    <t>2540252341</t>
  </si>
  <si>
    <t xml:space="preserve">26-08-2019 00:00:00</t>
  </si>
  <si>
    <t>27570862</t>
  </si>
  <si>
    <t xml:space="preserve">Вагонное ремонтное депо Ружино - обособленное структурное подразделение АО "Вагонная ремонтная компания-1"</t>
  </si>
  <si>
    <t>7708737490</t>
  </si>
  <si>
    <t>250745001</t>
  </si>
  <si>
    <t>28453818</t>
  </si>
  <si>
    <t xml:space="preserve">Войсковая часть 16662</t>
  </si>
  <si>
    <t>2511015385</t>
  </si>
  <si>
    <t>30917721</t>
  </si>
  <si>
    <t xml:space="preserve">ГБУ "ХОЗУ"</t>
  </si>
  <si>
    <t>2540016993</t>
  </si>
  <si>
    <t>30365088</t>
  </si>
  <si>
    <t xml:space="preserve">ГБУЗ "Приморский краевой противотуберкулезный диспансер"</t>
  </si>
  <si>
    <t>2539009991</t>
  </si>
  <si>
    <t>253900101</t>
  </si>
  <si>
    <t>26783544</t>
  </si>
  <si>
    <t xml:space="preserve">Дальневосточная региональная дирекция железнодорожных вокзалов</t>
  </si>
  <si>
    <t>7708503727</t>
  </si>
  <si>
    <t>257650001</t>
  </si>
  <si>
    <t>26512635</t>
  </si>
  <si>
    <t xml:space="preserve">Дирекция по тепловодоснабжению - структурное подразделение ДВЖД - филиала  ОАО "РЖД"</t>
  </si>
  <si>
    <t>272445002</t>
  </si>
  <si>
    <t>27665559</t>
  </si>
  <si>
    <t xml:space="preserve">ЗАО "АПП "Полтавка"</t>
  </si>
  <si>
    <t>2522050053</t>
  </si>
  <si>
    <t>252201001</t>
  </si>
  <si>
    <t xml:space="preserve">12-05-2025 00:00:00</t>
  </si>
  <si>
    <t>31257634</t>
  </si>
  <si>
    <t xml:space="preserve">ЗАО "Востокбункер"</t>
  </si>
  <si>
    <t>2531004127</t>
  </si>
  <si>
    <t xml:space="preserve">04-11-2002 00:00:00</t>
  </si>
  <si>
    <t>28028907</t>
  </si>
  <si>
    <t xml:space="preserve">ЗАО "Рыболовецкий колхоз "Восток-1"</t>
  </si>
  <si>
    <t>2536010639</t>
  </si>
  <si>
    <t>26469936</t>
  </si>
  <si>
    <t xml:space="preserve">ЗАО "Тихоокеанская мостостроительная компания"</t>
  </si>
  <si>
    <t>2511024037</t>
  </si>
  <si>
    <t xml:space="preserve">26-03-2025 00:00:00</t>
  </si>
  <si>
    <t>31598773</t>
  </si>
  <si>
    <t xml:space="preserve">ИП Колегов Е.В.</t>
  </si>
  <si>
    <t>251100718700</t>
  </si>
  <si>
    <t xml:space="preserve">20-03-2008 00:00:00</t>
  </si>
  <si>
    <t>26469944</t>
  </si>
  <si>
    <t xml:space="preserve">КГАУСО "УРЦ"</t>
  </si>
  <si>
    <t>2511014430</t>
  </si>
  <si>
    <t>26469984</t>
  </si>
  <si>
    <t xml:space="preserve">КГБУ СО "Партизанский психоневрологический интернат"</t>
  </si>
  <si>
    <t>2509003784</t>
  </si>
  <si>
    <t>250901001</t>
  </si>
  <si>
    <t xml:space="preserve">14-03-1975 00:00:00</t>
  </si>
  <si>
    <t>26470070</t>
  </si>
  <si>
    <t xml:space="preserve">КГБУ СО «Покровский психоневрологический интернат»</t>
  </si>
  <si>
    <t>2522010501</t>
  </si>
  <si>
    <t>30840452</t>
  </si>
  <si>
    <t xml:space="preserve">КГБУЗ МЦ "Резерв"</t>
  </si>
  <si>
    <t>2521002258</t>
  </si>
  <si>
    <t>252101001</t>
  </si>
  <si>
    <t>31037796</t>
  </si>
  <si>
    <t xml:space="preserve">КГБУСО "Липовецкий ПНИ"</t>
  </si>
  <si>
    <t>2522010741</t>
  </si>
  <si>
    <t>26896946</t>
  </si>
  <si>
    <t xml:space="preserve">КГОБУ "Приморская спецшкола"</t>
  </si>
  <si>
    <t>2511016149</t>
  </si>
  <si>
    <t>26469914</t>
  </si>
  <si>
    <t xml:space="preserve">КГУП "Приморский экологический оператор"</t>
  </si>
  <si>
    <t>2504000885</t>
  </si>
  <si>
    <t>253801001</t>
  </si>
  <si>
    <t>26470185</t>
  </si>
  <si>
    <t xml:space="preserve">КГУП "Примтеплоэнерго"</t>
  </si>
  <si>
    <t>2536112729</t>
  </si>
  <si>
    <t>31503620</t>
  </si>
  <si>
    <t xml:space="preserve">МБУ "СКС"</t>
  </si>
  <si>
    <t>2502064403</t>
  </si>
  <si>
    <t xml:space="preserve">26-03-2021 00:00:00</t>
  </si>
  <si>
    <t>26470004</t>
  </si>
  <si>
    <t xml:space="preserve">МУП  " Теплоэнерго Черниговское"</t>
  </si>
  <si>
    <t>2533009804</t>
  </si>
  <si>
    <t>253301001</t>
  </si>
  <si>
    <t>28957242</t>
  </si>
  <si>
    <t xml:space="preserve">МУП "Городское хозяйство"</t>
  </si>
  <si>
    <t>2503031369</t>
  </si>
  <si>
    <t>30367458</t>
  </si>
  <si>
    <t xml:space="preserve">МУП "ЖКХ Ханкайского района"</t>
  </si>
  <si>
    <t>2530008552</t>
  </si>
  <si>
    <t>253001001</t>
  </si>
  <si>
    <t>26470110</t>
  </si>
  <si>
    <t xml:space="preserve">МУП "Коммунальный комплекс Пластун"</t>
  </si>
  <si>
    <t>2528885436</t>
  </si>
  <si>
    <t>26470106</t>
  </si>
  <si>
    <t xml:space="preserve">МУП "Коммунальный комплекс п. Терней"</t>
  </si>
  <si>
    <t>2528886091</t>
  </si>
  <si>
    <t>28236671</t>
  </si>
  <si>
    <t xml:space="preserve">МУП "Кристалл"</t>
  </si>
  <si>
    <t>2516000270</t>
  </si>
  <si>
    <t>251601001</t>
  </si>
  <si>
    <t>26469970</t>
  </si>
  <si>
    <t xml:space="preserve">МУП "Уссурийск-Водоканал"</t>
  </si>
  <si>
    <t>2511040110</t>
  </si>
  <si>
    <t>28870695</t>
  </si>
  <si>
    <t xml:space="preserve">МУП ВКХ "Сибирцевское"</t>
  </si>
  <si>
    <t>2533010670</t>
  </si>
  <si>
    <t>30367433</t>
  </si>
  <si>
    <t xml:space="preserve">МУП Пожарского МР "Лидер"</t>
  </si>
  <si>
    <t>2526011560</t>
  </si>
  <si>
    <t>252601001</t>
  </si>
  <si>
    <t>26320288</t>
  </si>
  <si>
    <t xml:space="preserve">МУПВ "ВПЭС"</t>
  </si>
  <si>
    <t>2504000684</t>
  </si>
  <si>
    <t>28870593</t>
  </si>
  <si>
    <t xml:space="preserve">Михайловское РАЙПО</t>
  </si>
  <si>
    <t>2520007310</t>
  </si>
  <si>
    <t>252001001</t>
  </si>
  <si>
    <t>27572835</t>
  </si>
  <si>
    <t xml:space="preserve">ОАО "178 СРЗ"</t>
  </si>
  <si>
    <t>2536210349</t>
  </si>
  <si>
    <t>26469916</t>
  </si>
  <si>
    <t xml:space="preserve">ОАО "Владивостокский морской рыбный порт"</t>
  </si>
  <si>
    <t>2537009770</t>
  </si>
  <si>
    <t>253701001</t>
  </si>
  <si>
    <t>27630255</t>
  </si>
  <si>
    <t xml:space="preserve">ОАО "ДГК" СП Владивостокская ТЭЦ-2</t>
  </si>
  <si>
    <t>253632001</t>
  </si>
  <si>
    <t>27572850</t>
  </si>
  <si>
    <t xml:space="preserve">ОАО "Дальприбор"</t>
  </si>
  <si>
    <t>2539008807</t>
  </si>
  <si>
    <t>253901001</t>
  </si>
  <si>
    <t>27572819</t>
  </si>
  <si>
    <t xml:space="preserve">ОАО "Изумруд"</t>
  </si>
  <si>
    <t>2539028264</t>
  </si>
  <si>
    <t>26930742</t>
  </si>
  <si>
    <t xml:space="preserve">ОАО "Российские железные дороги"</t>
  </si>
  <si>
    <t>272131009</t>
  </si>
  <si>
    <t>26470108</t>
  </si>
  <si>
    <t xml:space="preserve">ОАО "Тернейлес"</t>
  </si>
  <si>
    <t>2528000813</t>
  </si>
  <si>
    <t>28870656</t>
  </si>
  <si>
    <t xml:space="preserve">ООО "АИТ"</t>
  </si>
  <si>
    <t>7743816842</t>
  </si>
  <si>
    <t>31037792</t>
  </si>
  <si>
    <t xml:space="preserve">ООО "Автомобильный переход Краскино"</t>
  </si>
  <si>
    <t>2531008210</t>
  </si>
  <si>
    <t>28870716</t>
  </si>
  <si>
    <t xml:space="preserve">ООО "БМК"</t>
  </si>
  <si>
    <t>2508115950</t>
  </si>
  <si>
    <t>27572866</t>
  </si>
  <si>
    <t xml:space="preserve">ООО "ВОЭРМЗ"</t>
  </si>
  <si>
    <t>2538125339</t>
  </si>
  <si>
    <t>30893385</t>
  </si>
  <si>
    <t xml:space="preserve">ООО "Водэкон"</t>
  </si>
  <si>
    <t>2524001189</t>
  </si>
  <si>
    <t>252401001</t>
  </si>
  <si>
    <t xml:space="preserve">07-12-2016 00:00:00</t>
  </si>
  <si>
    <t>31594636</t>
  </si>
  <si>
    <t xml:space="preserve">ООО "Восток Сервис Бункер"</t>
  </si>
  <si>
    <t>2508133131</t>
  </si>
  <si>
    <t xml:space="preserve">03-05-2018 00:00:00</t>
  </si>
  <si>
    <t>31519396</t>
  </si>
  <si>
    <t xml:space="preserve">ООО "Гранд"</t>
  </si>
  <si>
    <t>2508092767</t>
  </si>
  <si>
    <t xml:space="preserve">17-09-2021 00:00:00</t>
  </si>
  <si>
    <t>30840423</t>
  </si>
  <si>
    <t xml:space="preserve">ООО "Дальнегорский ГОК"</t>
  </si>
  <si>
    <t>7718957575</t>
  </si>
  <si>
    <t>250501001</t>
  </si>
  <si>
    <t>26470078</t>
  </si>
  <si>
    <t xml:space="preserve">ООО "ЖЭУ Волчанец"</t>
  </si>
  <si>
    <t>2524112107</t>
  </si>
  <si>
    <t>30840445</t>
  </si>
  <si>
    <t xml:space="preserve">ООО "Живая Планета"</t>
  </si>
  <si>
    <t>2543000215</t>
  </si>
  <si>
    <t>26470076</t>
  </si>
  <si>
    <t xml:space="preserve">ООО "Жилищно-коммунальное хозяйство"</t>
  </si>
  <si>
    <t>2524111706</t>
  </si>
  <si>
    <t>31451915</t>
  </si>
  <si>
    <t xml:space="preserve">ООО "ИКС поселок Новый"</t>
  </si>
  <si>
    <t>2521016606</t>
  </si>
  <si>
    <t xml:space="preserve">19-11-2020 00:00:00</t>
  </si>
  <si>
    <t>31351347</t>
  </si>
  <si>
    <t xml:space="preserve">ООО "ИКС-Фокино"</t>
  </si>
  <si>
    <t>2537139561</t>
  </si>
  <si>
    <t>251201001</t>
  </si>
  <si>
    <t xml:space="preserve">19-02-2019 00:00:00</t>
  </si>
  <si>
    <t>26762798</t>
  </si>
  <si>
    <t xml:space="preserve">ООО "Луч"</t>
  </si>
  <si>
    <t>2524003651</t>
  </si>
  <si>
    <t>26771757</t>
  </si>
  <si>
    <t xml:space="preserve">ООО "Мик Восток"</t>
  </si>
  <si>
    <t>2524002263</t>
  </si>
  <si>
    <t>31718156</t>
  </si>
  <si>
    <t xml:space="preserve">ООО "Новая Энергетика"</t>
  </si>
  <si>
    <t>2543168948</t>
  </si>
  <si>
    <t>254301001</t>
  </si>
  <si>
    <t>28870645</t>
  </si>
  <si>
    <t xml:space="preserve">ООО "Приграничье"</t>
  </si>
  <si>
    <t>2536152619</t>
  </si>
  <si>
    <t>29649591</t>
  </si>
  <si>
    <t xml:space="preserve">ООО "Приморская соя"</t>
  </si>
  <si>
    <t>7730168471</t>
  </si>
  <si>
    <t>26544267</t>
  </si>
  <si>
    <t xml:space="preserve">ООО "РН-Морской терминал Находка"</t>
  </si>
  <si>
    <t>2508070844</t>
  </si>
  <si>
    <t>26416221</t>
  </si>
  <si>
    <t xml:space="preserve">ООО "РН-Энерго"</t>
  </si>
  <si>
    <t>7706525041</t>
  </si>
  <si>
    <t>997650001</t>
  </si>
  <si>
    <t xml:space="preserve">02-05-2012 00:00:00</t>
  </si>
  <si>
    <t>31542883</t>
  </si>
  <si>
    <t xml:space="preserve">ООО "ССК "Звезда"</t>
  </si>
  <si>
    <t>2503032517</t>
  </si>
  <si>
    <t xml:space="preserve">17-12-2015 00:00:00</t>
  </si>
  <si>
    <t>31409366</t>
  </si>
  <si>
    <t xml:space="preserve">ООО "СУМ БАСКО"</t>
  </si>
  <si>
    <t>2539114604</t>
  </si>
  <si>
    <t>26469994</t>
  </si>
  <si>
    <t xml:space="preserve">ООО "Санаторий "Амурский залив"</t>
  </si>
  <si>
    <t>2539042519</t>
  </si>
  <si>
    <t xml:space="preserve">08-09-1999 00:00:00</t>
  </si>
  <si>
    <t>28870724</t>
  </si>
  <si>
    <t xml:space="preserve">ООО "Спасскэнергия"</t>
  </si>
  <si>
    <t>2510013402</t>
  </si>
  <si>
    <t>26469942</t>
  </si>
  <si>
    <t xml:space="preserve">ООО "Сталкер"</t>
  </si>
  <si>
    <t>2511034892</t>
  </si>
  <si>
    <t>26470092</t>
  </si>
  <si>
    <t xml:space="preserve">ООО "ТТП НЛХ Бикин"</t>
  </si>
  <si>
    <t>2526008126</t>
  </si>
  <si>
    <t>28028705</t>
  </si>
  <si>
    <t xml:space="preserve">ООО "Техстройдом"</t>
  </si>
  <si>
    <t>2508079526</t>
  </si>
  <si>
    <t>26759412</t>
  </si>
  <si>
    <t xml:space="preserve">ООО "Транснефть - порт Козьмино"</t>
  </si>
  <si>
    <t>2508081814</t>
  </si>
  <si>
    <t>26525181</t>
  </si>
  <si>
    <t xml:space="preserve">ООО "УК ПВЭСиК"</t>
  </si>
  <si>
    <t>2526007193</t>
  </si>
  <si>
    <t>26573160</t>
  </si>
  <si>
    <t xml:space="preserve">ООО "Управляющая Компания "ТЭК Арсеньев"</t>
  </si>
  <si>
    <t>2501014449</t>
  </si>
  <si>
    <t>30985360</t>
  </si>
  <si>
    <t xml:space="preserve">ООО "Хасантепло"</t>
  </si>
  <si>
    <t>2531012946</t>
  </si>
  <si>
    <t>28856110</t>
  </si>
  <si>
    <t xml:space="preserve">ООО "Цефей"</t>
  </si>
  <si>
    <t>2517010802</t>
  </si>
  <si>
    <t>251701001</t>
  </si>
  <si>
    <t>28870666</t>
  </si>
  <si>
    <t xml:space="preserve">ООО "Энергия"</t>
  </si>
  <si>
    <t>2536273740</t>
  </si>
  <si>
    <t>30858864</t>
  </si>
  <si>
    <t xml:space="preserve">ООО "Энергокомплекс"</t>
  </si>
  <si>
    <t>2536297036</t>
  </si>
  <si>
    <t>26649772</t>
  </si>
  <si>
    <t xml:space="preserve">ООО «А-ЛИСА»</t>
  </si>
  <si>
    <t>2531002320</t>
  </si>
  <si>
    <t xml:space="preserve">14-06-2006 00:00:00</t>
  </si>
  <si>
    <t>26649796</t>
  </si>
  <si>
    <t xml:space="preserve">ООО «Абсолют-Сервис»</t>
  </si>
  <si>
    <t>2506010617</t>
  </si>
  <si>
    <t>250601001</t>
  </si>
  <si>
    <t>30856884</t>
  </si>
  <si>
    <t xml:space="preserve">ООО НПП "ВЛАДПОРТБУНКЕР"</t>
  </si>
  <si>
    <t>2540016136</t>
  </si>
  <si>
    <t>27572997</t>
  </si>
  <si>
    <t xml:space="preserve">ПАО "Владивостокский морской торговый порт"</t>
  </si>
  <si>
    <t>2504000204</t>
  </si>
  <si>
    <t>26649737</t>
  </si>
  <si>
    <t xml:space="preserve">ПАО "Находкинский судоремонтный завод"</t>
  </si>
  <si>
    <t>2508001431</t>
  </si>
  <si>
    <t>31207123</t>
  </si>
  <si>
    <t xml:space="preserve">ПАО "РусГидро"</t>
  </si>
  <si>
    <t>2460066195</t>
  </si>
  <si>
    <t>246601001</t>
  </si>
  <si>
    <t xml:space="preserve">16-10-2018 00:00:00</t>
  </si>
  <si>
    <t>26771730</t>
  </si>
  <si>
    <t xml:space="preserve">ПСМК "Энергия"</t>
  </si>
  <si>
    <t>2517001244</t>
  </si>
  <si>
    <t xml:space="preserve">27-08-2009 00:00:00</t>
  </si>
  <si>
    <t>30795400</t>
  </si>
  <si>
    <t xml:space="preserve">Пограничное управление ФСБ РФ по Приморскому краю</t>
  </si>
  <si>
    <t>2536164734</t>
  </si>
  <si>
    <t xml:space="preserve">27-12-2005 00:00:00</t>
  </si>
  <si>
    <t>30365083</t>
  </si>
  <si>
    <t xml:space="preserve">Седьмой отдельный авиационный отряд ФСБ РФ</t>
  </si>
  <si>
    <t>7702232171</t>
  </si>
  <si>
    <t>253902001</t>
  </si>
  <si>
    <t>26469990</t>
  </si>
  <si>
    <t xml:space="preserve">Управление Федеральной службы безопасности по Приморскому краю</t>
  </si>
  <si>
    <t>2540012484</t>
  </si>
  <si>
    <t>26783549</t>
  </si>
  <si>
    <t xml:space="preserve">Уссурийская дистанция гражданских сооружений</t>
  </si>
  <si>
    <t>252102001</t>
  </si>
  <si>
    <t>26469924</t>
  </si>
  <si>
    <t xml:space="preserve">ФГБОУ "Всероссийский детский центр "Океан"</t>
  </si>
  <si>
    <t>2539009984</t>
  </si>
  <si>
    <t>30926365</t>
  </si>
  <si>
    <t xml:space="preserve">ФГБУ «ЦЖКУ» МО РФ (Филиал ФГБУ «ЦЖКУ» МО РФ по ВВО)</t>
  </si>
  <si>
    <t>7729314745</t>
  </si>
  <si>
    <t>272443001</t>
  </si>
  <si>
    <t xml:space="preserve">20-03-2017 00:00:00</t>
  </si>
  <si>
    <t>31281395</t>
  </si>
  <si>
    <t xml:space="preserve">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</si>
  <si>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</si>
  <si>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</si>
  <si>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 xml:space="preserve">ФГКУ "Войсковая часть 2430"</t>
  </si>
  <si>
    <t>2538143578</t>
  </si>
  <si>
    <t>28945519</t>
  </si>
  <si>
    <t xml:space="preserve">ФГКУ "Доблесть"</t>
  </si>
  <si>
    <t>2521002240</t>
  </si>
  <si>
    <t>26470124</t>
  </si>
  <si>
    <t xml:space="preserve">ФКУ ИК-20 ГУФСИН России по Приморскому краю</t>
  </si>
  <si>
    <t>2502025612</t>
  </si>
  <si>
    <t>26650028</t>
  </si>
  <si>
    <t xml:space="preserve">ФКУ ИК-31 ГУФСИН России по Приморскому краю</t>
  </si>
  <si>
    <t>2534005496</t>
  </si>
  <si>
    <t>253401001</t>
  </si>
  <si>
    <t>26469988</t>
  </si>
  <si>
    <t xml:space="preserve">ФКУ ИК-33 ГУФСИН России по Приморскому краю</t>
  </si>
  <si>
    <t>2510001220</t>
  </si>
  <si>
    <t>26469968</t>
  </si>
  <si>
    <t xml:space="preserve">ФКУ ИК-41 ГУФСИН России по Приморскому краю</t>
  </si>
  <si>
    <t>2511002241</t>
  </si>
  <si>
    <t>26649748</t>
  </si>
  <si>
    <t xml:space="preserve">ФКУ КП-49 ГУФСИН России по Приморскому краю</t>
  </si>
  <si>
    <t>2538023601</t>
  </si>
  <si>
    <t>26469954</t>
  </si>
  <si>
    <t xml:space="preserve">ФКУ СИЗО-2 ГУФСИН по Приморскому краю</t>
  </si>
  <si>
    <t>2511034638</t>
  </si>
  <si>
    <t>26771741</t>
  </si>
  <si>
    <t xml:space="preserve">ФКУЗ "Приморская противочумная станция" Роспотребнадзора</t>
  </si>
  <si>
    <t>2511010429</t>
  </si>
  <si>
    <t>28508071</t>
  </si>
  <si>
    <t xml:space="preserve">ФКУЗ Санаторий "Приморье"</t>
  </si>
  <si>
    <t>2539011630</t>
  </si>
  <si>
    <t>27294665</t>
  </si>
  <si>
    <t xml:space="preserve">Филиал "Приморский" АО "Оборонэнерго"</t>
  </si>
  <si>
    <t>7704726225</t>
  </si>
  <si>
    <t>253643001</t>
  </si>
  <si>
    <t>27570707</t>
  </si>
  <si>
    <t xml:space="preserve">ооо Жилком-2</t>
  </si>
  <si>
    <t>2507229507</t>
  </si>
  <si>
    <t>250701001</t>
  </si>
  <si>
    <t>28427651</t>
  </si>
  <si>
    <t xml:space="preserve">фгку "Войсковая часть 83417"</t>
  </si>
  <si>
    <t>2503006098</t>
  </si>
  <si>
    <t>27568569</t>
  </si>
  <si>
    <t xml:space="preserve">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</si>
  <si>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</si>
  <si>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</si>
  <si>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</si>
  <si>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</si>
  <si>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</si>
  <si>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</si>
  <si>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</si>
  <si>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</si>
  <si>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</si>
  <si>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</si>
  <si>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</si>
  <si>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</si>
  <si>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</si>
  <si>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</si>
  <si>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</si>
  <si>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</si>
  <si>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</si>
  <si>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</si>
  <si>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 xml:space="preserve">КГУП Примтеплоэнерго</t>
  </si>
  <si>
    <t>253345002</t>
  </si>
  <si>
    <t>26320278</t>
  </si>
  <si>
    <t xml:space="preserve">АО "Коммунэлектросервис"</t>
  </si>
  <si>
    <t>2505010540</t>
  </si>
  <si>
    <t xml:space="preserve">26-06-2006 00:00:00</t>
  </si>
  <si>
    <t>31504049</t>
  </si>
  <si>
    <t xml:space="preserve">АО "РК "Новый Мир"</t>
  </si>
  <si>
    <t>2503023449</t>
  </si>
  <si>
    <t xml:space="preserve">19-03-2018 00:00:00</t>
  </si>
  <si>
    <t>28061906</t>
  </si>
  <si>
    <t xml:space="preserve">АО "Терминал Владивосток"</t>
  </si>
  <si>
    <t>2502039781</t>
  </si>
  <si>
    <t>26319157</t>
  </si>
  <si>
    <t xml:space="preserve">АО "Электросервис"</t>
  </si>
  <si>
    <t>2507003122</t>
  </si>
  <si>
    <t xml:space="preserve">22-04-1996 00:00:00</t>
  </si>
  <si>
    <t>27833495</t>
  </si>
  <si>
    <t xml:space="preserve">Войсковая часть 01153</t>
  </si>
  <si>
    <t>2720040610</t>
  </si>
  <si>
    <t>250343001</t>
  </si>
  <si>
    <t>26579991</t>
  </si>
  <si>
    <t>ЖКХ-Раздольное</t>
  </si>
  <si>
    <t>2521011157</t>
  </si>
  <si>
    <t xml:space="preserve">04-02-2025 00:00:00</t>
  </si>
  <si>
    <t>31709472</t>
  </si>
  <si>
    <t xml:space="preserve">ИП Волков Виктор Николаевич</t>
  </si>
  <si>
    <t>252200300595</t>
  </si>
  <si>
    <t>31257979</t>
  </si>
  <si>
    <t xml:space="preserve">ИП Коротков Н.А.</t>
  </si>
  <si>
    <t>250302760157</t>
  </si>
  <si>
    <t>31362500</t>
  </si>
  <si>
    <t xml:space="preserve">Индивидуальный предприниматель Клемба Дмитрий Иванович</t>
  </si>
  <si>
    <t>251702060578</t>
  </si>
  <si>
    <t>30427809</t>
  </si>
  <si>
    <t>250202002</t>
  </si>
  <si>
    <t>30427796</t>
  </si>
  <si>
    <t>251043001</t>
  </si>
  <si>
    <t>26470203</t>
  </si>
  <si>
    <t xml:space="preserve">КГУП Приморский водоканал</t>
  </si>
  <si>
    <t>2503022413</t>
  </si>
  <si>
    <t>26470371</t>
  </si>
  <si>
    <t>250301002</t>
  </si>
  <si>
    <t>26470519</t>
  </si>
  <si>
    <t>251043002</t>
  </si>
  <si>
    <t>31614878</t>
  </si>
  <si>
    <t xml:space="preserve">МБУ ЛГО "Жилищно-коммунальное хозяйство и благоустройство"</t>
  </si>
  <si>
    <t>2511118503</t>
  </si>
  <si>
    <t>31835236</t>
  </si>
  <si>
    <t xml:space="preserve">МБУ ЛМО "Городское ЖКХ"</t>
  </si>
  <si>
    <t>2511130300</t>
  </si>
  <si>
    <t xml:space="preserve">21-11-2024 00:00:00</t>
  </si>
  <si>
    <t>31026482</t>
  </si>
  <si>
    <t xml:space="preserve">МКП «Районное хозяйственное управление» Партизанского МО</t>
  </si>
  <si>
    <t>2524001365</t>
  </si>
  <si>
    <t>31255287</t>
  </si>
  <si>
    <t xml:space="preserve">МКУ "АХОЗУ ДМР"</t>
  </si>
  <si>
    <t>2506010840</t>
  </si>
  <si>
    <t>31387103</t>
  </si>
  <si>
    <t xml:space="preserve">МКУ "ЖКХ"Спасский"</t>
  </si>
  <si>
    <t>2510014269</t>
  </si>
  <si>
    <t>31026491</t>
  </si>
  <si>
    <t xml:space="preserve">МКУ "Служба благоустройства Черниговского муниципального округа"</t>
  </si>
  <si>
    <t>2533010052</t>
  </si>
  <si>
    <t>31027638</t>
  </si>
  <si>
    <t xml:space="preserve">МКУ "Хозяйственное управление администрации Пограничного МР"</t>
  </si>
  <si>
    <t>2525001086</t>
  </si>
  <si>
    <t>252501001</t>
  </si>
  <si>
    <t>27321197</t>
  </si>
  <si>
    <t xml:space="preserve">МП "Родник"</t>
  </si>
  <si>
    <t>2510010049</t>
  </si>
  <si>
    <t>30866932</t>
  </si>
  <si>
    <t xml:space="preserve">МУП "АкваСервис"</t>
  </si>
  <si>
    <t>2507012180</t>
  </si>
  <si>
    <t xml:space="preserve">13-05-2016 00:00:00</t>
  </si>
  <si>
    <t>30367424</t>
  </si>
  <si>
    <t xml:space="preserve">МУП "Анучинское ЖКХ"</t>
  </si>
  <si>
    <t>2513004893</t>
  </si>
  <si>
    <t>251301001</t>
  </si>
  <si>
    <t>31503896</t>
  </si>
  <si>
    <t xml:space="preserve">МУП "Водоканал" Горноключевского ГП</t>
  </si>
  <si>
    <t>2511115975</t>
  </si>
  <si>
    <t xml:space="preserve">23-06-2021 00:00:00</t>
  </si>
  <si>
    <t>31615982</t>
  </si>
  <si>
    <t xml:space="preserve">МУП "Водопроводные сети"</t>
  </si>
  <si>
    <t>2511118750</t>
  </si>
  <si>
    <t xml:space="preserve">09-09-2022 00:00:00</t>
  </si>
  <si>
    <t>26470327</t>
  </si>
  <si>
    <t xml:space="preserve">МУП "Покровское"</t>
  </si>
  <si>
    <t>2522000158</t>
  </si>
  <si>
    <t>30866926</t>
  </si>
  <si>
    <t xml:space="preserve">МУП "СЛАВЯНКА-ВОДОКАНАЛ"</t>
  </si>
  <si>
    <t>2531012777</t>
  </si>
  <si>
    <t xml:space="preserve">21-09-2016 00:00:00</t>
  </si>
  <si>
    <t>31541606</t>
  </si>
  <si>
    <t xml:space="preserve">МУП "СУЧАНСКИЙ ВОДОКАНАЛ"</t>
  </si>
  <si>
    <t>2509049700</t>
  </si>
  <si>
    <t xml:space="preserve">03-07-2007 00:00:00</t>
  </si>
  <si>
    <t>26470269</t>
  </si>
  <si>
    <t xml:space="preserve">МУП «Погранводовод»</t>
  </si>
  <si>
    <t>2525000685</t>
  </si>
  <si>
    <t>31027543</t>
  </si>
  <si>
    <t xml:space="preserve">МУП Зарубинского ГП "Зарубино-ДВ"</t>
  </si>
  <si>
    <t>2531012880</t>
  </si>
  <si>
    <t>31350465</t>
  </si>
  <si>
    <t xml:space="preserve">МУП ЛГО "Коммунальное хозяйство"</t>
  </si>
  <si>
    <t>2507012960</t>
  </si>
  <si>
    <t>26470265</t>
  </si>
  <si>
    <t xml:space="preserve">МУП Находка-Водоканал</t>
  </si>
  <si>
    <t>2508058565</t>
  </si>
  <si>
    <t>26470207</t>
  </si>
  <si>
    <t xml:space="preserve">МУП Ружинское предприятие водоснабжения и водоотведения</t>
  </si>
  <si>
    <t>2507011758</t>
  </si>
  <si>
    <t>26813404</t>
  </si>
  <si>
    <t xml:space="preserve">ОАО "ДГК" СП Партизанская ГРЭС</t>
  </si>
  <si>
    <t>250932001</t>
  </si>
  <si>
    <t>30391734</t>
  </si>
  <si>
    <t xml:space="preserve">ОАО "Морепродукт"</t>
  </si>
  <si>
    <t>2508037928</t>
  </si>
  <si>
    <t>31739705</t>
  </si>
  <si>
    <t xml:space="preserve">ОБЩЕСТВО С ОГРАНИЧЕННОЙ ОТВЕТСТВЕННОСТЬЮ "ПРИМВОДОКАНАЛ"</t>
  </si>
  <si>
    <t>2511126800</t>
  </si>
  <si>
    <t xml:space="preserve">16-01-2024 00:00:00</t>
  </si>
  <si>
    <t>31739692</t>
  </si>
  <si>
    <t xml:space="preserve">ОБЩЕСТВО С ОГРАНИЧЕННОЙ ОТВЕТСТВЕННОСТЬЮ "СПЕЦРЕСУРС"</t>
  </si>
  <si>
    <t>2536341503</t>
  </si>
  <si>
    <t xml:space="preserve">06-10-2023 00:00:00</t>
  </si>
  <si>
    <t>31369165</t>
  </si>
  <si>
    <t xml:space="preserve">ООО "Акватико"</t>
  </si>
  <si>
    <t>2501018115</t>
  </si>
  <si>
    <t xml:space="preserve">18-01-2016 00:00:00</t>
  </si>
  <si>
    <t>28955244</t>
  </si>
  <si>
    <t xml:space="preserve">ООО "ВОСТОК"</t>
  </si>
  <si>
    <t>2523004660</t>
  </si>
  <si>
    <t>252301001</t>
  </si>
  <si>
    <t>31600940</t>
  </si>
  <si>
    <t xml:space="preserve">ООО "Водоканал Арсеньев"</t>
  </si>
  <si>
    <t>2502067683</t>
  </si>
  <si>
    <t xml:space="preserve">04-04-2022 00:00:00</t>
  </si>
  <si>
    <t>26777497</t>
  </si>
  <si>
    <t xml:space="preserve">ООО "Водоканал"</t>
  </si>
  <si>
    <t>2503017646</t>
  </si>
  <si>
    <t>26470347</t>
  </si>
  <si>
    <t xml:space="preserve">ООО "Водоканал-Сервис"</t>
  </si>
  <si>
    <t>2535004287</t>
  </si>
  <si>
    <t>253501001</t>
  </si>
  <si>
    <t>26470549</t>
  </si>
  <si>
    <t xml:space="preserve">ООО "Водолей"</t>
  </si>
  <si>
    <t>2534006059</t>
  </si>
  <si>
    <t>31161519</t>
  </si>
  <si>
    <t xml:space="preserve">ООО "Водоресурс"</t>
  </si>
  <si>
    <t>2507012832</t>
  </si>
  <si>
    <t xml:space="preserve">20-04-2018 00:00:00</t>
  </si>
  <si>
    <t>31541213</t>
  </si>
  <si>
    <t xml:space="preserve">ООО "Восток Инжиниринг"</t>
  </si>
  <si>
    <t>2510013723</t>
  </si>
  <si>
    <t>30367074</t>
  </si>
  <si>
    <t xml:space="preserve">ООО "Вотэк"</t>
  </si>
  <si>
    <t>2524118807</t>
  </si>
  <si>
    <t>28856082</t>
  </si>
  <si>
    <t xml:space="preserve">ООО "Дальводоканал"</t>
  </si>
  <si>
    <t>2540190399</t>
  </si>
  <si>
    <t>31380860</t>
  </si>
  <si>
    <t xml:space="preserve">ООО "Дельта"</t>
  </si>
  <si>
    <t>2508094250</t>
  </si>
  <si>
    <t>26470084</t>
  </si>
  <si>
    <t xml:space="preserve">ООО "Жилсервис"</t>
  </si>
  <si>
    <t>2524111907</t>
  </si>
  <si>
    <t>31657408</t>
  </si>
  <si>
    <t xml:space="preserve">ООО "Инженерные системы и коммуникации - Дальнего Востока"</t>
  </si>
  <si>
    <t>2526006841</t>
  </si>
  <si>
    <t xml:space="preserve">16-02-2023 00:00:00</t>
  </si>
  <si>
    <t>28069921</t>
  </si>
  <si>
    <t xml:space="preserve">ООО "Инфраструктура"</t>
  </si>
  <si>
    <t>2508082399</t>
  </si>
  <si>
    <t xml:space="preserve">05-02-2008 00:00:00</t>
  </si>
  <si>
    <t>30866942</t>
  </si>
  <si>
    <t xml:space="preserve">ООО "Коммунальная компания"</t>
  </si>
  <si>
    <t>2521013940</t>
  </si>
  <si>
    <t>26320287</t>
  </si>
  <si>
    <t xml:space="preserve">ООО "Коммунальные сети"</t>
  </si>
  <si>
    <t>2507228334</t>
  </si>
  <si>
    <t xml:space="preserve">30-06-2006 00:00:00</t>
  </si>
  <si>
    <t>28468874</t>
  </si>
  <si>
    <t xml:space="preserve">ООО "Коммунальщик-Профи"</t>
  </si>
  <si>
    <t>2510007776</t>
  </si>
  <si>
    <t xml:space="preserve">01-11-2013 00:00:00</t>
  </si>
  <si>
    <t>30866907</t>
  </si>
  <si>
    <t xml:space="preserve">ООО "Кристалл"</t>
  </si>
  <si>
    <t>2501018080</t>
  </si>
  <si>
    <t xml:space="preserve">18-12-2015 00:00:00</t>
  </si>
  <si>
    <t>31222438</t>
  </si>
  <si>
    <t xml:space="preserve">ООО "Лучегорский водоканал"</t>
  </si>
  <si>
    <t>2526006520</t>
  </si>
  <si>
    <t>31837611</t>
  </si>
  <si>
    <t xml:space="preserve">ООО "ПРОК"</t>
  </si>
  <si>
    <t>2536348178</t>
  </si>
  <si>
    <t xml:space="preserve">20-12-2024 00:00:00</t>
  </si>
  <si>
    <t>26470541</t>
  </si>
  <si>
    <t xml:space="preserve">ООО "Союз-К"</t>
  </si>
  <si>
    <t>2520004439</t>
  </si>
  <si>
    <t>31276972</t>
  </si>
  <si>
    <t xml:space="preserve">ООО "Стройка плюс"</t>
  </si>
  <si>
    <t>2521015063</t>
  </si>
  <si>
    <t>28978230</t>
  </si>
  <si>
    <t xml:space="preserve">ООО "Транснефть-Дальний Восток"</t>
  </si>
  <si>
    <t>2724132118</t>
  </si>
  <si>
    <t>250643001</t>
  </si>
  <si>
    <t>26791421</t>
  </si>
  <si>
    <t xml:space="preserve">ООО "Тритэра"</t>
  </si>
  <si>
    <t>2536075996</t>
  </si>
  <si>
    <t>27582817</t>
  </si>
  <si>
    <t xml:space="preserve">ООО "УК - Комфорт"</t>
  </si>
  <si>
    <t>2503028207</t>
  </si>
  <si>
    <t>26470094</t>
  </si>
  <si>
    <t xml:space="preserve">ООО "Центр плюс"</t>
  </si>
  <si>
    <t>2526010125</t>
  </si>
  <si>
    <t>31256013</t>
  </si>
  <si>
    <t xml:space="preserve">ООО "Чкаловское многоотраслевое предприятие"</t>
  </si>
  <si>
    <t>2510009526</t>
  </si>
  <si>
    <t>28873735</t>
  </si>
  <si>
    <t xml:space="preserve">ООО «УК Партнеры»</t>
  </si>
  <si>
    <t>2503030943</t>
  </si>
  <si>
    <t xml:space="preserve">04-04-2025 00:00:00</t>
  </si>
  <si>
    <t>26470359</t>
  </si>
  <si>
    <t xml:space="preserve">ООО ВодЕко</t>
  </si>
  <si>
    <t>2524100359</t>
  </si>
  <si>
    <t>26470231</t>
  </si>
  <si>
    <t xml:space="preserve">ООО Горный ключ</t>
  </si>
  <si>
    <t>2508077254</t>
  </si>
  <si>
    <t xml:space="preserve">10-06-2025 00:00:00</t>
  </si>
  <si>
    <t>26470389</t>
  </si>
  <si>
    <t xml:space="preserve">ООО Жилкомсервис</t>
  </si>
  <si>
    <t>2517007976</t>
  </si>
  <si>
    <t>26470545</t>
  </si>
  <si>
    <t xml:space="preserve">ООО ОКП</t>
  </si>
  <si>
    <t>2522001218</t>
  </si>
  <si>
    <t>26470329</t>
  </si>
  <si>
    <t xml:space="preserve">ООО Поларис-групп</t>
  </si>
  <si>
    <t>2540080780</t>
  </si>
  <si>
    <t>31263071</t>
  </si>
  <si>
    <t xml:space="preserve">ООО РО "СпасскКоммуналСервис"</t>
  </si>
  <si>
    <t>2510014910</t>
  </si>
  <si>
    <t>31640943</t>
  </si>
  <si>
    <t xml:space="preserve">ООО УК "Рост"</t>
  </si>
  <si>
    <t>2536324071</t>
  </si>
  <si>
    <t xml:space="preserve">01-12-2022 00:00:00</t>
  </si>
  <si>
    <t>27838101</t>
  </si>
  <si>
    <t xml:space="preserve">ООО УК Оникс</t>
  </si>
  <si>
    <t>26470253</t>
  </si>
  <si>
    <t xml:space="preserve">ООО Форд-Ност</t>
  </si>
  <si>
    <t>2508056215</t>
  </si>
  <si>
    <t>26470197</t>
  </si>
  <si>
    <t xml:space="preserve">ООО Чистая вода плюс</t>
  </si>
  <si>
    <t>2508077279</t>
  </si>
  <si>
    <t>31362508</t>
  </si>
  <si>
    <t xml:space="preserve">СХПК "Струговский"</t>
  </si>
  <si>
    <t>2522001056</t>
  </si>
  <si>
    <t>28873723</t>
  </si>
  <si>
    <t xml:space="preserve">СХПК «Новолитовский»</t>
  </si>
  <si>
    <t>2524001140</t>
  </si>
  <si>
    <t>26470339</t>
  </si>
  <si>
    <t xml:space="preserve">СХПК Хорольское</t>
  </si>
  <si>
    <t>2532000020</t>
  </si>
  <si>
    <t>253201001</t>
  </si>
  <si>
    <t>26771752</t>
  </si>
  <si>
    <t xml:space="preserve">ТСЖ "Радист"</t>
  </si>
  <si>
    <t>2521000691</t>
  </si>
  <si>
    <t>26470026</t>
  </si>
  <si>
    <t xml:space="preserve">ФГКУ "Оптовая база № 42"</t>
  </si>
  <si>
    <t>2513001797</t>
  </si>
  <si>
    <t>26469900</t>
  </si>
  <si>
    <t xml:space="preserve">ФГКУ «Витязь»</t>
  </si>
  <si>
    <t>2513001780</t>
  </si>
  <si>
    <t>28459820</t>
  </si>
  <si>
    <t xml:space="preserve">ФГКУ комбинат «Взморье» Управления Федерального агентства по государственным резервам по ДФО</t>
  </si>
  <si>
    <t>2503005859</t>
  </si>
  <si>
    <t>26470044</t>
  </si>
  <si>
    <t xml:space="preserve">ФГУ комбинат "Пионер"</t>
  </si>
  <si>
    <t>2534000522</t>
  </si>
  <si>
    <t>30804634</t>
  </si>
  <si>
    <t xml:space="preserve">ФКУ ИК-10 ГУФСИН России по Приморскому краю</t>
  </si>
  <si>
    <t>2520000280</t>
  </si>
  <si>
    <t>26470315</t>
  </si>
  <si>
    <t xml:space="preserve">Филиал РТРС «Приморский КРТПЦ»</t>
  </si>
  <si>
    <t>7717127211</t>
  </si>
  <si>
    <t>28444428</t>
  </si>
  <si>
    <t xml:space="preserve">муп "Жилищно-коммунальное хозяйство "Ольга"</t>
  </si>
  <si>
    <t>2523004525</t>
  </si>
  <si>
    <t xml:space="preserve">10-01-2013 00:00:00</t>
  </si>
  <si>
    <t>28146501</t>
  </si>
  <si>
    <t xml:space="preserve">муп "Липовецкое"</t>
  </si>
  <si>
    <t>2522042447</t>
  </si>
  <si>
    <t>28142080</t>
  </si>
  <si>
    <t xml:space="preserve">ооо "Теплосетевая компания"</t>
  </si>
  <si>
    <t>2509063705</t>
  </si>
  <si>
    <t>27872682</t>
  </si>
  <si>
    <t xml:space="preserve">ооо Водозабор Хмыловский</t>
  </si>
  <si>
    <t>2508074983</t>
  </si>
  <si>
    <t>27886628</t>
  </si>
  <si>
    <t xml:space="preserve">ооо Водоканал</t>
  </si>
  <si>
    <t>2530008023</t>
  </si>
  <si>
    <t>27833305</t>
  </si>
  <si>
    <t xml:space="preserve">ооо Спектр Плюс</t>
  </si>
  <si>
    <t>2513004290</t>
  </si>
  <si>
    <t xml:space="preserve">01-06-2008 00:00:00</t>
  </si>
  <si>
    <t>28444454</t>
  </si>
  <si>
    <t xml:space="preserve">ооо Управляющая компания "СпасскЖилСервис"</t>
  </si>
  <si>
    <t>2510013466</t>
  </si>
  <si>
    <t>31027627</t>
  </si>
  <si>
    <t xml:space="preserve">АО "Корпорация развития ПК"</t>
  </si>
  <si>
    <t>2540193103</t>
  </si>
  <si>
    <t>31780956</t>
  </si>
  <si>
    <t xml:space="preserve">АО "Приморский Завод"</t>
  </si>
  <si>
    <t>2508008331</t>
  </si>
  <si>
    <t xml:space="preserve">28-10-1992 00:00:00</t>
  </si>
  <si>
    <t>31590722</t>
  </si>
  <si>
    <t xml:space="preserve">МАУ "РКЦ" ЗАТО Фокино</t>
  </si>
  <si>
    <t>2512306718</t>
  </si>
  <si>
    <t xml:space="preserve">08-07-2016 00:00:00</t>
  </si>
  <si>
    <t>28447871</t>
  </si>
  <si>
    <t xml:space="preserve">МУП "Кирос"</t>
  </si>
  <si>
    <t>2516001636</t>
  </si>
  <si>
    <t>26320260</t>
  </si>
  <si>
    <t xml:space="preserve">ОАО "Спасский комбинат асбестоцементных изделий"</t>
  </si>
  <si>
    <t>2510000386</t>
  </si>
  <si>
    <t>31600947</t>
  </si>
  <si>
    <t xml:space="preserve">ООО "Водосток"</t>
  </si>
  <si>
    <t>2502067690</t>
  </si>
  <si>
    <t>31161528</t>
  </si>
  <si>
    <t>2507012825</t>
  </si>
  <si>
    <t>26544384</t>
  </si>
  <si>
    <t xml:space="preserve">ООО "Врангель Водосток"</t>
  </si>
  <si>
    <t>2508077261</t>
  </si>
  <si>
    <t>28453845</t>
  </si>
  <si>
    <t xml:space="preserve">ООО "Корпорация "Зинго"</t>
  </si>
  <si>
    <t>2540070285</t>
  </si>
  <si>
    <t xml:space="preserve">14-03-2025 00:00:00</t>
  </si>
  <si>
    <t>30866915</t>
  </si>
  <si>
    <t xml:space="preserve">ООО "Феникс"</t>
  </si>
  <si>
    <t>2501018098</t>
  </si>
  <si>
    <t xml:space="preserve">22-12-2015 00:00:00</t>
  </si>
  <si>
    <t>31699066</t>
  </si>
  <si>
    <t xml:space="preserve">ИП Жидкова Елена Николаевна</t>
  </si>
  <si>
    <t>253100385036</t>
  </si>
  <si>
    <t xml:space="preserve">29-08-2000 00:00:00</t>
  </si>
  <si>
    <t>30871843</t>
  </si>
  <si>
    <t xml:space="preserve">МКУ "Обслуживающее учреждение"</t>
  </si>
  <si>
    <t>2505007403</t>
  </si>
  <si>
    <t xml:space="preserve">24-08-2016 00:00:00</t>
  </si>
  <si>
    <t>28270355</t>
  </si>
  <si>
    <t xml:space="preserve">МУП "Городское хозяйство" Партизанский ГО</t>
  </si>
  <si>
    <t>2509032305</t>
  </si>
  <si>
    <t>31698781</t>
  </si>
  <si>
    <t xml:space="preserve">ООО "АЛЬФА КР"</t>
  </si>
  <si>
    <t>2516002975</t>
  </si>
  <si>
    <t xml:space="preserve">29-03-2019 00:00:00</t>
  </si>
  <si>
    <t>26470712</t>
  </si>
  <si>
    <t xml:space="preserve">ООО "Базис"</t>
  </si>
  <si>
    <t>2531003532</t>
  </si>
  <si>
    <t>26771388</t>
  </si>
  <si>
    <t xml:space="preserve">ООО "Бумеранг"</t>
  </si>
  <si>
    <t>2511055268</t>
  </si>
  <si>
    <t>31698583</t>
  </si>
  <si>
    <t xml:space="preserve">ООО "ГМК"</t>
  </si>
  <si>
    <t>2540064108</t>
  </si>
  <si>
    <t xml:space="preserve">25-03-1999 00:00:00</t>
  </si>
  <si>
    <t>31699113</t>
  </si>
  <si>
    <t xml:space="preserve">ООО "ГРИН-СИТИ"</t>
  </si>
  <si>
    <t>2537087105</t>
  </si>
  <si>
    <t xml:space="preserve">04-04-2011 00:00:00</t>
  </si>
  <si>
    <t>31698769</t>
  </si>
  <si>
    <t xml:space="preserve">ООО "ДОБРЫЙ ДВОР"</t>
  </si>
  <si>
    <t>2505011657</t>
  </si>
  <si>
    <t xml:space="preserve">21-08-2008 00:00:00</t>
  </si>
  <si>
    <t>31699074</t>
  </si>
  <si>
    <t xml:space="preserve">ООО "ДОРОЖНЫЙ СЕРВИС"</t>
  </si>
  <si>
    <t>2543143573</t>
  </si>
  <si>
    <t xml:space="preserve">07-10-2019 00:00:00</t>
  </si>
  <si>
    <t>31698766</t>
  </si>
  <si>
    <t xml:space="preserve">ООО "Доверие"</t>
  </si>
  <si>
    <t>2506007854</t>
  </si>
  <si>
    <t xml:space="preserve">07-12-2002 00:00:00</t>
  </si>
  <si>
    <t>31698975</t>
  </si>
  <si>
    <t xml:space="preserve">ООО "ЖУО "УПРАВДОМ"</t>
  </si>
  <si>
    <t>2525003340</t>
  </si>
  <si>
    <t xml:space="preserve">24-07-2012 00:00:00</t>
  </si>
  <si>
    <t>31698801</t>
  </si>
  <si>
    <t xml:space="preserve">ООО "ЗЕЛЁНЫЙ ГОРОД"</t>
  </si>
  <si>
    <t>2507013064</t>
  </si>
  <si>
    <t xml:space="preserve">16-07-2019 00:00:00</t>
  </si>
  <si>
    <t>27803021</t>
  </si>
  <si>
    <t xml:space="preserve">ООО "Капитал"</t>
  </si>
  <si>
    <t>2510012078</t>
  </si>
  <si>
    <t>31698762</t>
  </si>
  <si>
    <t xml:space="preserve">ООО "Комфорт-Сервис"</t>
  </si>
  <si>
    <t>2508120157</t>
  </si>
  <si>
    <t xml:space="preserve">25-07-2014 00:00:00</t>
  </si>
  <si>
    <t>28878819</t>
  </si>
  <si>
    <t xml:space="preserve">ООО "Лидер"</t>
  </si>
  <si>
    <t>2501011374</t>
  </si>
  <si>
    <t>31699094</t>
  </si>
  <si>
    <t xml:space="preserve">ООО "МИР СНАБЖЕНИЯ"</t>
  </si>
  <si>
    <t>2533008247</t>
  </si>
  <si>
    <t xml:space="preserve">27-06-2002 00:00:00</t>
  </si>
  <si>
    <t>26470686</t>
  </si>
  <si>
    <t xml:space="preserve">ООО "Новое время"</t>
  </si>
  <si>
    <t>2512301815</t>
  </si>
  <si>
    <t>31698966</t>
  </si>
  <si>
    <t xml:space="preserve">ООО "ОАЗИС"</t>
  </si>
  <si>
    <t>2508065435</t>
  </si>
  <si>
    <t xml:space="preserve">01-10-2004 00:00:00</t>
  </si>
  <si>
    <t>31699109</t>
  </si>
  <si>
    <t xml:space="preserve">ООО "РОДНИК-ДВ"</t>
  </si>
  <si>
    <t>2540132799</t>
  </si>
  <si>
    <t xml:space="preserve">13-06-2007 00:00:00</t>
  </si>
  <si>
    <t>28878834</t>
  </si>
  <si>
    <t xml:space="preserve">ООО "Рассвет-ЭКО"</t>
  </si>
  <si>
    <t>2522002780</t>
  </si>
  <si>
    <t>31760804</t>
  </si>
  <si>
    <t xml:space="preserve">ООО "Ресурс"</t>
  </si>
  <si>
    <t>2510013890</t>
  </si>
  <si>
    <t>31699103</t>
  </si>
  <si>
    <t xml:space="preserve">ООО "УК ФОРПОСТ"</t>
  </si>
  <si>
    <t>2503031217</t>
  </si>
  <si>
    <t xml:space="preserve">18-11-2013 00:00:00</t>
  </si>
  <si>
    <t>31699070</t>
  </si>
  <si>
    <t xml:space="preserve">ООО "ЧИСТЫЙ ГОРОД"</t>
  </si>
  <si>
    <t>2540108757</t>
  </si>
  <si>
    <t xml:space="preserve">10-01-2005 00:00:00</t>
  </si>
  <si>
    <t>31698999</t>
  </si>
  <si>
    <t xml:space="preserve">ООО "ЧИСТЫЙ ДВОР"</t>
  </si>
  <si>
    <t>2539109450</t>
  </si>
  <si>
    <t xml:space="preserve">29-09-2010 00:00:00</t>
  </si>
  <si>
    <t>31698776</t>
  </si>
  <si>
    <t xml:space="preserve">ООО "ЭКО ДВ"</t>
  </si>
  <si>
    <t>2505014136</t>
  </si>
  <si>
    <t xml:space="preserve">09-04-2015 00:00:00</t>
  </si>
  <si>
    <t>31698981</t>
  </si>
  <si>
    <t xml:space="preserve">ООО "ЭКО СИСТЕМА"</t>
  </si>
  <si>
    <t>2543158001</t>
  </si>
  <si>
    <t xml:space="preserve">08-06-2021 00:00:00</t>
  </si>
  <si>
    <t>31698942</t>
  </si>
  <si>
    <t xml:space="preserve">ООО "ЭКО-СЕРВИС"</t>
  </si>
  <si>
    <t>2521012619</t>
  </si>
  <si>
    <t xml:space="preserve">22-11-2011 00:00:00</t>
  </si>
  <si>
    <t>31699084</t>
  </si>
  <si>
    <t xml:space="preserve">ООО "ЭКОЛОГИЧЕСКАЯ КОМПАНИЯ "НОВЫЙ ГОРОД"</t>
  </si>
  <si>
    <t>2540085274</t>
  </si>
  <si>
    <t xml:space="preserve">24-03-2002 00:00:00</t>
  </si>
  <si>
    <t>31699062</t>
  </si>
  <si>
    <t xml:space="preserve">ООО "ЭП "ГОРОД Н"</t>
  </si>
  <si>
    <t>2540109782</t>
  </si>
  <si>
    <t xml:space="preserve">14-02-2005 00:00:00</t>
  </si>
  <si>
    <t>31541250</t>
  </si>
  <si>
    <t xml:space="preserve">ООО "Эко Тех"</t>
  </si>
  <si>
    <t>2543152257</t>
  </si>
  <si>
    <t>31699080</t>
  </si>
  <si>
    <t xml:space="preserve">ООО "Эконг-Плюс"</t>
  </si>
  <si>
    <t>2540096928</t>
  </si>
  <si>
    <t xml:space="preserve">09-09-2003 00:00:00</t>
  </si>
  <si>
    <t>31699050</t>
  </si>
  <si>
    <t xml:space="preserve">ООО «АвтоТранс-ДВ»</t>
  </si>
  <si>
    <t>2511102623</t>
  </si>
  <si>
    <t xml:space="preserve">20-06-2017 00:00:00</t>
  </si>
  <si>
    <t>31698938</t>
  </si>
  <si>
    <t xml:space="preserve">ООО «Автодор-Ливадия»</t>
  </si>
  <si>
    <t>2508077790</t>
  </si>
  <si>
    <t xml:space="preserve">27-02-2007 00:00:00</t>
  </si>
  <si>
    <t>31698958</t>
  </si>
  <si>
    <t xml:space="preserve">ООО «Спецавтохозяйство»</t>
  </si>
  <si>
    <t>2508063149</t>
  </si>
  <si>
    <t xml:space="preserve">09-02-2004 00:00:00</t>
  </si>
  <si>
    <t>31698970</t>
  </si>
  <si>
    <t xml:space="preserve">ООО «ТЭК"</t>
  </si>
  <si>
    <t>2509007605</t>
  </si>
  <si>
    <t xml:space="preserve">08-10-2015 00:00:00</t>
  </si>
  <si>
    <t>31699088</t>
  </si>
  <si>
    <t xml:space="preserve">ООО «Ярославская УО»</t>
  </si>
  <si>
    <t>2532010701</t>
  </si>
  <si>
    <t xml:space="preserve">09-12-2015 00:00:00</t>
  </si>
  <si>
    <t>31698985</t>
  </si>
  <si>
    <t xml:space="preserve">ООО РГК «ЖилКомРесурс»</t>
  </si>
  <si>
    <t>2510003531</t>
  </si>
  <si>
    <t>26470688</t>
  </si>
  <si>
    <t xml:space="preserve">ООО Хозяин</t>
  </si>
  <si>
    <t>2516606487</t>
  </si>
  <si>
    <t>26470708</t>
  </si>
  <si>
    <t xml:space="preserve">ООО Чистый город</t>
  </si>
  <si>
    <t>2508068316</t>
  </si>
  <si>
    <t>27871045</t>
  </si>
  <si>
    <t xml:space="preserve">ооо Коммунальщик</t>
  </si>
  <si>
    <t>2534006041</t>
  </si>
  <si>
    <t>NSRF</t>
  </si>
  <si>
    <t>MR_NAME</t>
  </si>
  <si>
    <t>OKTMO_MR_NAME</t>
  </si>
  <si>
    <t>MO_NAME</t>
  </si>
  <si>
    <t>OKTMO_NAME</t>
  </si>
  <si>
    <t>TYPE</t>
  </si>
  <si>
    <t>MR_ID</t>
  </si>
  <si>
    <t xml:space="preserve">Анучинский муниципальный округ</t>
  </si>
  <si>
    <t>05502000</t>
  </si>
  <si>
    <t xml:space="preserve">муниципальный округ</t>
  </si>
  <si>
    <t xml:space="preserve">Арсеньевский городской округ</t>
  </si>
  <si>
    <t>05703000</t>
  </si>
  <si>
    <t xml:space="preserve">городской округ</t>
  </si>
  <si>
    <t xml:space="preserve">Артемовский городской округ</t>
  </si>
  <si>
    <t>05705000</t>
  </si>
  <si>
    <t xml:space="preserve">Городской округ Спасск-Дальний</t>
  </si>
  <si>
    <t>05720000</t>
  </si>
  <si>
    <t xml:space="preserve">Дальнегорский городской округ</t>
  </si>
  <si>
    <t>05707000</t>
  </si>
  <si>
    <t xml:space="preserve">Дальнереченский городской округ</t>
  </si>
  <si>
    <t>05708000</t>
  </si>
  <si>
    <t xml:space="preserve">Дальнереченский муниципальный район</t>
  </si>
  <si>
    <t>05607000</t>
  </si>
  <si>
    <t xml:space="preserve">Веденкинское сельское поселение</t>
  </si>
  <si>
    <t>05607408</t>
  </si>
  <si>
    <t xml:space="preserve">сельское поселение</t>
  </si>
  <si>
    <t xml:space="preserve">муниципальный район</t>
  </si>
  <si>
    <t xml:space="preserve">Малиновское сельское поселение</t>
  </si>
  <si>
    <t>05607413</t>
  </si>
  <si>
    <t xml:space="preserve">Межселенные территории Дальнереченского муниципального района, находящиеся вне границ сельских поселений</t>
  </si>
  <si>
    <t>05607701</t>
  </si>
  <si>
    <t xml:space="preserve">межселенная территория</t>
  </si>
  <si>
    <t xml:space="preserve">Ореховское сельское поселение</t>
  </si>
  <si>
    <t>05607422</t>
  </si>
  <si>
    <t xml:space="preserve">Ракитненское сельское поселение</t>
  </si>
  <si>
    <t>05607425</t>
  </si>
  <si>
    <t xml:space="preserve">Рождественское сельское поселение</t>
  </si>
  <si>
    <t>05607428</t>
  </si>
  <si>
    <t xml:space="preserve">Сальское сельское поселение</t>
  </si>
  <si>
    <t>05607431</t>
  </si>
  <si>
    <t xml:space="preserve">Кавалеровский муниципальный округ</t>
  </si>
  <si>
    <t>05510000</t>
  </si>
  <si>
    <t xml:space="preserve">Кировский муниципальный район</t>
  </si>
  <si>
    <t>05612000</t>
  </si>
  <si>
    <t>Горненское</t>
  </si>
  <si>
    <t>05612407</t>
  </si>
  <si>
    <t xml:space="preserve">Горноключевское городское поселение</t>
  </si>
  <si>
    <t>05612154</t>
  </si>
  <si>
    <t xml:space="preserve">городское поселение, в состав которого входит поселок</t>
  </si>
  <si>
    <t xml:space="preserve">Кировское городское поселение</t>
  </si>
  <si>
    <t>05612151</t>
  </si>
  <si>
    <t xml:space="preserve">Крыловское сельское поселение</t>
  </si>
  <si>
    <t>05612413</t>
  </si>
  <si>
    <t xml:space="preserve">Межселенные территории Кировского муниципального района, находящиеся вне границ городских и сельских поселений</t>
  </si>
  <si>
    <t>05612701</t>
  </si>
  <si>
    <t xml:space="preserve">Руновское сельское поселение</t>
  </si>
  <si>
    <t>05612428</t>
  </si>
  <si>
    <t xml:space="preserve">Хвищанское сельское поселение</t>
  </si>
  <si>
    <t>05612434</t>
  </si>
  <si>
    <t xml:space="preserve">Красноармейский муниципальный округ</t>
  </si>
  <si>
    <t>05514000</t>
  </si>
  <si>
    <t xml:space="preserve">Красноармейский муниципальный район</t>
  </si>
  <si>
    <t>05614000</t>
  </si>
  <si>
    <t xml:space="preserve">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</si>
  <si>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</si>
  <si>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</si>
  <si>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</si>
  <si>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</si>
  <si>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</si>
  <si>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</si>
  <si>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</si>
  <si>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</si>
  <si>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</si>
  <si>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 xml:space="preserve">Лукъяновское сельское поселение</t>
  </si>
  <si>
    <t>05614420</t>
  </si>
  <si>
    <t xml:space="preserve">Мельничное сельское поселение</t>
  </si>
  <si>
    <t>05614422</t>
  </si>
  <si>
    <t xml:space="preserve">Новопокровское сельское поселение</t>
  </si>
  <si>
    <t>05614428</t>
  </si>
  <si>
    <t xml:space="preserve">Рощинское сельское поселение</t>
  </si>
  <si>
    <t>05614431</t>
  </si>
  <si>
    <t>Таежненское</t>
  </si>
  <si>
    <t>05614437</t>
  </si>
  <si>
    <t xml:space="preserve">Лазовский муниципальный округ</t>
  </si>
  <si>
    <t>05517000</t>
  </si>
  <si>
    <t xml:space="preserve">Лесозаводский городской округ</t>
  </si>
  <si>
    <t>05711000</t>
  </si>
  <si>
    <t xml:space="preserve">Михайловский муниципальный округ</t>
  </si>
  <si>
    <t>05520000</t>
  </si>
  <si>
    <t xml:space="preserve">Михайловский муниципальный район</t>
  </si>
  <si>
    <t>05620000</t>
  </si>
  <si>
    <t xml:space="preserve">Григорьевское сельское поселение</t>
  </si>
  <si>
    <t>05620406</t>
  </si>
  <si>
    <t xml:space="preserve">Ивановкое сельское поселение</t>
  </si>
  <si>
    <t>05620408</t>
  </si>
  <si>
    <t xml:space="preserve">Кремовское сельское поселение</t>
  </si>
  <si>
    <t>05620410</t>
  </si>
  <si>
    <t xml:space="preserve">Михайловское сельское поселение</t>
  </si>
  <si>
    <t>05620419</t>
  </si>
  <si>
    <t xml:space="preserve">Новошахтинское городское поселение</t>
  </si>
  <si>
    <t>05620154</t>
  </si>
  <si>
    <t xml:space="preserve">Осиновское сельское поселение</t>
  </si>
  <si>
    <t>05620425</t>
  </si>
  <si>
    <t xml:space="preserve">Сунятсенское сельское поселение</t>
  </si>
  <si>
    <t>05620428</t>
  </si>
  <si>
    <t xml:space="preserve">Надеждинский муниципальный район</t>
  </si>
  <si>
    <t>05623000</t>
  </si>
  <si>
    <t xml:space="preserve">Надеждинское сельское поселение</t>
  </si>
  <si>
    <t>05623402</t>
  </si>
  <si>
    <t xml:space="preserve">Раздольненское сельское поселение</t>
  </si>
  <si>
    <t>05623404</t>
  </si>
  <si>
    <t xml:space="preserve">Тавричанское сельское поселение</t>
  </si>
  <si>
    <t>05623407</t>
  </si>
  <si>
    <t xml:space="preserve">Находкинский городской округ</t>
  </si>
  <si>
    <t>05714000</t>
  </si>
  <si>
    <t xml:space="preserve">Октябрьский муниципальный округ</t>
  </si>
  <si>
    <t>05526000</t>
  </si>
  <si>
    <t xml:space="preserve">Ольгинский муниципальный округ</t>
  </si>
  <si>
    <t>05528000</t>
  </si>
  <si>
    <t xml:space="preserve">Партизанский городской округ</t>
  </si>
  <si>
    <t>05717000</t>
  </si>
  <si>
    <t xml:space="preserve">Партизанский муниципальный округ</t>
  </si>
  <si>
    <t>05530000</t>
  </si>
  <si>
    <t xml:space="preserve">Партизанский муниципальный район</t>
  </si>
  <si>
    <t>05630000</t>
  </si>
  <si>
    <t xml:space="preserve">Владимиро-Александровское сельское поселение</t>
  </si>
  <si>
    <t>05630402</t>
  </si>
  <si>
    <t xml:space="preserve">Екатериновское сельское поселение</t>
  </si>
  <si>
    <t>05630404</t>
  </si>
  <si>
    <t xml:space="preserve">Золотодолинское сельское поселение</t>
  </si>
  <si>
    <t>05630406</t>
  </si>
  <si>
    <t xml:space="preserve">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</si>
  <si>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</si>
  <si>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</si>
  <si>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 xml:space="preserve">Новицкое сельское поселение</t>
  </si>
  <si>
    <t>05630410</t>
  </si>
  <si>
    <t>61</t>
  </si>
  <si>
    <t xml:space="preserve">Новолитовское сельское поселение</t>
  </si>
  <si>
    <t>05630413</t>
  </si>
  <si>
    <t>62</t>
  </si>
  <si>
    <t>63</t>
  </si>
  <si>
    <t xml:space="preserve">Сергеевское сельское поселение</t>
  </si>
  <si>
    <t>05630419</t>
  </si>
  <si>
    <t>64</t>
  </si>
  <si>
    <t xml:space="preserve">Пограничный муниципальный округ</t>
  </si>
  <si>
    <t>05532000</t>
  </si>
  <si>
    <t>65</t>
  </si>
  <si>
    <t xml:space="preserve">Пожарский муниципальный округ</t>
  </si>
  <si>
    <t>05534000</t>
  </si>
  <si>
    <t xml:space="preserve">Спасский муниципальный район</t>
  </si>
  <si>
    <t>05637000</t>
  </si>
  <si>
    <t xml:space="preserve">Александровское сельское поселение</t>
  </si>
  <si>
    <t>05637402</t>
  </si>
  <si>
    <t>67</t>
  </si>
  <si>
    <t xml:space="preserve">Дубовское сельское поселение</t>
  </si>
  <si>
    <t>05637419</t>
  </si>
  <si>
    <t xml:space="preserve">Духовское сельское поселение</t>
  </si>
  <si>
    <t>05637422</t>
  </si>
  <si>
    <t>69</t>
  </si>
  <si>
    <t xml:space="preserve">Краснокутское сельское поселение</t>
  </si>
  <si>
    <t>05637424</t>
  </si>
  <si>
    <t>70</t>
  </si>
  <si>
    <t xml:space="preserve">Прохорское сельское поселение</t>
  </si>
  <si>
    <t>05637434</t>
  </si>
  <si>
    <t>71</t>
  </si>
  <si>
    <t>72</t>
  </si>
  <si>
    <t xml:space="preserve">Спасское сельское поселение</t>
  </si>
  <si>
    <t>05637440</t>
  </si>
  <si>
    <t>73</t>
  </si>
  <si>
    <t xml:space="preserve">Хвалынское сельское поселение</t>
  </si>
  <si>
    <t>05637443</t>
  </si>
  <si>
    <t>74</t>
  </si>
  <si>
    <t xml:space="preserve">Чкаловское сельское поселение</t>
  </si>
  <si>
    <t>05637446</t>
  </si>
  <si>
    <t>75</t>
  </si>
  <si>
    <t xml:space="preserve">Тернейский муниципальный округ</t>
  </si>
  <si>
    <t>05540000</t>
  </si>
  <si>
    <t>76</t>
  </si>
  <si>
    <t xml:space="preserve">Уссурийский городской округ</t>
  </si>
  <si>
    <t>05723000</t>
  </si>
  <si>
    <t>77</t>
  </si>
  <si>
    <t xml:space="preserve">Ханкайский муниципальный округ</t>
  </si>
  <si>
    <t>05546000</t>
  </si>
  <si>
    <t>78</t>
  </si>
  <si>
    <t xml:space="preserve">Хасанский муниципальный округ</t>
  </si>
  <si>
    <t>05548000</t>
  </si>
  <si>
    <t>79</t>
  </si>
  <si>
    <t xml:space="preserve">Хорольский муниципальный округ</t>
  </si>
  <si>
    <t>05550000</t>
  </si>
  <si>
    <t>80</t>
  </si>
  <si>
    <t xml:space="preserve">Черниговский муниципальный округ</t>
  </si>
  <si>
    <t>05553000</t>
  </si>
  <si>
    <t>81</t>
  </si>
  <si>
    <t xml:space="preserve">Черниговский муниципальный район</t>
  </si>
  <si>
    <t>05653000</t>
  </si>
  <si>
    <t xml:space="preserve">Дмитриевское сельское поселение</t>
  </si>
  <si>
    <t>05653410</t>
  </si>
  <si>
    <t>82</t>
  </si>
  <si>
    <t xml:space="preserve">Межселенные территории Черниговского муниципального района, находящиеся вне границ городского и сельских поселений</t>
  </si>
  <si>
    <t>05653701</t>
  </si>
  <si>
    <t>83</t>
  </si>
  <si>
    <t xml:space="preserve">Реттиховское городское поселение</t>
  </si>
  <si>
    <t>05653422</t>
  </si>
  <si>
    <t>84</t>
  </si>
  <si>
    <t xml:space="preserve">Сибирцевское городское поселение</t>
  </si>
  <si>
    <t>05653158</t>
  </si>
  <si>
    <t>85</t>
  </si>
  <si>
    <t>Снегуровское</t>
  </si>
  <si>
    <t>05653419</t>
  </si>
  <si>
    <t>86</t>
  </si>
  <si>
    <t>87</t>
  </si>
  <si>
    <t xml:space="preserve">Черниговское сельское поселение</t>
  </si>
  <si>
    <t>05653425</t>
  </si>
  <si>
    <t>88</t>
  </si>
  <si>
    <t xml:space="preserve">Чугуевский муниципальный округ</t>
  </si>
  <si>
    <t>05555000</t>
  </si>
  <si>
    <t>89</t>
  </si>
  <si>
    <t xml:space="preserve">Шкотовский муниципальный округ</t>
  </si>
  <si>
    <t>05557000</t>
  </si>
  <si>
    <t>90</t>
  </si>
  <si>
    <t xml:space="preserve">Шкотовский муниципальный район</t>
  </si>
  <si>
    <t>05657000</t>
  </si>
  <si>
    <t xml:space="preserve">Новонежинское сельское поселение</t>
  </si>
  <si>
    <t>05657413</t>
  </si>
  <si>
    <t>91</t>
  </si>
  <si>
    <t xml:space="preserve">Подъяпольское сельское поселение</t>
  </si>
  <si>
    <t>05657422</t>
  </si>
  <si>
    <t>92</t>
  </si>
  <si>
    <t xml:space="preserve">Романовское сельское поселение</t>
  </si>
  <si>
    <t>05657425</t>
  </si>
  <si>
    <t>93</t>
  </si>
  <si>
    <t xml:space="preserve">Смоляниновское городское поселение</t>
  </si>
  <si>
    <t>05657158</t>
  </si>
  <si>
    <t>94</t>
  </si>
  <si>
    <t xml:space="preserve">Центральненское сельское поселение</t>
  </si>
  <si>
    <t>05657428</t>
  </si>
  <si>
    <t>95</t>
  </si>
  <si>
    <t>96</t>
  </si>
  <si>
    <t xml:space="preserve">Шкотовское городское поселение</t>
  </si>
  <si>
    <t>05657165</t>
  </si>
  <si>
    <t>97</t>
  </si>
  <si>
    <t xml:space="preserve">Штыковское сельское поселение</t>
  </si>
  <si>
    <t>05657432</t>
  </si>
  <si>
    <t>98</t>
  </si>
  <si>
    <t xml:space="preserve">Яковлевский муниципальный округ</t>
  </si>
  <si>
    <t>05559000</t>
  </si>
  <si>
    <t>99</t>
  </si>
  <si>
    <t xml:space="preserve">Яковлевский муниципальный район</t>
  </si>
  <si>
    <t>05659000</t>
  </si>
  <si>
    <t xml:space="preserve">Варфоломеевское сельское поселение</t>
  </si>
  <si>
    <t>05659407</t>
  </si>
  <si>
    <t>100</t>
  </si>
  <si>
    <t xml:space="preserve">Новосысоевское сельское поселение</t>
  </si>
  <si>
    <t>05659413</t>
  </si>
  <si>
    <t>101</t>
  </si>
  <si>
    <t xml:space="preserve">Покровское сельское поселение</t>
  </si>
  <si>
    <t>05659416</t>
  </si>
  <si>
    <t>102</t>
  </si>
  <si>
    <t>Яблоновское</t>
  </si>
  <si>
    <t>05659419</t>
  </si>
  <si>
    <t>103</t>
  </si>
  <si>
    <t>104</t>
  </si>
  <si>
    <t xml:space="preserve">Яковлевское сельское поселение</t>
  </si>
  <si>
    <t>05659422</t>
  </si>
  <si>
    <t>105</t>
  </si>
  <si>
    <t xml:space="preserve">городской округ Большой Камень</t>
  </si>
  <si>
    <t>05706000</t>
  </si>
  <si>
    <t>106</t>
  </si>
  <si>
    <t xml:space="preserve">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</si>
  <si>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</si>
  <si>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</si>
  <si>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</si>
  <si>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</si>
  <si>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</si>
  <si>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</si>
  <si>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</si>
  <si>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</si>
  <si>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</si>
  <si>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</si>
  <si>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</si>
  <si>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 xml:space="preserve">Инвестиционная программа № 19-115/2 от 13.05.2020 МУПВ "ВПЭС" в сфере теплоснабжения по модернизации и реконструкции объектов на 2021-2037 годы</t>
  </si>
  <si>
    <t>01.01.2021</t>
  </si>
  <si>
    <t>31.12.2037</t>
  </si>
  <si>
    <t xml:space="preserve">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</si>
  <si>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</si>
  <si>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 xml:space="preserve">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</si>
  <si>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</si>
  <si>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</si>
  <si>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 xml:space="preserve">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</si>
  <si>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</si>
  <si>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 xml:space="preserve">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</si>
  <si>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</si>
  <si>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 xml:space="preserve">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</si>
  <si>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</si>
  <si>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 xml:space="preserve">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</si>
  <si>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 xml:space="preserve">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</si>
  <si>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 xml:space="preserve">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</si>
  <si>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</si>
  <si>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</si>
  <si>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</si>
  <si>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</si>
  <si>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</si>
  <si>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</si>
  <si>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 xml:space="preserve">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</si>
  <si>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</si>
  <si>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</si>
  <si>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 xml:space="preserve">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</si>
  <si>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 xml:space="preserve">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</si>
  <si>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 xml:space="preserve">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</si>
  <si>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 xml:space="preserve">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</si>
  <si>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 xml:space="preserve">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</si>
  <si>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</si>
  <si>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</si>
  <si>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 xml:space="preserve">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</si>
  <si>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</si>
  <si>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 xml:space="preserve">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</si>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</sst>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79">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7" fillId="39" borderId="12" numFmtId="49" xfId="0" applyNumberFormat="1" applyFont="1" applyFill="1" applyBorder="1">
      <alignment horizontal="left" indent="1" vertical="center" wrapText="1"/>
      <protection locked="0"/>
    </xf>
    <xf fontId="22" fillId="40" borderId="12" numFmtId="0" xfId="0" applyFont="1" applyFill="1" applyBorder="1">
      <alignment horizontal="left" vertical="top" wrapText="1"/>
    </xf>
    <xf fontId="0" fillId="35" borderId="12" numFmtId="49" xfId="0" applyNumberFormat="1" applyFont="1" applyFill="1" applyBorder="1">
      <alignment horizontal="left" vertical="center" wrapText="1"/>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40" borderId="12" numFmtId="49" xfId="0" applyNumberFormat="1" applyFont="1" applyFill="1" applyBorder="1">
      <alignment horizontal="left" vertical="top"/>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39" fillId="37" borderId="13" numFmtId="0" xfId="0"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39" fillId="37" borderId="13" numFmtId="0" xfId="0"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39" fillId="37" borderId="15" numFmtId="0" xfId="0" applyFont="1" applyFill="1" applyBorder="1">
      <alignment horizontal="lef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0" fillId="37" borderId="15" numFmtId="0" xfId="0" applyFont="1" applyFill="1" applyBorder="1">
      <alignment vertical="center"/>
    </xf>
    <xf fontId="39" fillId="37" borderId="13" numFmtId="0" xfId="0" applyFont="1" applyFill="1" applyBorder="1">
      <alignment horizontal="left" vertical="center"/>
    </xf>
    <xf fontId="0" fillId="0" borderId="12" numFmtId="49" xfId="0" applyNumberFormat="1" applyFont="1" applyBorder="1">
      <alignment horizontal="left" vertical="center" wrapText="1"/>
    </xf>
    <xf fontId="0" fillId="0" borderId="12" numFmtId="179" xfId="0" applyNumberFormat="1" applyFont="1" applyBorder="1">
      <alignment horizontal="left" indent="1" vertical="center" wrapText="1"/>
    </xf>
    <xf fontId="0" fillId="35" borderId="12" numFmtId="179" xfId="0" applyNumberFormat="1" applyFont="1" applyFill="1" applyBorder="1">
      <alignment horizontal="center" vertical="center" wrapText="1"/>
    </xf>
    <xf fontId="53" fillId="36" borderId="12" numFmtId="49" xfId="0" applyNumberFormat="1" applyFont="1" applyFill="1" applyBorder="1">
      <alignment horizontal="left" vertical="center" wrapText="1"/>
      <protection locked="0"/>
    </xf>
    <xf fontId="27" fillId="39" borderId="12" numFmtId="49" xfId="0" applyNumberFormat="1" applyFont="1" applyFill="1" applyBorder="1">
      <alignment horizontal="left" vertical="center" wrapText="1"/>
      <protection locked="0"/>
    </xf>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drawing" Target="../drawings/drawing1.xml"/><Relationship  Id="rId2" Type="http://schemas.openxmlformats.org/officeDocument/2006/relationships/comments" Target="../comments1.xml"/><Relationship  Id="rId1" Type="http://schemas.openxmlformats.org/officeDocument/2006/relationships/hyperlink" Target="mailto:Katrichenko-TS@dgk.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1704" width="5.421875"/>
    <col customWidth="1" min="2" max="2" style="1704" width="9.140625"/>
    <col customWidth="1" min="3" max="3" style="1704" width="16.421875"/>
    <col customWidth="1" min="4" max="25" style="1704" width="6.28125"/>
    <col min="26" max="28" style="1704" width="11.00390625"/>
  </cols>
  <sheetData>
    <row r="1" ht="15.75" customHeight="1">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r="2" ht="17.25" customHeight="1">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r="3" ht="15.75" customHeight="1">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r="4" ht="17.25" customHeight="1">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r="5" ht="22.5" customHeight="1">
      <c r="A5" s="1708"/>
      <c r="B5" s="2079"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r="6" ht="15" customHeight="1">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r="7" ht="15" customHeight="1">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r="8" ht="15" customHeight="1">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r="9" ht="15" customHeight="1">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r="10" ht="30" customHeight="1">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r="11" ht="19.5" customHeight="1">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r="12" ht="69" customHeight="1">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r="13" ht="15" customHeight="1">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r="14" ht="57" customHeight="1">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r="15" ht="16.5" customHeight="1">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r="16" ht="95.25" customHeight="1">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r="17" ht="14.25" customHeight="1">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r="18" ht="14.25" customHeight="1">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r="19" ht="14.25" customHeight="1">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r="20" ht="14.25" customHeight="1">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r="21" ht="14.25" customHeight="1">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autoFilter="0" deleteColumns="1" deleteRows="1" formatColumns="0" formatRows="0" insertColumns="1" insertRows="1" sheet="1" sort="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defaultRowHeight="14.25" customHeight="1"/>
  <cols>
    <col customWidth="1" hidden="1" min="1" max="1" style="1632" width="9.140625"/>
    <col customWidth="1" hidden="1" min="2" max="3" style="1635" width="9.140625"/>
    <col customWidth="1" min="4" max="4" style="1842" width="3.00390625"/>
    <col customWidth="1" min="5" max="5" style="1635" width="6.00390625"/>
    <col customWidth="1" hidden="1" min="6" max="6" style="1635" width="1.7109375"/>
    <col customWidth="1" min="7" max="8" style="1635" width="30.00390625"/>
    <col customWidth="1" min="9" max="9" style="1635" width="8.00390625"/>
    <col customWidth="1" min="10" max="10" style="1635" width="12.140625"/>
    <col customWidth="1" min="11" max="11" style="1635" width="46.00390625"/>
    <col customWidth="1" min="12" max="12" style="1635" width="100.00390625"/>
    <col customWidth="1" min="13" max="13" style="1819" width="7.00390625"/>
    <col customWidth="1" min="14" max="22" style="1635" width="10.00390625"/>
    <col hidden="1" min="23" max="23" style="1635" width="10.57421875"/>
  </cols>
  <sheetData>
    <row r="1" s="1642" customFormat="1" ht="5.25" hidden="1" customHeight="1">
      <c r="C1" s="511"/>
      <c r="D1" s="494"/>
      <c r="F1" s="511"/>
      <c r="G1" s="489" t="s">
        <v>83</v>
      </c>
      <c r="H1" s="489" t="s">
        <v>84</v>
      </c>
      <c r="I1" s="489" t="s">
        <v>85</v>
      </c>
      <c r="P1" s="489" t="s">
        <v>83</v>
      </c>
      <c r="Q1" s="489" t="s">
        <v>84</v>
      </c>
      <c r="R1" s="489" t="s">
        <v>85</v>
      </c>
      <c r="W1" s="489" t="s">
        <v>14</v>
      </c>
    </row>
    <row r="2" s="1642" customFormat="1" ht="5.25" hidden="1" customHeight="1">
      <c r="C2" s="511"/>
      <c r="D2" s="494"/>
      <c r="F2" s="511"/>
      <c r="W2" s="489">
        <v>0</v>
      </c>
    </row>
    <row r="3" s="1612" customFormat="1" ht="5.25" customHeight="1">
      <c r="A3" s="479"/>
      <c r="D3" s="486"/>
      <c r="E3" s="481"/>
      <c r="F3" s="481"/>
      <c r="G3" s="481"/>
      <c r="H3" s="481"/>
      <c r="I3" s="482"/>
      <c r="J3" s="483"/>
      <c r="K3" s="483"/>
      <c r="L3" s="483"/>
      <c r="W3" s="480">
        <v>5</v>
      </c>
    </row>
    <row r="4" ht="23.25" customHeight="1">
      <c r="D4" s="450"/>
      <c r="E4" s="2238" t="s">
        <v>392</v>
      </c>
      <c r="F4" s="2238"/>
      <c r="G4" s="2239"/>
      <c r="H4" s="2239"/>
      <c r="I4" s="2240"/>
      <c r="J4" s="491"/>
      <c r="K4" s="453"/>
      <c r="L4" s="453"/>
      <c r="W4" s="447">
        <v>22</v>
      </c>
    </row>
    <row r="5" s="1635" customFormat="1" ht="18" customHeight="1">
      <c r="A5" s="759"/>
      <c r="D5" s="822"/>
      <c r="E5" s="2214" t="str">
        <f>IF(org=0,"Не определено",org)</f>
        <v xml:space="preserve">АО "ДГК"</v>
      </c>
      <c r="F5" s="2214"/>
      <c r="G5" s="2215"/>
      <c r="H5" s="2215"/>
      <c r="I5" s="2216"/>
      <c r="J5" s="491"/>
      <c r="K5" s="453"/>
      <c r="L5" s="453"/>
      <c r="M5" s="507"/>
      <c r="W5" s="758">
        <v>17</v>
      </c>
    </row>
    <row r="6" s="1612" customFormat="1" ht="11.5" customHeight="1">
      <c r="A6" s="479"/>
      <c r="D6" s="486"/>
      <c r="E6" s="481"/>
      <c r="F6" s="481"/>
      <c r="G6" s="484"/>
      <c r="H6" s="484"/>
      <c r="I6" s="485"/>
      <c r="J6" s="485"/>
      <c r="K6" s="752"/>
      <c r="L6" s="485"/>
      <c r="W6" s="480">
        <v>11</v>
      </c>
    </row>
    <row r="7" ht="14.65" customHeight="1">
      <c r="D7" s="450"/>
      <c r="E7" s="2208" t="s">
        <v>304</v>
      </c>
      <c r="F7" s="2208"/>
      <c r="G7" s="2209"/>
      <c r="H7" s="2209"/>
      <c r="I7" s="2209"/>
      <c r="J7" s="2209"/>
      <c r="K7" s="2209"/>
      <c r="L7" s="2223" t="s">
        <v>305</v>
      </c>
      <c r="W7" s="447">
        <v>14</v>
      </c>
    </row>
    <row r="8" ht="48.25" customHeight="1">
      <c r="D8" s="450"/>
      <c r="E8" s="473" t="s">
        <v>88</v>
      </c>
      <c r="F8" s="823"/>
      <c r="G8" s="465" t="s">
        <v>86</v>
      </c>
      <c r="H8" s="465" t="s">
        <v>87</v>
      </c>
      <c r="I8" s="414" t="s">
        <v>85</v>
      </c>
      <c r="J8" s="414" t="s">
        <v>393</v>
      </c>
      <c r="K8" s="414" t="s">
        <v>394</v>
      </c>
      <c r="L8" s="2223"/>
      <c r="W8" s="447">
        <v>46</v>
      </c>
    </row>
    <row r="9" ht="12" hidden="1" customHeight="1">
      <c r="D9" s="487"/>
      <c r="E9" s="493"/>
      <c r="F9" s="830"/>
      <c r="G9" s="493"/>
      <c r="H9" s="493"/>
      <c r="I9" s="493"/>
      <c r="J9" s="493"/>
      <c r="K9" s="493"/>
      <c r="L9" s="493"/>
      <c r="M9" s="447"/>
      <c r="W9" s="447">
        <v>0</v>
      </c>
    </row>
    <row r="10" ht="14.25" hidden="1" customHeight="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r="11" ht="15" hidden="1" customHeight="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r="12" s="1612" customFormat="1" ht="15" customHeight="1">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r="13" ht="15.75" customHeight="1">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r="14" ht="11.5" customHeight="1">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r="15" ht="14.65" customHeight="1">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r="16" ht="14.65" customHeight="1">
      <c r="W16" s="447">
        <v>14</v>
      </c>
    </row>
    <row r="17" ht="14.65" customHeight="1">
      <c r="W17" s="447">
        <v>14</v>
      </c>
    </row>
    <row r="18" ht="14.65" customHeight="1">
      <c r="G18" s="505"/>
      <c r="W18" s="447">
        <v>14</v>
      </c>
    </row>
    <row r="19" ht="22.5" hidden="1" customHeight="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autoFilter="0" deleteColumns="1" deleteRows="1" formatColumns="0" formatRows="0" insertColumns="1" insertRows="1" sheet="1" sort="1"/>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0001D-00BF-4571-AC65-00D3008200E6}"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1D0069-0084-4311-89B7-005700BC001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 xml:space="preserve">Источник тепловой энергии</v>
      </c>
      <c r="AQ5" s="500"/>
      <c r="AR5" s="500"/>
      <c r="AS5" s="1155">
        <v>0</v>
      </c>
    </row>
    <row r="6" ht="47.25" hidden="1" customHeight="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 xml:space="preserve">Схема подключения теплопотребляющей установки к коллектору источника тепловой энергии</v>
      </c>
      <c r="AQ6" s="500"/>
      <c r="AR6" s="500"/>
      <c r="AS6" s="1155">
        <v>0</v>
      </c>
    </row>
    <row r="7" ht="21" hidden="1" customHeight="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 xml:space="preserve">Добавить схему подключения</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P17" s="1311"/>
      <c r="AD17" s="1360"/>
      <c r="AE17" s="1360"/>
      <c r="AF17" s="1360"/>
      <c r="AG17" s="1361"/>
      <c r="AH17" s="2267"/>
      <c r="AI17" s="2268" t="s">
        <v>66</v>
      </c>
      <c r="AJ17" s="2267"/>
      <c r="AK17" s="2268" t="s">
        <v>66</v>
      </c>
      <c r="AS17" s="1155">
        <v>0</v>
      </c>
    </row>
    <row r="18" ht="14.25" hidden="1" customHeight="1">
      <c r="P18" s="1311"/>
      <c r="AD18" s="1360"/>
      <c r="AE18" s="1360"/>
      <c r="AF18" s="1360"/>
      <c r="AG18" s="328" t="str">
        <f>AH17&amp;"-"&amp;AJ17</f>
        <v>-</v>
      </c>
      <c r="AH18" s="2268"/>
      <c r="AI18" s="2268"/>
      <c r="AJ18" s="2268"/>
      <c r="AK18" s="2268"/>
      <c r="AS18" s="1155">
        <v>0</v>
      </c>
    </row>
    <row r="19" ht="14.25" hidden="1" customHeight="1">
      <c r="P19" s="1311"/>
      <c r="AK19" s="327"/>
      <c r="AS19" s="1155">
        <v>0</v>
      </c>
    </row>
    <row r="20" s="1366" customFormat="1" ht="22.5" hidden="1" customHeight="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r="23" ht="14.25" hidden="1" customHeight="1">
      <c r="O23" s="1364"/>
      <c r="P23" s="1311"/>
      <c r="AS23" s="1155">
        <v>0</v>
      </c>
    </row>
    <row r="24" ht="14.25" hidden="1" customHeight="1">
      <c r="O24" s="1364"/>
      <c r="P24" s="1311"/>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45841</v>
      </c>
      <c r="W30" s="2264"/>
      <c r="X30" s="2264"/>
      <c r="Y30" s="2264"/>
      <c r="Z30" s="2264"/>
      <c r="AA30" s="2264"/>
      <c r="AB30" s="2264"/>
      <c r="AC30" s="326"/>
      <c r="AD30" s="2264" t="str">
        <f>IF(TITLE_DATE_PR_CHANGE="",IF(TITLE_DATE_PR="","",TITLE_DATE_PR),TITLE_DATE_PR_CHANGE)</f>
        <v>45841</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27-3420</v>
      </c>
      <c r="W31" s="2251"/>
      <c r="X31" s="2251"/>
      <c r="Y31" s="2251"/>
      <c r="Z31" s="2251"/>
      <c r="AA31" s="2251"/>
      <c r="AB31" s="2251"/>
      <c r="AC31" s="326"/>
      <c r="AD31" s="2251" t="str">
        <f>IF(TITLE_NUMBER_PR_CHANGE="",IF(TITLE_NUMBER_PR="","",TITLE_NUMBER_PR),TITLE_NUMBER_PR_CHANGE)</f>
        <v>27-3420</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customHeight="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customHeight="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45841</v>
      </c>
      <c r="W34" s="2264"/>
      <c r="X34" s="2264"/>
      <c r="Y34" s="2264"/>
      <c r="Z34" s="2264"/>
      <c r="AA34" s="2264"/>
      <c r="AB34" s="2264"/>
      <c r="AC34" s="326"/>
      <c r="AD34" s="2264" t="str">
        <f>IF(TITLE_DATE_PR_CHANGE="",IF(TITLE_DATE_PR="","",TITLE_DATE_PR),TITLE_DATE_PR_CHANGE)</f>
        <v>45841</v>
      </c>
      <c r="AE34" s="2264"/>
      <c r="AF34" s="2264"/>
      <c r="AG34" s="2264"/>
      <c r="AH34" s="2264"/>
      <c r="AI34" s="2264"/>
      <c r="AJ34" s="2264"/>
      <c r="AK34" s="326"/>
      <c r="AL34" s="326"/>
      <c r="AM34" s="280"/>
      <c r="AN34" s="368"/>
      <c r="AO34" s="368"/>
      <c r="AP34" s="368"/>
      <c r="AQ34" s="368"/>
      <c r="AR34" s="368"/>
      <c r="AS34" s="418">
        <v>0</v>
      </c>
    </row>
    <row r="35" s="1853" customFormat="1" ht="18.75" customHeight="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27-3420</v>
      </c>
      <c r="W35" s="2251"/>
      <c r="X35" s="2251"/>
      <c r="Y35" s="2251"/>
      <c r="Z35" s="2251"/>
      <c r="AA35" s="2251"/>
      <c r="AB35" s="2251"/>
      <c r="AC35" s="326"/>
      <c r="AD35" s="2251" t="str">
        <f>IF(TITLE_NUMBER_PR_CHANGE="",IF(TITLE_NUMBER_PR="","",TITLE_NUMBER_PR),TITLE_NUMBER_PR_CHANGE)</f>
        <v>27-3420</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r="39" ht="14.65" customHeight="1">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r="40" ht="35.649999999999999" customHeight="1">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r="41" ht="35.649999999999999" customHeight="1">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r="43" ht="24" customHeight="1">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23</v>
      </c>
    </row>
    <row r="44" ht="24" customHeight="1">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 xml:space="preserve">Территория действия тарифа</v>
      </c>
      <c r="AQ44" s="500"/>
      <c r="AR44" s="500"/>
      <c r="AS44" s="1155">
        <v>23</v>
      </c>
    </row>
    <row r="45" ht="24" customHeight="1">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 xml:space="preserve">Наименование системы теплоснабжения</v>
      </c>
      <c r="AQ45" s="500"/>
      <c r="AR45" s="500"/>
      <c r="AS45" s="1155">
        <v>23</v>
      </c>
    </row>
    <row r="46" ht="24" customHeight="1">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 xml:space="preserve">Источник тепловой энергии</v>
      </c>
      <c r="AQ46" s="500"/>
      <c r="AR46" s="500"/>
      <c r="AS46" s="1155">
        <v>23</v>
      </c>
    </row>
    <row r="47" ht="49.5" customHeight="1">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 xml:space="preserve">Схема подключения теплопотребляющей установки к коллектору источника тепловой энергии</v>
      </c>
      <c r="AQ47" s="500"/>
      <c r="AR47" s="500"/>
      <c r="AS47" s="1155">
        <v>47</v>
      </c>
    </row>
    <row r="48" ht="24" customHeight="1">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 xml:space="preserve">Группа потребителей</v>
      </c>
      <c r="AQ48" s="500"/>
      <c r="AR48" s="500"/>
      <c r="AS48" s="1155">
        <v>23</v>
      </c>
    </row>
    <row r="49" ht="24" customHeight="1">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r="50" ht="1.05" customHeight="1">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14.65" customHeight="1">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 xml:space="preserve">Добавить схему подключения</v>
      </c>
      <c r="AQ53" s="500"/>
      <c r="AR53" s="500"/>
      <c r="AS53" s="1155">
        <v>14</v>
      </c>
    </row>
    <row r="54" s="1642" customFormat="1" ht="1.05" customHeight="1">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8.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r="60" ht="67.200000000000003" customHeight="1">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r="61" ht="14.65" customHeight="1">
      <c r="O61" s="537"/>
      <c r="AS61" s="1155">
        <v>14</v>
      </c>
    </row>
    <row r="62" ht="18.75" customHeight="1">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r="63" ht="18.75" customHeight="1">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r="64" ht="29.25" customHeight="1">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22.5" hidden="1" customHeight="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autoFilter="0" deleteColumns="1" deleteRows="1" formatColumns="0" formatRows="0" insertColumns="1" insertRows="1" sheet="1" sort="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F00DE-00A9-4BAB-8CCC-00A30080007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B100AF-00E2-41CB-B198-006D007C001A}"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F0066-000A-4E41-94BB-00ED0082006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200F5-00D0-4042-AA6F-006700BE00C6}"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 xml:space="preserve">Источник тепловой энергии</v>
      </c>
      <c r="AQ5" s="500"/>
      <c r="AR5" s="500"/>
      <c r="AS5" s="1155">
        <v>0</v>
      </c>
    </row>
    <row r="6" ht="47.25" hidden="1" customHeight="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 xml:space="preserve">Схема подключения теплопотребляющей установки к коллектору источника тепловой энергии</v>
      </c>
      <c r="AQ6" s="500"/>
      <c r="AR6" s="500"/>
      <c r="AS6" s="1155">
        <v>0</v>
      </c>
    </row>
    <row r="7" ht="21" hidden="1" customHeight="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 xml:space="preserve">Добавить схему подключения</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45841</v>
      </c>
      <c r="W30" s="2264"/>
      <c r="X30" s="2264"/>
      <c r="Y30" s="2264"/>
      <c r="Z30" s="2264"/>
      <c r="AA30" s="2264"/>
      <c r="AB30" s="2264"/>
      <c r="AC30" s="326"/>
      <c r="AD30" s="2264" t="str">
        <f>IF(TITLE_DATE_PR_CHANGE="",IF(TITLE_DATE_PR="","",TITLE_DATE_PR),TITLE_DATE_PR_CHANGE)</f>
        <v>45841</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27-3420</v>
      </c>
      <c r="W31" s="2251"/>
      <c r="X31" s="2251"/>
      <c r="Y31" s="2251"/>
      <c r="Z31" s="2251"/>
      <c r="AA31" s="2251"/>
      <c r="AB31" s="2251"/>
      <c r="AC31" s="326"/>
      <c r="AD31" s="2251" t="str">
        <f>IF(TITLE_NUMBER_PR_CHANGE="",IF(TITLE_NUMBER_PR="","",TITLE_NUMBER_PR),TITLE_NUMBER_PR_CHANGE)</f>
        <v>27-3420</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customHeight="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45841</v>
      </c>
      <c r="W34" s="2264"/>
      <c r="X34" s="2264"/>
      <c r="Y34" s="2264"/>
      <c r="Z34" s="2264"/>
      <c r="AA34" s="2264"/>
      <c r="AB34" s="2264"/>
      <c r="AC34" s="326"/>
      <c r="AD34" s="2264" t="str">
        <f>IF(TITLE_DATE_PR_CHANGE="",IF(TITLE_DATE_PR="","",TITLE_DATE_PR),TITLE_DATE_PR_CHANGE)</f>
        <v>45841</v>
      </c>
      <c r="AE34" s="2264"/>
      <c r="AF34" s="2264"/>
      <c r="AG34" s="2264"/>
      <c r="AH34" s="2264"/>
      <c r="AI34" s="2264"/>
      <c r="AJ34" s="2264"/>
      <c r="AK34" s="326"/>
      <c r="AL34" s="326"/>
      <c r="AM34" s="280"/>
      <c r="AN34" s="368"/>
      <c r="AO34" s="368"/>
      <c r="AP34" s="368"/>
      <c r="AQ34" s="368"/>
      <c r="AR34" s="368"/>
      <c r="AS34" s="418">
        <v>0</v>
      </c>
    </row>
    <row r="35" s="1853" customFormat="1" ht="18.75" customHeight="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27-3420</v>
      </c>
      <c r="W35" s="2251"/>
      <c r="X35" s="2251"/>
      <c r="Y35" s="2251"/>
      <c r="Z35" s="2251"/>
      <c r="AA35" s="2251"/>
      <c r="AB35" s="2251"/>
      <c r="AC35" s="326"/>
      <c r="AD35" s="2251" t="str">
        <f>IF(TITLE_NUMBER_PR_CHANGE="",IF(TITLE_NUMBER_PR="","",TITLE_NUMBER_PR),TITLE_NUMBER_PR_CHANGE)</f>
        <v>27-3420</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r="39" ht="14.65" customHeight="1">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r="40" ht="35.649999999999999" customHeight="1">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r="41" ht="35.649999999999999" customHeight="1">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 xml:space="preserve">Территория действия тарифа</v>
      </c>
      <c r="AQ44" s="500"/>
      <c r="AR44" s="500"/>
      <c r="AS44" s="1155">
        <v>21</v>
      </c>
    </row>
    <row r="45" ht="24" customHeight="1">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 xml:space="preserve">Наименование системы теплоснабжения</v>
      </c>
      <c r="AQ45" s="500"/>
      <c r="AR45" s="500"/>
      <c r="AS45" s="1155">
        <v>23</v>
      </c>
    </row>
    <row r="46" ht="22" customHeight="1">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 xml:space="preserve">Источник тепловой энергии</v>
      </c>
      <c r="AQ46" s="500"/>
      <c r="AR46" s="500"/>
      <c r="AS46" s="1155">
        <v>21</v>
      </c>
    </row>
    <row r="47" ht="49.5" customHeight="1">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 xml:space="preserve">Схема подключения теплопотребляющей установки к коллектору источника тепловой энергии</v>
      </c>
      <c r="AQ47" s="500"/>
      <c r="AR47" s="500"/>
      <c r="AS47" s="1155">
        <v>47</v>
      </c>
    </row>
    <row r="48" ht="22" customHeight="1">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 xml:space="preserve">Группа потребителей</v>
      </c>
      <c r="AQ48" s="500"/>
      <c r="AR48" s="500"/>
      <c r="AS48" s="1155">
        <v>21</v>
      </c>
    </row>
    <row r="49" ht="22" customHeight="1">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r="50" ht="1.05" customHeight="1">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14.65" customHeight="1">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 xml:space="preserve">Добавить схему подключения</v>
      </c>
      <c r="AQ53" s="500"/>
      <c r="AR53" s="500"/>
      <c r="AS53" s="1155">
        <v>14</v>
      </c>
    </row>
    <row r="54" s="1642" customFormat="1" ht="1.05" customHeight="1">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8.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r="60" ht="65.2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r="61" ht="14.65" customHeight="1">
      <c r="O61" s="537"/>
      <c r="AS61" s="1155">
        <v>14</v>
      </c>
    </row>
    <row r="62" ht="18.75" customHeight="1">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r="63" ht="18.75" customHeight="1">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r="64" ht="29.25" customHeight="1">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22.5" hidden="1" customHeight="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autoFilter="0" deleteColumns="1" deleteRows="1" formatColumns="0" formatRows="0" insertColumns="1" insertRows="1" sheet="1" sort="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C00FB-0075-4B41-A2C7-00970098005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E006E-0026-434A-8290-0077006800F1}"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C0048-00EB-4A65-AC39-0084005B00A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1009E-00F9-4B80-B1BF-000400B000A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635" width="10.57421875"/>
    <col customWidth="1" hidden="1" min="2" max="2" style="1635" width="11.00390625"/>
    <col hidden="1" min="3" max="3" style="1635" width="10.57421875"/>
    <col customWidth="1" hidden="1" min="4" max="4" style="1635" width="11.8515625"/>
    <col customWidth="1" hidden="1" min="5" max="5" style="1635" width="10.00390625"/>
    <col customWidth="1" hidden="1" min="6" max="6" style="1635" width="8.7109375"/>
    <col customWidth="1" hidden="1" min="7" max="7" style="1635" width="7.57421875"/>
    <col customWidth="1" hidden="1" min="8" max="8" style="1635" width="11.421875"/>
    <col customWidth="1" hidden="1" min="9" max="9" style="1635" width="12.00390625"/>
    <col customWidth="1" hidden="1" min="10" max="10" style="1635" width="9.8515625"/>
    <col customWidth="1" hidden="1" min="11" max="11" style="1635" width="11.421875"/>
    <col customWidth="1" hidden="1" min="12" max="12" style="2125" width="19.140625"/>
    <col customWidth="1" hidden="1" min="13" max="14" style="2397" width="12.28125"/>
    <col customWidth="1" hidden="1" min="15" max="15" style="2397" width="23.421875"/>
    <col customWidth="1" min="16" max="16" style="2397" width="3.0039062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AS1" s="1631" t="s">
        <v>14</v>
      </c>
    </row>
    <row r="2" ht="21" hidden="1" customHeight="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 xml:space="preserve">Наименование тарифа</v>
      </c>
      <c r="AQ2" s="1624"/>
      <c r="AR2" s="1624"/>
      <c r="AS2" s="1631">
        <v>0</v>
      </c>
    </row>
    <row r="3" ht="21" hidden="1" customHeight="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 xml:space="preserve">Территория действия тарифа</v>
      </c>
      <c r="AQ3" s="1624"/>
      <c r="AR3" s="1624"/>
      <c r="AS3" s="1631">
        <v>0</v>
      </c>
    </row>
    <row r="4" ht="23.25" hidden="1" customHeight="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 xml:space="preserve">Наименование системы теплоснабжения</v>
      </c>
      <c r="AQ4" s="1624"/>
      <c r="AR4" s="1624"/>
      <c r="AS4" s="1631">
        <v>0</v>
      </c>
    </row>
    <row r="5" ht="21" hidden="1" customHeight="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 xml:space="preserve">Источник тепловой энергии</v>
      </c>
      <c r="AQ5" s="1624"/>
      <c r="AR5" s="1624"/>
      <c r="AS5" s="1631">
        <v>0</v>
      </c>
    </row>
    <row r="6" ht="47.25" hidden="1" customHeight="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 xml:space="preserve">Схема подключения теплопотребляющей установки к коллектору источника тепловой энергии</v>
      </c>
      <c r="AQ6" s="1624"/>
      <c r="AR6" s="1624"/>
      <c r="AS6" s="1631">
        <v>0</v>
      </c>
    </row>
    <row r="7" ht="21" hidden="1" customHeight="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 xml:space="preserve">Группа потребителей</v>
      </c>
      <c r="AQ7" s="1624"/>
      <c r="AR7" s="1624"/>
      <c r="AS7" s="1631">
        <v>0</v>
      </c>
    </row>
    <row r="8" ht="21" hidden="1" customHeight="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r="9" ht="0.75" hidden="1" customHeight="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r="10" ht="15" hidden="1" customHeight="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 xml:space="preserve">Добавить вид теплоносителя (параметры теплоносителя)</v>
      </c>
      <c r="AQ10" s="1624"/>
      <c r="AR10" s="1624"/>
      <c r="AS10" s="1631">
        <v>0</v>
      </c>
    </row>
    <row r="11" ht="15" hidden="1" customHeight="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 xml:space="preserve">Добавить группу потребителей</v>
      </c>
      <c r="AQ11" s="1624"/>
      <c r="AR11" s="1624"/>
      <c r="AS11" s="1631">
        <v>0</v>
      </c>
    </row>
    <row r="12" ht="14.25" hidden="1" customHeight="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 xml:space="preserve">Добавить схему подключения</v>
      </c>
      <c r="AQ12" s="1624"/>
      <c r="AR12" s="1624"/>
      <c r="AS12" s="1631">
        <v>0</v>
      </c>
    </row>
    <row r="13" s="1642" customFormat="1" ht="0.75" hidden="1" customHeight="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 xml:space="preserve">Добавить источник для дифференциации</v>
      </c>
      <c r="AQ13" s="1251"/>
      <c r="AR13" s="1251"/>
      <c r="AS13" s="1642">
        <v>0</v>
      </c>
    </row>
    <row r="14" s="1642" customFormat="1" ht="0.75" hidden="1" customHeight="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 xml:space="preserve">Добавить централизованную систему для дифференциации</v>
      </c>
      <c r="AQ14" s="1251"/>
      <c r="AR14" s="1251"/>
      <c r="AS14" s="1642">
        <v>0</v>
      </c>
    </row>
    <row r="15" s="1642" customFormat="1" ht="0.75" hidden="1" customHeight="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 xml:space="preserve">Добавить территорию для дифференциации</v>
      </c>
      <c r="AQ15" s="1251"/>
      <c r="AR15" s="1251"/>
      <c r="AS15" s="1642">
        <v>0</v>
      </c>
    </row>
    <row r="16" ht="14.25" hidden="1" customHeight="1">
      <c r="AS16" s="1631">
        <v>0</v>
      </c>
    </row>
    <row r="17" ht="14.25" hidden="1" customHeight="1">
      <c r="AD17" s="1360"/>
      <c r="AE17" s="1360"/>
      <c r="AF17" s="1360"/>
      <c r="AG17" s="1361"/>
      <c r="AH17" s="2267"/>
      <c r="AI17" s="2268" t="s">
        <v>66</v>
      </c>
      <c r="AJ17" s="2267"/>
      <c r="AK17" s="2268" t="s">
        <v>66</v>
      </c>
      <c r="AS17" s="1631">
        <v>0</v>
      </c>
    </row>
    <row r="18" ht="14.25" hidden="1" customHeight="1">
      <c r="AD18" s="1360"/>
      <c r="AE18" s="1360"/>
      <c r="AF18" s="1360"/>
      <c r="AG18" s="328" t="str">
        <f>AH17&amp;"-"&amp;AJ17</f>
        <v>-</v>
      </c>
      <c r="AH18" s="2268"/>
      <c r="AI18" s="2268"/>
      <c r="AJ18" s="2268"/>
      <c r="AK18" s="2268"/>
      <c r="AS18" s="1631">
        <v>0</v>
      </c>
    </row>
    <row r="19" ht="14.25" hidden="1" customHeight="1">
      <c r="AS19" s="1631">
        <v>0</v>
      </c>
    </row>
    <row r="20" s="1366" customFormat="1" ht="14.25" hidden="1" customHeight="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r="21" s="1366" customFormat="1" ht="14.25" hidden="1" customHeight="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r="22" s="1366" customFormat="1" ht="14.25" hidden="1" customHeight="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r="23" ht="14.25" hidden="1" customHeight="1">
      <c r="O23" s="1310"/>
      <c r="AS23" s="1631">
        <v>0</v>
      </c>
    </row>
    <row r="24" ht="14.25" hidden="1" customHeight="1">
      <c r="O24" s="1310"/>
      <c r="AS24" s="1631">
        <v>0</v>
      </c>
    </row>
    <row r="25" ht="14.65" customHeight="1">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r="28" ht="14.25" hidden="1" customHeight="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r="29" s="1853" customFormat="1" ht="25.5" hidden="1" customHeight="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r="30" s="1853" customFormat="1" ht="18.75" hidden="1" customHeight="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45841</v>
      </c>
      <c r="W30" s="2264"/>
      <c r="X30" s="2264"/>
      <c r="Y30" s="2264"/>
      <c r="Z30" s="2264"/>
      <c r="AA30" s="2264"/>
      <c r="AB30" s="2264"/>
      <c r="AC30" s="1635"/>
      <c r="AD30" s="2264" t="str">
        <f>IF(TITLE_DATE_PR_CHANGE="",IF(TITLE_DATE_PR="","",TITLE_DATE_PR),TITLE_DATE_PR_CHANGE)</f>
        <v>45841</v>
      </c>
      <c r="AE30" s="2264"/>
      <c r="AF30" s="2264"/>
      <c r="AG30" s="2264"/>
      <c r="AH30" s="2264"/>
      <c r="AI30" s="2264"/>
      <c r="AJ30" s="2264"/>
      <c r="AK30" s="1635"/>
      <c r="AL30" s="1635"/>
      <c r="AM30" s="280"/>
      <c r="AN30" s="368"/>
      <c r="AO30" s="368"/>
      <c r="AP30" s="368"/>
      <c r="AQ30" s="368"/>
      <c r="AR30" s="368"/>
      <c r="AS30" s="418">
        <v>0</v>
      </c>
    </row>
    <row r="31" s="1853" customFormat="1" ht="18.75" hidden="1" customHeight="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27-3420</v>
      </c>
      <c r="W31" s="2251"/>
      <c r="X31" s="2251"/>
      <c r="Y31" s="2251"/>
      <c r="Z31" s="2251"/>
      <c r="AA31" s="2251"/>
      <c r="AB31" s="2251"/>
      <c r="AC31" s="1635"/>
      <c r="AD31" s="2251" t="str">
        <f>IF(TITLE_NUMBER_PR_CHANGE="",IF(TITLE_NUMBER_PR="","",TITLE_NUMBER_PR),TITLE_NUMBER_PR_CHANGE)</f>
        <v>27-3420</v>
      </c>
      <c r="AE31" s="2251"/>
      <c r="AF31" s="2251"/>
      <c r="AG31" s="2251"/>
      <c r="AH31" s="2251"/>
      <c r="AI31" s="2251"/>
      <c r="AJ31" s="2251"/>
      <c r="AK31" s="1635"/>
      <c r="AL31" s="1635"/>
      <c r="AM31" s="280"/>
      <c r="AN31" s="368"/>
      <c r="AO31" s="368"/>
      <c r="AP31" s="368"/>
      <c r="AQ31" s="368"/>
      <c r="AR31" s="368"/>
      <c r="AS31" s="418">
        <v>0</v>
      </c>
    </row>
    <row r="32" s="1853" customFormat="1" ht="18.75" hidden="1" customHeight="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r="33" ht="14.25" hidden="1" customHeight="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r="34" s="1853" customFormat="1" ht="18.75" hidden="1" customHeight="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45841</v>
      </c>
      <c r="W34" s="2264"/>
      <c r="X34" s="2264"/>
      <c r="Y34" s="2264"/>
      <c r="Z34" s="2264"/>
      <c r="AA34" s="2264"/>
      <c r="AB34" s="2264"/>
      <c r="AC34" s="1635"/>
      <c r="AD34" s="2264" t="str">
        <f>IF(TITLE_DATE_PR_CHANGE="",IF(TITLE_DATE_PR="","",TITLE_DATE_PR),TITLE_DATE_PR_CHANGE)</f>
        <v>45841</v>
      </c>
      <c r="AE34" s="2264"/>
      <c r="AF34" s="2264"/>
      <c r="AG34" s="2264"/>
      <c r="AH34" s="2264"/>
      <c r="AI34" s="2264"/>
      <c r="AJ34" s="2264"/>
      <c r="AK34" s="1635"/>
      <c r="AL34" s="1635"/>
      <c r="AM34" s="280"/>
      <c r="AN34" s="368"/>
      <c r="AO34" s="368"/>
      <c r="AP34" s="368"/>
      <c r="AQ34" s="368"/>
      <c r="AR34" s="368"/>
      <c r="AS34" s="418">
        <v>0</v>
      </c>
    </row>
    <row r="35" s="1853" customFormat="1" ht="18.75" hidden="1" customHeight="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27-3420</v>
      </c>
      <c r="W35" s="2251"/>
      <c r="X35" s="2251"/>
      <c r="Y35" s="2251"/>
      <c r="Z35" s="2251"/>
      <c r="AA35" s="2251"/>
      <c r="AB35" s="2251"/>
      <c r="AC35" s="1635"/>
      <c r="AD35" s="2251" t="str">
        <f>IF(TITLE_NUMBER_PR_CHANGE="",IF(TITLE_NUMBER_PR="","",TITLE_NUMBER_PR),TITLE_NUMBER_PR_CHANGE)</f>
        <v>27-3420</v>
      </c>
      <c r="AE35" s="2251"/>
      <c r="AF35" s="2251"/>
      <c r="AG35" s="2251"/>
      <c r="AH35" s="2251"/>
      <c r="AI35" s="2251"/>
      <c r="AJ35" s="2251"/>
      <c r="AK35" s="1635"/>
      <c r="AL35" s="1635"/>
      <c r="AM35" s="280"/>
      <c r="AN35" s="368"/>
      <c r="AO35" s="368"/>
      <c r="AP35" s="368"/>
      <c r="AQ35" s="368"/>
      <c r="AR35" s="368"/>
      <c r="AS35" s="418">
        <v>0</v>
      </c>
    </row>
    <row r="36" s="1853" customFormat="1" ht="0" customHeight="1">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r="37" ht="14.65" customHeight="1">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r="39" ht="14.65" customHeight="1">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r="40" ht="35.649999999999999" customHeight="1">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r="41" ht="35.649999999999999" customHeight="1">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r="42" s="1641" customFormat="1" ht="11.25" hidden="1" customHeight="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r="43" ht="22" customHeight="1">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 xml:space="preserve">Наименование тарифа</v>
      </c>
      <c r="AQ43" s="1624"/>
      <c r="AR43" s="1624"/>
      <c r="AS43" s="1631">
        <v>21</v>
      </c>
    </row>
    <row r="44" ht="22" customHeight="1">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 xml:space="preserve">Территория действия тарифа</v>
      </c>
      <c r="AQ44" s="1624"/>
      <c r="AR44" s="1624"/>
      <c r="AS44" s="1631">
        <v>21</v>
      </c>
    </row>
    <row r="45" ht="24" customHeight="1">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 xml:space="preserve">Наименование системы теплоснабжения</v>
      </c>
      <c r="AQ45" s="1624"/>
      <c r="AR45" s="1624"/>
      <c r="AS45" s="1631">
        <v>23</v>
      </c>
    </row>
    <row r="46" ht="22" customHeight="1">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 xml:space="preserve">Источник тепловой энергии</v>
      </c>
      <c r="AQ46" s="1624"/>
      <c r="AR46" s="1624"/>
      <c r="AS46" s="1631">
        <v>21</v>
      </c>
    </row>
    <row r="47" ht="49.5" customHeight="1">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 xml:space="preserve">Схема подключения теплопотребляющей установки к коллектору источника тепловой энергии</v>
      </c>
      <c r="AQ47" s="1624"/>
      <c r="AR47" s="1624"/>
      <c r="AS47" s="1631">
        <v>47</v>
      </c>
    </row>
    <row r="48" ht="22" customHeight="1">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 xml:space="preserve">Группа потребителей</v>
      </c>
      <c r="AQ48" s="1624"/>
      <c r="AR48" s="1624"/>
      <c r="AS48" s="1631">
        <v>21</v>
      </c>
    </row>
    <row r="49" ht="22" customHeight="1">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r="50" ht="1.05" customHeight="1">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r="51" ht="11.5" customHeight="1">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 xml:space="preserve">Добавить вид теплоносителя (параметры теплоносителя)</v>
      </c>
      <c r="AQ51" s="1624"/>
      <c r="AR51" s="1624"/>
      <c r="AS51" s="1631">
        <v>11</v>
      </c>
    </row>
    <row r="52" ht="11.5" customHeight="1">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 xml:space="preserve">Добавить группу потребителей</v>
      </c>
      <c r="AQ52" s="1624"/>
      <c r="AR52" s="1624"/>
      <c r="AS52" s="1631">
        <v>11</v>
      </c>
    </row>
    <row r="53" ht="14.65" customHeight="1">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 xml:space="preserve">Добавить схему подключения</v>
      </c>
      <c r="AQ53" s="1624"/>
      <c r="AR53" s="1624"/>
      <c r="AS53" s="1631">
        <v>14</v>
      </c>
    </row>
    <row r="54" s="1642" customFormat="1" ht="4.2000000000000002" customHeight="1">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 xml:space="preserve">Добавить источник для дифференциации</v>
      </c>
      <c r="AQ54" s="1251"/>
      <c r="AR54" s="1251"/>
      <c r="AS54" s="1642">
        <v>4</v>
      </c>
    </row>
    <row r="55" s="1642" customFormat="1" ht="4.2000000000000002" customHeight="1">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 xml:space="preserve">Добавить централизованную систему для дифференциации</v>
      </c>
      <c r="AQ55" s="1251"/>
      <c r="AR55" s="1251"/>
      <c r="AS55" s="1642">
        <v>4</v>
      </c>
    </row>
    <row r="56" s="1642" customFormat="1" ht="4.2000000000000002" customHeight="1">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 xml:space="preserve">Добавить территорию для дифференциации</v>
      </c>
      <c r="AQ56" s="1624"/>
      <c r="AR56" s="1624"/>
      <c r="AS56" s="1636">
        <v>4</v>
      </c>
    </row>
    <row r="57" s="1642" customFormat="1" ht="4.2000000000000002" customHeight="1">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 xml:space="preserve">Добавить наименование тарифа</v>
      </c>
      <c r="AQ57" s="1251"/>
      <c r="AR57" s="1251"/>
      <c r="AS57" s="1642">
        <v>4</v>
      </c>
    </row>
    <row r="58" ht="11.5" customHeight="1">
      <c r="M58" s="1631"/>
      <c r="N58" s="1631"/>
      <c r="O58" s="1635"/>
      <c r="P58" s="1631"/>
      <c r="Q58" s="1631"/>
      <c r="R58" s="1631"/>
      <c r="S58" s="1631"/>
      <c r="AN58" s="1631"/>
      <c r="AO58" s="1631"/>
      <c r="AP58" s="1631"/>
      <c r="AQ58" s="1631"/>
      <c r="AR58" s="1631"/>
      <c r="AS58" s="1631">
        <v>11</v>
      </c>
    </row>
    <row r="59" ht="28.5" customHeight="1">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r="60" ht="65.25" customHeight="1">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r="61" ht="14.65" customHeight="1">
      <c r="O61" s="1635"/>
      <c r="AS61" s="1631">
        <v>14</v>
      </c>
    </row>
    <row r="62" ht="18.75" customHeight="1">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r="63" ht="18.75" customHeight="1">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r="64" ht="29.25" customHeight="1">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r="65" ht="22.5" hidden="1" customHeight="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autoFilter="0" deleteColumns="1" deleteRows="1" insertColumns="1" insertRows="1"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C002F-00C8-40AB-9822-00CD0035009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40029-00C8-40CC-91EE-005900A6003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100B5-00A5-4F98-A558-005D00AD002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300A7-00CB-46B2-A57C-002D00B90055}"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635" width="10.57421875"/>
    <col customWidth="1" hidden="1" min="2" max="2" style="1635" width="11.00390625"/>
    <col hidden="1" min="3" max="3" style="1635" width="10.57421875"/>
    <col customWidth="1" hidden="1" min="4" max="4" style="1635" width="11.8515625"/>
    <col customWidth="1" hidden="1" min="5" max="5" style="1635" width="10.00390625"/>
    <col customWidth="1" hidden="1" min="6" max="6" style="1635" width="8.7109375"/>
    <col customWidth="1" hidden="1" min="7" max="7" style="1635" width="7.57421875"/>
    <col customWidth="1" hidden="1" min="8" max="8" style="1635" width="11.421875"/>
    <col customWidth="1" hidden="1" min="9" max="9" style="1635" width="12.00390625"/>
    <col customWidth="1" hidden="1" min="10" max="10" style="1635" width="9.8515625"/>
    <col customWidth="1" hidden="1" min="11" max="11" style="1635" width="11.421875"/>
    <col customWidth="1" hidden="1" min="12" max="12" style="2125" width="19.140625"/>
    <col customWidth="1" hidden="1" min="13" max="14" style="2397" width="12.28125"/>
    <col customWidth="1" hidden="1" min="15" max="15" style="2397" width="23.421875"/>
    <col customWidth="1" min="16" max="16" style="2397" width="3.0039062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AS1" s="1631" t="s">
        <v>14</v>
      </c>
    </row>
    <row r="2" ht="21" hidden="1" customHeight="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 xml:space="preserve">Наименование тарифа</v>
      </c>
      <c r="AQ2" s="1624"/>
      <c r="AR2" s="1624"/>
      <c r="AS2" s="1631">
        <v>0</v>
      </c>
    </row>
    <row r="3" ht="21" hidden="1" customHeight="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 xml:space="preserve">Территория действия тарифа</v>
      </c>
      <c r="AQ3" s="1624"/>
      <c r="AR3" s="1624"/>
      <c r="AS3" s="1631">
        <v>0</v>
      </c>
    </row>
    <row r="4" ht="23.25" hidden="1" customHeight="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 xml:space="preserve">Наименование системы теплоснабжения</v>
      </c>
      <c r="AQ4" s="1624"/>
      <c r="AR4" s="1624"/>
      <c r="AS4" s="1631">
        <v>0</v>
      </c>
    </row>
    <row r="5" ht="21" hidden="1" customHeight="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 xml:space="preserve">Источник тепловой энергии</v>
      </c>
      <c r="AQ5" s="1624"/>
      <c r="AR5" s="1624"/>
      <c r="AS5" s="1631">
        <v>0</v>
      </c>
    </row>
    <row r="6" ht="47.25" hidden="1" customHeight="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 xml:space="preserve">Схема подключения теплопотребляющей установки к коллектору источника тепловой энергии</v>
      </c>
      <c r="AQ6" s="1624"/>
      <c r="AR6" s="1624"/>
      <c r="AS6" s="1631">
        <v>0</v>
      </c>
    </row>
    <row r="7" ht="21" hidden="1" customHeight="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 xml:space="preserve">Группа потребителей</v>
      </c>
      <c r="AQ7" s="1624"/>
      <c r="AR7" s="1624"/>
      <c r="AS7" s="1631">
        <v>0</v>
      </c>
    </row>
    <row r="8" ht="21" hidden="1" customHeight="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r="9" ht="0.75" hidden="1" customHeight="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r="10" ht="15" hidden="1" customHeight="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 xml:space="preserve">Добавить вид теплоносителя (параметры теплоносителя)</v>
      </c>
      <c r="AQ10" s="1624"/>
      <c r="AR10" s="1624"/>
      <c r="AS10" s="1631">
        <v>0</v>
      </c>
    </row>
    <row r="11" ht="15" hidden="1" customHeight="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 xml:space="preserve">Добавить группу потребителей</v>
      </c>
      <c r="AQ11" s="1624"/>
      <c r="AR11" s="1624"/>
      <c r="AS11" s="1631">
        <v>0</v>
      </c>
    </row>
    <row r="12" ht="14.25" hidden="1" customHeight="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 xml:space="preserve">Добавить схему подключения</v>
      </c>
      <c r="AQ12" s="1624"/>
      <c r="AR12" s="1624"/>
      <c r="AS12" s="1631">
        <v>0</v>
      </c>
    </row>
    <row r="13" s="1642" customFormat="1" ht="0.75" hidden="1" customHeight="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 xml:space="preserve">Добавить источник для дифференциации</v>
      </c>
      <c r="AQ13" s="1251"/>
      <c r="AR13" s="1251"/>
      <c r="AS13" s="1642">
        <v>0</v>
      </c>
    </row>
    <row r="14" s="1642" customFormat="1" ht="0.75" hidden="1" customHeight="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 xml:space="preserve">Добавить централизованную систему для дифференциации</v>
      </c>
      <c r="AQ14" s="1251"/>
      <c r="AR14" s="1251"/>
      <c r="AS14" s="1642">
        <v>0</v>
      </c>
    </row>
    <row r="15" s="1642" customFormat="1" ht="0.75" hidden="1" customHeight="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 xml:space="preserve">Добавить территорию для дифференциации</v>
      </c>
      <c r="AQ15" s="1251"/>
      <c r="AR15" s="1251"/>
      <c r="AS15" s="1642">
        <v>0</v>
      </c>
    </row>
    <row r="16" ht="14.25" hidden="1" customHeight="1">
      <c r="AS16" s="1631">
        <v>0</v>
      </c>
    </row>
    <row r="17" ht="14.25" hidden="1" customHeight="1">
      <c r="AD17" s="1360"/>
      <c r="AE17" s="1360"/>
      <c r="AF17" s="1360"/>
      <c r="AG17" s="1361"/>
      <c r="AH17" s="2267"/>
      <c r="AI17" s="2268" t="s">
        <v>66</v>
      </c>
      <c r="AJ17" s="2267"/>
      <c r="AK17" s="2268" t="s">
        <v>66</v>
      </c>
      <c r="AS17" s="1631">
        <v>0</v>
      </c>
    </row>
    <row r="18" ht="14.25" hidden="1" customHeight="1">
      <c r="AD18" s="1360"/>
      <c r="AE18" s="1360"/>
      <c r="AF18" s="1360"/>
      <c r="AG18" s="328" t="str">
        <f>AH17&amp;"-"&amp;AJ17</f>
        <v>-</v>
      </c>
      <c r="AH18" s="2268"/>
      <c r="AI18" s="2268"/>
      <c r="AJ18" s="2268"/>
      <c r="AK18" s="2268"/>
      <c r="AS18" s="1631">
        <v>0</v>
      </c>
    </row>
    <row r="19" ht="14.25" hidden="1" customHeight="1">
      <c r="AS19" s="1631">
        <v>0</v>
      </c>
    </row>
    <row r="20" s="1366" customFormat="1" ht="14.25" hidden="1" customHeight="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r="21" s="1366" customFormat="1" ht="14.25" hidden="1" customHeight="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r="22" s="1366" customFormat="1" ht="14.25" hidden="1" customHeight="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r="23" ht="14.25" hidden="1" customHeight="1">
      <c r="O23" s="1310"/>
      <c r="AS23" s="1631">
        <v>0</v>
      </c>
    </row>
    <row r="24" ht="14.25" hidden="1" customHeight="1">
      <c r="O24" s="1310"/>
      <c r="AS24" s="1631">
        <v>0</v>
      </c>
    </row>
    <row r="25" ht="14.65" customHeight="1">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r="28" ht="14.25" hidden="1" customHeight="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r="29" s="1853" customFormat="1" ht="25.5" hidden="1" customHeight="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r="30" s="1853" customFormat="1" ht="18.75" hidden="1" customHeight="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45841</v>
      </c>
      <c r="W30" s="2264"/>
      <c r="X30" s="2264"/>
      <c r="Y30" s="2264"/>
      <c r="Z30" s="2264"/>
      <c r="AA30" s="2264"/>
      <c r="AB30" s="2264"/>
      <c r="AC30" s="1635"/>
      <c r="AD30" s="2264" t="str">
        <f>IF(TITLE_DATE_PR_CHANGE="",IF(TITLE_DATE_PR="","",TITLE_DATE_PR),TITLE_DATE_PR_CHANGE)</f>
        <v>45841</v>
      </c>
      <c r="AE30" s="2264"/>
      <c r="AF30" s="2264"/>
      <c r="AG30" s="2264"/>
      <c r="AH30" s="2264"/>
      <c r="AI30" s="2264"/>
      <c r="AJ30" s="2264"/>
      <c r="AK30" s="1635"/>
      <c r="AL30" s="1635"/>
      <c r="AM30" s="280"/>
      <c r="AN30" s="368"/>
      <c r="AO30" s="368"/>
      <c r="AP30" s="368"/>
      <c r="AQ30" s="368"/>
      <c r="AR30" s="368"/>
      <c r="AS30" s="418">
        <v>0</v>
      </c>
    </row>
    <row r="31" s="1853" customFormat="1" ht="18.75" hidden="1" customHeight="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27-3420</v>
      </c>
      <c r="W31" s="2251"/>
      <c r="X31" s="2251"/>
      <c r="Y31" s="2251"/>
      <c r="Z31" s="2251"/>
      <c r="AA31" s="2251"/>
      <c r="AB31" s="2251"/>
      <c r="AC31" s="1635"/>
      <c r="AD31" s="2251" t="str">
        <f>IF(TITLE_NUMBER_PR_CHANGE="",IF(TITLE_NUMBER_PR="","",TITLE_NUMBER_PR),TITLE_NUMBER_PR_CHANGE)</f>
        <v>27-3420</v>
      </c>
      <c r="AE31" s="2251"/>
      <c r="AF31" s="2251"/>
      <c r="AG31" s="2251"/>
      <c r="AH31" s="2251"/>
      <c r="AI31" s="2251"/>
      <c r="AJ31" s="2251"/>
      <c r="AK31" s="1635"/>
      <c r="AL31" s="1635"/>
      <c r="AM31" s="280"/>
      <c r="AN31" s="368"/>
      <c r="AO31" s="368"/>
      <c r="AP31" s="368"/>
      <c r="AQ31" s="368"/>
      <c r="AR31" s="368"/>
      <c r="AS31" s="418">
        <v>0</v>
      </c>
    </row>
    <row r="32" s="1853" customFormat="1" ht="18.75" hidden="1" customHeight="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r="33" ht="14.25" hidden="1" customHeight="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r="34" s="1853" customFormat="1" ht="18.75" hidden="1" customHeight="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45841</v>
      </c>
      <c r="W34" s="2264"/>
      <c r="X34" s="2264"/>
      <c r="Y34" s="2264"/>
      <c r="Z34" s="2264"/>
      <c r="AA34" s="2264"/>
      <c r="AB34" s="2264"/>
      <c r="AC34" s="1635"/>
      <c r="AD34" s="2264" t="str">
        <f>IF(TITLE_DATE_PR_CHANGE="",IF(TITLE_DATE_PR="","",TITLE_DATE_PR),TITLE_DATE_PR_CHANGE)</f>
        <v>45841</v>
      </c>
      <c r="AE34" s="2264"/>
      <c r="AF34" s="2264"/>
      <c r="AG34" s="2264"/>
      <c r="AH34" s="2264"/>
      <c r="AI34" s="2264"/>
      <c r="AJ34" s="2264"/>
      <c r="AK34" s="1635"/>
      <c r="AL34" s="1635"/>
      <c r="AM34" s="280"/>
      <c r="AN34" s="368"/>
      <c r="AO34" s="368"/>
      <c r="AP34" s="368"/>
      <c r="AQ34" s="368"/>
      <c r="AR34" s="368"/>
      <c r="AS34" s="418">
        <v>0</v>
      </c>
    </row>
    <row r="35" s="1853" customFormat="1" ht="18.75" hidden="1" customHeight="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27-3420</v>
      </c>
      <c r="W35" s="2251"/>
      <c r="X35" s="2251"/>
      <c r="Y35" s="2251"/>
      <c r="Z35" s="2251"/>
      <c r="AA35" s="2251"/>
      <c r="AB35" s="2251"/>
      <c r="AC35" s="1635"/>
      <c r="AD35" s="2251" t="str">
        <f>IF(TITLE_NUMBER_PR_CHANGE="",IF(TITLE_NUMBER_PR="","",TITLE_NUMBER_PR),TITLE_NUMBER_PR_CHANGE)</f>
        <v>27-3420</v>
      </c>
      <c r="AE35" s="2251"/>
      <c r="AF35" s="2251"/>
      <c r="AG35" s="2251"/>
      <c r="AH35" s="2251"/>
      <c r="AI35" s="2251"/>
      <c r="AJ35" s="2251"/>
      <c r="AK35" s="1635"/>
      <c r="AL35" s="1635"/>
      <c r="AM35" s="280"/>
      <c r="AN35" s="368"/>
      <c r="AO35" s="368"/>
      <c r="AP35" s="368"/>
      <c r="AQ35" s="368"/>
      <c r="AR35" s="368"/>
      <c r="AS35" s="418">
        <v>0</v>
      </c>
    </row>
    <row r="36" s="1853" customFormat="1" ht="0" customHeight="1">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r="37" ht="14.65" customHeight="1">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r="39" ht="14.65" customHeight="1">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r="40" ht="35.649999999999999" customHeight="1">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r="41" ht="35.649999999999999" customHeight="1">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r="42" s="1641" customFormat="1" ht="11.25" hidden="1" customHeight="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r="43" ht="22" customHeight="1">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 xml:space="preserve">Наименование тарифа</v>
      </c>
      <c r="AQ43" s="1624"/>
      <c r="AR43" s="1624"/>
      <c r="AS43" s="1631">
        <v>21</v>
      </c>
    </row>
    <row r="44" ht="22" customHeight="1">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 xml:space="preserve">Территория действия тарифа</v>
      </c>
      <c r="AQ44" s="1624"/>
      <c r="AR44" s="1624"/>
      <c r="AS44" s="1631">
        <v>21</v>
      </c>
    </row>
    <row r="45" ht="24" customHeight="1">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 xml:space="preserve">Наименование системы теплоснабжения</v>
      </c>
      <c r="AQ45" s="1624"/>
      <c r="AR45" s="1624"/>
      <c r="AS45" s="1631">
        <v>23</v>
      </c>
    </row>
    <row r="46" ht="22" customHeight="1">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 xml:space="preserve">Источник тепловой энергии</v>
      </c>
      <c r="AQ46" s="1624"/>
      <c r="AR46" s="1624"/>
      <c r="AS46" s="1631">
        <v>21</v>
      </c>
    </row>
    <row r="47" ht="49.5" customHeight="1">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 xml:space="preserve">Схема подключения теплопотребляющей установки к коллектору источника тепловой энергии</v>
      </c>
      <c r="AQ47" s="1624"/>
      <c r="AR47" s="1624"/>
      <c r="AS47" s="1631">
        <v>47</v>
      </c>
    </row>
    <row r="48" ht="22" customHeight="1">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 xml:space="preserve">Группа потребителей</v>
      </c>
      <c r="AQ48" s="1624"/>
      <c r="AR48" s="1624"/>
      <c r="AS48" s="1631">
        <v>21</v>
      </c>
    </row>
    <row r="49" ht="22" customHeight="1">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r="50" ht="1.05" customHeight="1">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r="51" ht="11.5" customHeight="1">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 xml:space="preserve">Добавить вид теплоносителя (параметры теплоносителя)</v>
      </c>
      <c r="AQ51" s="1624"/>
      <c r="AR51" s="1624"/>
      <c r="AS51" s="1631">
        <v>11</v>
      </c>
    </row>
    <row r="52" ht="11.5" customHeight="1">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 xml:space="preserve">Добавить группу потребителей</v>
      </c>
      <c r="AQ52" s="1624"/>
      <c r="AR52" s="1624"/>
      <c r="AS52" s="1631">
        <v>11</v>
      </c>
    </row>
    <row r="53" ht="14.65" customHeight="1">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 xml:space="preserve">Добавить схему подключения</v>
      </c>
      <c r="AQ53" s="1624"/>
      <c r="AR53" s="1624"/>
      <c r="AS53" s="1631">
        <v>14</v>
      </c>
    </row>
    <row r="54" s="1642" customFormat="1" ht="1.05" customHeight="1">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 xml:space="preserve">Добавить источник для дифференциации</v>
      </c>
      <c r="AQ54" s="1251"/>
      <c r="AR54" s="1251"/>
      <c r="AS54" s="1642">
        <v>1</v>
      </c>
    </row>
    <row r="55" s="1642" customFormat="1" ht="1.05" customHeight="1">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 xml:space="preserve">Добавить централизованную систему для дифференциации</v>
      </c>
      <c r="AQ55" s="1251"/>
      <c r="AR55" s="1251"/>
      <c r="AS55" s="1642">
        <v>1</v>
      </c>
    </row>
    <row r="56" s="1642" customFormat="1" ht="1.05" customHeight="1">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 xml:space="preserve">Добавить территорию для дифференциации</v>
      </c>
      <c r="AQ56" s="1624"/>
      <c r="AR56" s="1624"/>
      <c r="AS56" s="1636">
        <v>1</v>
      </c>
    </row>
    <row r="57" s="1642" customFormat="1" ht="1.05" customHeight="1">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 xml:space="preserve">Добавить наименование тарифа</v>
      </c>
      <c r="AQ57" s="1251"/>
      <c r="AR57" s="1251"/>
      <c r="AS57" s="1642">
        <v>1</v>
      </c>
    </row>
    <row r="58" ht="11.5" customHeight="1">
      <c r="M58" s="1631"/>
      <c r="N58" s="1631"/>
      <c r="O58" s="1635"/>
      <c r="P58" s="1631"/>
      <c r="Q58" s="1631"/>
      <c r="R58" s="1631"/>
      <c r="S58" s="1631"/>
      <c r="AN58" s="1631"/>
      <c r="AO58" s="1631"/>
      <c r="AP58" s="1631"/>
      <c r="AQ58" s="1631"/>
      <c r="AR58" s="1631"/>
      <c r="AS58" s="1631">
        <v>11</v>
      </c>
    </row>
    <row r="59" ht="28.5" customHeight="1">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r="60" ht="65.25" customHeight="1">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r="61" ht="14.65" customHeight="1">
      <c r="O61" s="1635"/>
      <c r="AS61" s="1631">
        <v>14</v>
      </c>
    </row>
    <row r="62" ht="18.75" customHeight="1">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r="63" ht="18.75" customHeight="1">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r="64" ht="29.25" customHeight="1">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r="65" ht="22.5" hidden="1" customHeight="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autoFilter="0" deleteColumns="1" deleteRows="1" insertColumns="1" insertRows="1"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E0048-0045-4D3D-B183-00160075000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8D002B-0011-4569-AC07-00E800A100EB}"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30099-00CB-412E-AE53-0016008800BF}"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10079-0001-4F91-9CD6-005900C6008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1.00390625"/>
    <col customWidth="1" hidden="1" min="21" max="21" style="1635" width="0.7109375"/>
    <col customWidth="1" hidden="1" min="22" max="22" style="1635" width="1.7109375"/>
    <col customWidth="1" hidden="1" min="23" max="23" style="1635" width="24.7109375"/>
    <col customWidth="1" hidden="1" min="24" max="25" style="1635" width="0.14062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0.140625"/>
    <col customWidth="1" min="31" max="31" style="1635" width="24.00390625"/>
    <col customWidth="1" min="32" max="33" style="1635" width="0.14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 xml:space="preserve">Источник тепловой энергии</v>
      </c>
      <c r="AQ5" s="500"/>
      <c r="AR5" s="500"/>
      <c r="AS5" s="1155">
        <v>0</v>
      </c>
    </row>
    <row r="6" ht="47.25" hidden="1" customHeight="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 xml:space="preserve">Схема подключения теплопотребляющей установки к коллектору источника тепловой энергии</v>
      </c>
      <c r="AQ6" s="500"/>
      <c r="AR6" s="500"/>
      <c r="AS6" s="1155">
        <v>0</v>
      </c>
    </row>
    <row r="7" ht="21" hidden="1" customHeight="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 xml:space="preserve">Добавить схему подключения</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33.75" hidden="1" customHeight="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29.2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45841</v>
      </c>
      <c r="W30" s="2264"/>
      <c r="X30" s="2264"/>
      <c r="Y30" s="2264"/>
      <c r="Z30" s="2264"/>
      <c r="AA30" s="2264"/>
      <c r="AB30" s="2264"/>
      <c r="AC30" s="326"/>
      <c r="AD30" s="2264" t="str">
        <f>IF(TITLE_DATE_PR_CHANGE="",IF(TITLE_DATE_PR="","",TITLE_DATE_PR),TITLE_DATE_PR_CHANGE)</f>
        <v>45841</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27-3420</v>
      </c>
      <c r="W31" s="2251"/>
      <c r="X31" s="2251"/>
      <c r="Y31" s="2251"/>
      <c r="Z31" s="2251"/>
      <c r="AA31" s="2251"/>
      <c r="AB31" s="2251"/>
      <c r="AC31" s="326"/>
      <c r="AD31" s="2251" t="str">
        <f>IF(TITLE_NUMBER_PR_CHANGE="",IF(TITLE_NUMBER_PR="","",TITLE_NUMBER_PR),TITLE_NUMBER_PR_CHANGE)</f>
        <v>27-3420</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customHeight="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45841</v>
      </c>
      <c r="W34" s="2264"/>
      <c r="X34" s="2264"/>
      <c r="Y34" s="2264"/>
      <c r="Z34" s="2264"/>
      <c r="AA34" s="2264"/>
      <c r="AB34" s="2264"/>
      <c r="AC34" s="326"/>
      <c r="AD34" s="2264" t="str">
        <f>IF(TITLE_DATE_PR_CHANGE="",IF(TITLE_DATE_PR="","",TITLE_DATE_PR),TITLE_DATE_PR_CHANGE)</f>
        <v>45841</v>
      </c>
      <c r="AE34" s="2264"/>
      <c r="AF34" s="2264"/>
      <c r="AG34" s="2264"/>
      <c r="AH34" s="2264"/>
      <c r="AI34" s="2264"/>
      <c r="AJ34" s="2264"/>
      <c r="AK34" s="326"/>
      <c r="AL34" s="326"/>
      <c r="AM34" s="280"/>
      <c r="AN34" s="368"/>
      <c r="AO34" s="368"/>
      <c r="AP34" s="368"/>
      <c r="AQ34" s="368"/>
      <c r="AR34" s="368"/>
      <c r="AS34" s="418">
        <v>0</v>
      </c>
    </row>
    <row r="35" s="1853" customFormat="1" ht="18.75" customHeight="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27-3420</v>
      </c>
      <c r="W35" s="2251"/>
      <c r="X35" s="2251"/>
      <c r="Y35" s="2251"/>
      <c r="Z35" s="2251"/>
      <c r="AA35" s="2251"/>
      <c r="AB35" s="2251"/>
      <c r="AC35" s="326"/>
      <c r="AD35" s="2251" t="str">
        <f>IF(TITLE_NUMBER_PR_CHANGE="",IF(TITLE_NUMBER_PR="","",TITLE_NUMBER_PR),TITLE_NUMBER_PR_CHANGE)</f>
        <v>27-3420</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r="39" ht="14.65" customHeight="1">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r="40" ht="24" customHeight="1">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r="41" s="1266" customFormat="1" ht="24" customHeight="1">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 xml:space="preserve">Территория действия тарифа</v>
      </c>
      <c r="AQ44" s="500"/>
      <c r="AR44" s="500"/>
      <c r="AS44" s="1155">
        <v>21</v>
      </c>
    </row>
    <row r="45" ht="24" customHeight="1">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 xml:space="preserve">Наименование системы теплоснабжения</v>
      </c>
      <c r="AQ45" s="500"/>
      <c r="AR45" s="500"/>
      <c r="AS45" s="1155">
        <v>23</v>
      </c>
    </row>
    <row r="46" ht="22" customHeight="1">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 xml:space="preserve">Источник тепловой энергии</v>
      </c>
      <c r="AQ46" s="500"/>
      <c r="AR46" s="500"/>
      <c r="AS46" s="1155">
        <v>21</v>
      </c>
    </row>
    <row r="47" ht="49.5" customHeight="1">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 xml:space="preserve">Схема подключения теплопотребляющей установки к коллектору источника тепловой энергии</v>
      </c>
      <c r="AQ47" s="500"/>
      <c r="AR47" s="500"/>
      <c r="AS47" s="1155">
        <v>47</v>
      </c>
    </row>
    <row r="48" ht="22" customHeight="1">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 xml:space="preserve">Группа потребителей</v>
      </c>
      <c r="AQ48" s="500"/>
      <c r="AR48" s="500"/>
      <c r="AS48" s="1155">
        <v>21</v>
      </c>
    </row>
    <row r="49" ht="22" customHeight="1">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r="50" ht="1.05" customHeight="1">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14.65" customHeight="1">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 xml:space="preserve">Добавить схему подключения</v>
      </c>
      <c r="AQ53" s="500"/>
      <c r="AR53" s="500"/>
      <c r="AS53" s="1155">
        <v>14</v>
      </c>
    </row>
    <row r="54" s="1642" customFormat="1" ht="1.05" customHeight="1">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8.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r="60" ht="78.7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r="61" ht="14.65" customHeight="1">
      <c r="O61" s="537"/>
      <c r="AS61" s="1155">
        <v>14</v>
      </c>
    </row>
    <row r="62" ht="18.75" customHeight="1">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r="63" ht="18.75" customHeight="1">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r="64" ht="39.75" customHeight="1">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r="65" ht="22.5" hidden="1" customHeight="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autoFilter="0" deleteColumns="1" deleteRows="1" formatColumns="0" formatRows="0" insertColumns="1" insertRows="1" sheet="1" sort="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10021-0085-4ED5-8528-003D0090007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A001D-00A4-4C1B-80C4-0078000A002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200DE-00CB-44FE-8B8A-00320033002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E00B3-0031-4D38-BB32-00B80037009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2397" width="3.710937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customWidth="1" hidden="1" min="45" max="45" style="1635" width="8.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 xml:space="preserve">Источник тепловой энергии</v>
      </c>
      <c r="AQ5" s="500"/>
      <c r="AR5" s="500"/>
      <c r="AS5" s="1155">
        <v>0</v>
      </c>
    </row>
    <row r="6" ht="14.25" hidden="1" customHeight="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r="7" ht="21" hidden="1" customHeight="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63" customHeight="1">
      <c r="Q26" s="376"/>
      <c r="R26" s="376"/>
      <c r="S26" s="224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45841</v>
      </c>
      <c r="W30" s="2264"/>
      <c r="X30" s="2264"/>
      <c r="Y30" s="2264"/>
      <c r="Z30" s="2264"/>
      <c r="AA30" s="2264"/>
      <c r="AB30" s="2264"/>
      <c r="AC30" s="326"/>
      <c r="AD30" s="2264" t="str">
        <f>IF(TITLE_DATE_PR_CHANGE="",IF(TITLE_DATE_PR="","",TITLE_DATE_PR),TITLE_DATE_PR_CHANGE)</f>
        <v>45841</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27-3420</v>
      </c>
      <c r="W31" s="2251"/>
      <c r="X31" s="2251"/>
      <c r="Y31" s="2251"/>
      <c r="Z31" s="2251"/>
      <c r="AA31" s="2251"/>
      <c r="AB31" s="2251"/>
      <c r="AC31" s="326"/>
      <c r="AD31" s="2251" t="str">
        <f>IF(TITLE_NUMBER_PR_CHANGE="",IF(TITLE_NUMBER_PR="","",TITLE_NUMBER_PR),TITLE_NUMBER_PR_CHANGE)</f>
        <v>27-3420</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customHeight="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45841</v>
      </c>
      <c r="W34" s="2264"/>
      <c r="X34" s="2264"/>
      <c r="Y34" s="2264"/>
      <c r="Z34" s="2264"/>
      <c r="AA34" s="2264"/>
      <c r="AB34" s="2264"/>
      <c r="AC34" s="326"/>
      <c r="AD34" s="2264" t="str">
        <f>IF(TITLE_DATE_PR_CHANGE="",IF(TITLE_DATE_PR="","",TITLE_DATE_PR),TITLE_DATE_PR_CHANGE)</f>
        <v>45841</v>
      </c>
      <c r="AE34" s="2264"/>
      <c r="AF34" s="2264"/>
      <c r="AG34" s="2264"/>
      <c r="AH34" s="2264"/>
      <c r="AI34" s="2264"/>
      <c r="AJ34" s="2264"/>
      <c r="AK34" s="326"/>
      <c r="AL34" s="326"/>
      <c r="AM34" s="280"/>
      <c r="AN34" s="368"/>
      <c r="AO34" s="368"/>
      <c r="AP34" s="368"/>
      <c r="AQ34" s="368"/>
      <c r="AR34" s="368"/>
      <c r="AS34" s="418">
        <v>0</v>
      </c>
    </row>
    <row r="35" s="1853" customFormat="1" ht="18.75" customHeight="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27-3420</v>
      </c>
      <c r="W35" s="2251"/>
      <c r="X35" s="2251"/>
      <c r="Y35" s="2251"/>
      <c r="Z35" s="2251"/>
      <c r="AA35" s="2251"/>
      <c r="AB35" s="2251"/>
      <c r="AC35" s="326"/>
      <c r="AD35" s="2251" t="str">
        <f>IF(TITLE_NUMBER_PR_CHANGE="",IF(TITLE_NUMBER_PR="","",TITLE_NUMBER_PR),TITLE_NUMBER_PR_CHANGE)</f>
        <v>27-3420</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r="39" ht="14.65" customHeight="1">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r="40" ht="35.649999999999999" customHeight="1">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r="41" ht="35.649999999999999" customHeight="1">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 xml:space="preserve">Территория действия тарифа</v>
      </c>
      <c r="AQ44" s="500"/>
      <c r="AR44" s="500"/>
      <c r="AS44" s="1155">
        <v>21</v>
      </c>
    </row>
    <row r="45" ht="24" customHeight="1">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 xml:space="preserve">Наименование системы теплоснабжения</v>
      </c>
      <c r="AQ45" s="500"/>
      <c r="AR45" s="500"/>
      <c r="AS45" s="1155">
        <v>23</v>
      </c>
    </row>
    <row r="46" ht="22" customHeight="1">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 xml:space="preserve">Источник тепловой энергии</v>
      </c>
      <c r="AQ46" s="500"/>
      <c r="AR46" s="500"/>
      <c r="AS46" s="1155">
        <v>21</v>
      </c>
    </row>
    <row r="47" s="1642" customFormat="1" ht="0" customHeight="1">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r="48" ht="22" customHeight="1">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 xml:space="preserve">Группа потребителей</v>
      </c>
      <c r="AQ48" s="500"/>
      <c r="AR48" s="500"/>
      <c r="AS48" s="1155">
        <v>21</v>
      </c>
    </row>
    <row r="49" ht="22" customHeight="1">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r="50" ht="1.05" customHeight="1">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0" customHeight="1">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r="54" s="1642" customFormat="1" ht="1.05" customHeight="1">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19.949999999999999"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r="60" ht="29.2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r="61" ht="42" customHeight="1">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r="62" ht="14.65" customHeight="1">
      <c r="O62" s="537"/>
      <c r="AS62" s="1155">
        <v>14</v>
      </c>
    </row>
    <row r="63" ht="21" customHeight="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r="64" ht="29.25" customHeight="1">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35.649999999999999"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r="66" ht="22.5" hidden="1" customHeight="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autoFilter="0" deleteColumns="1" deleteRows="1" formatColumns="0" formatRows="0" insertColumns="1" insertRows="1" sheet="1" sort="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C0058-0083-4575-9B05-006200F000C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10083-0049-4974-8784-002C00D0008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100FC-00D9-4B80-A4E5-00FB00B5007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700F8-00E7-49E5-9ECF-003300B4001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2397" width="3.710937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A1" s="187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 xml:space="preserve">Источник тепловой энергии</v>
      </c>
      <c r="AQ5" s="500"/>
      <c r="AR5" s="500"/>
      <c r="AS5" s="1155">
        <v>0</v>
      </c>
    </row>
    <row r="6" ht="0.75" hidden="1" customHeight="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r="7" ht="84" hidden="1" customHeight="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 xml:space="preserve">Группа потребителей</v>
      </c>
      <c r="AQ7" s="500"/>
      <c r="AR7" s="500"/>
      <c r="AS7" s="1155">
        <v>0</v>
      </c>
    </row>
    <row r="8" ht="11.25" hidden="1" customHeight="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1.25" hidden="1" customHeight="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1.25" hidden="1" customHeight="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0.75" hidden="1" customHeight="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54.75" customHeight="1">
      <c r="Q26" s="376"/>
      <c r="R26" s="376"/>
      <c r="S26" s="2307"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45841</v>
      </c>
      <c r="W30" s="2264"/>
      <c r="X30" s="2264"/>
      <c r="Y30" s="2264"/>
      <c r="Z30" s="2264"/>
      <c r="AA30" s="2264"/>
      <c r="AB30" s="2264"/>
      <c r="AC30" s="326"/>
      <c r="AD30" s="2264" t="str">
        <f>IF(TITLE_DATE_PR_CHANGE="",IF(TITLE_DATE_PR="","",TITLE_DATE_PR),TITLE_DATE_PR_CHANGE)</f>
        <v>45841</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27-3420</v>
      </c>
      <c r="W31" s="2251"/>
      <c r="X31" s="2251"/>
      <c r="Y31" s="2251"/>
      <c r="Z31" s="2251"/>
      <c r="AA31" s="2251"/>
      <c r="AB31" s="2251"/>
      <c r="AC31" s="326"/>
      <c r="AD31" s="2251" t="str">
        <f>IF(TITLE_NUMBER_PR_CHANGE="",IF(TITLE_NUMBER_PR="","",TITLE_NUMBER_PR),TITLE_NUMBER_PR_CHANGE)</f>
        <v>27-3420</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customHeight="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45841</v>
      </c>
      <c r="W34" s="2264"/>
      <c r="X34" s="2264"/>
      <c r="Y34" s="2264"/>
      <c r="Z34" s="2264"/>
      <c r="AA34" s="2264"/>
      <c r="AB34" s="2264"/>
      <c r="AC34" s="326"/>
      <c r="AD34" s="2264" t="str">
        <f>IF(TITLE_DATE_PR_CHANGE="",IF(TITLE_DATE_PR="","",TITLE_DATE_PR),TITLE_DATE_PR_CHANGE)</f>
        <v>45841</v>
      </c>
      <c r="AE34" s="2264"/>
      <c r="AF34" s="2264"/>
      <c r="AG34" s="2264"/>
      <c r="AH34" s="2264"/>
      <c r="AI34" s="2264"/>
      <c r="AJ34" s="2264"/>
      <c r="AK34" s="326"/>
      <c r="AL34" s="326"/>
      <c r="AM34" s="280"/>
      <c r="AN34" s="368"/>
      <c r="AO34" s="368"/>
      <c r="AP34" s="368"/>
      <c r="AQ34" s="368"/>
      <c r="AR34" s="368"/>
      <c r="AS34" s="418">
        <v>0</v>
      </c>
    </row>
    <row r="35" s="1853" customFormat="1" ht="18.75" customHeight="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27-3420</v>
      </c>
      <c r="W35" s="2251"/>
      <c r="X35" s="2251"/>
      <c r="Y35" s="2251"/>
      <c r="Z35" s="2251"/>
      <c r="AA35" s="2251"/>
      <c r="AB35" s="2251"/>
      <c r="AC35" s="326"/>
      <c r="AD35" s="2251" t="str">
        <f>IF(TITLE_NUMBER_PR_CHANGE="",IF(TITLE_NUMBER_PR="","",TITLE_NUMBER_PR),TITLE_NUMBER_PR_CHANGE)</f>
        <v>27-3420</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r="39" ht="14.65" customHeight="1">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r="40" ht="35.649999999999999" customHeight="1">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r="41" ht="35.649999999999999" customHeight="1">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 xml:space="preserve">Территория действия тарифа</v>
      </c>
      <c r="AQ44" s="500"/>
      <c r="AR44" s="500"/>
      <c r="AS44" s="1155">
        <v>21</v>
      </c>
    </row>
    <row r="45" ht="24" customHeight="1">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 xml:space="preserve">Наименование системы теплоснабжения</v>
      </c>
      <c r="AQ45" s="500"/>
      <c r="AR45" s="500"/>
      <c r="AS45" s="1155">
        <v>23</v>
      </c>
    </row>
    <row r="46" ht="22" customHeight="1">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 xml:space="preserve">Источник тепловой энергии</v>
      </c>
      <c r="AQ46" s="500"/>
      <c r="AR46" s="500"/>
      <c r="AS46" s="1155">
        <v>21</v>
      </c>
    </row>
    <row r="47" s="1642" customFormat="1" ht="0" customHeight="1">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r="48" ht="22" customHeight="1">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 xml:space="preserve">Группа потребителей</v>
      </c>
      <c r="AQ48" s="500"/>
      <c r="AR48" s="500"/>
      <c r="AS48" s="1155">
        <v>21</v>
      </c>
    </row>
    <row r="49" ht="22" customHeight="1">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r="50" ht="1.05" customHeight="1">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0" customHeight="1">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r="54" s="1642" customFormat="1" ht="1.05" customHeight="1">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3.2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r="60" ht="30.449999999999999"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r="61" ht="42" customHeight="1">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r="62" ht="14.65" customHeight="1">
      <c r="O62" s="537"/>
      <c r="AS62" s="1155">
        <v>14</v>
      </c>
    </row>
    <row r="63" ht="21" customHeight="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r="64" ht="29.25" customHeight="1">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35.649999999999999"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r="66" ht="22.5" hidden="1" customHeight="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autoFilter="0" deleteColumns="1" deleteRows="1" formatColumns="0" formatRows="0" insertColumns="1" insertRows="1" sheet="1" sort="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B00E9-0096-4DDD-9B56-003E005A00D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DA007C-0097-405E-B753-001400150066}"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200DF-0050-4451-8A15-00540077004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10090-00A3-49F9-9BB1-00AB0012000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2397" width="3.710937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 xml:space="preserve">Источник тепловой энергии</v>
      </c>
      <c r="AQ5" s="500"/>
      <c r="AR5" s="500"/>
      <c r="AS5" s="1155">
        <v>0</v>
      </c>
    </row>
    <row r="6" ht="14.25" hidden="1" customHeight="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r="7" ht="21" hidden="1" customHeight="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r="9" ht="14.2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1.25" hidden="1" customHeight="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r="13" s="1642" customFormat="1" ht="14.25" hidden="1" customHeight="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14.25" hidden="1" customHeight="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14.25" hidden="1" customHeight="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53.5" customHeight="1">
      <c r="Q26" s="376"/>
      <c r="R26" s="376"/>
      <c r="S26" s="224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r="27" ht="14.65" customHeight="1">
      <c r="Q27" s="376"/>
      <c r="R27" s="376"/>
      <c r="S27" s="2249" t="str">
        <f>IF(org=0,"Не определено",org)</f>
        <v xml:space="preserve">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45841</v>
      </c>
      <c r="W30" s="2264"/>
      <c r="X30" s="2264"/>
      <c r="Y30" s="2264"/>
      <c r="Z30" s="2264"/>
      <c r="AA30" s="2264"/>
      <c r="AB30" s="2264"/>
      <c r="AC30" s="326"/>
      <c r="AD30" s="2264" t="str">
        <f>IF(TITLE_DATE_PR_CHANGE="",IF(TITLE_DATE_PR="","",TITLE_DATE_PR),TITLE_DATE_PR_CHANGE)</f>
        <v>45841</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27-3420</v>
      </c>
      <c r="W31" s="2251"/>
      <c r="X31" s="2251"/>
      <c r="Y31" s="2251"/>
      <c r="Z31" s="2251"/>
      <c r="AA31" s="2251"/>
      <c r="AB31" s="2251"/>
      <c r="AC31" s="326"/>
      <c r="AD31" s="2251" t="str">
        <f>IF(TITLE_NUMBER_PR_CHANGE="",IF(TITLE_NUMBER_PR="","",TITLE_NUMBER_PR),TITLE_NUMBER_PR_CHANGE)</f>
        <v>27-3420</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customHeight="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45841</v>
      </c>
      <c r="W34" s="2264"/>
      <c r="X34" s="2264"/>
      <c r="Y34" s="2264"/>
      <c r="Z34" s="2264"/>
      <c r="AA34" s="2264"/>
      <c r="AB34" s="2264"/>
      <c r="AC34" s="326"/>
      <c r="AD34" s="2264" t="str">
        <f>IF(TITLE_DATE_PR_CHANGE="",IF(TITLE_DATE_PR="","",TITLE_DATE_PR),TITLE_DATE_PR_CHANGE)</f>
        <v>45841</v>
      </c>
      <c r="AE34" s="2264"/>
      <c r="AF34" s="2264"/>
      <c r="AG34" s="2264"/>
      <c r="AH34" s="2264"/>
      <c r="AI34" s="2264"/>
      <c r="AJ34" s="2264"/>
      <c r="AK34" s="326"/>
      <c r="AL34" s="326"/>
      <c r="AM34" s="280"/>
      <c r="AN34" s="368"/>
      <c r="AO34" s="368"/>
      <c r="AP34" s="368"/>
      <c r="AQ34" s="368"/>
      <c r="AR34" s="368"/>
      <c r="AS34" s="418">
        <v>0</v>
      </c>
    </row>
    <row r="35" s="1853" customFormat="1" ht="25.5" customHeight="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27-3420</v>
      </c>
      <c r="W35" s="2251"/>
      <c r="X35" s="2251"/>
      <c r="Y35" s="2251"/>
      <c r="Z35" s="2251"/>
      <c r="AA35" s="2251"/>
      <c r="AB35" s="2251"/>
      <c r="AC35" s="326"/>
      <c r="AD35" s="2251" t="str">
        <f>IF(TITLE_NUMBER_PR_CHANGE="",IF(TITLE_NUMBER_PR="","",TITLE_NUMBER_PR),TITLE_NUMBER_PR_CHANGE)</f>
        <v>27-3420</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r="39" ht="14.65" customHeight="1">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r="40" ht="35.649999999999999" customHeight="1">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r="41" ht="35.649999999999999" customHeight="1">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 xml:space="preserve">Территория действия тарифа</v>
      </c>
      <c r="AQ44" s="500"/>
      <c r="AR44" s="500"/>
      <c r="AS44" s="1155">
        <v>21</v>
      </c>
    </row>
    <row r="45" ht="24" customHeight="1">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 xml:space="preserve">Наименование системы теплоснабжения</v>
      </c>
      <c r="AQ45" s="500"/>
      <c r="AR45" s="500"/>
      <c r="AS45" s="1155">
        <v>23</v>
      </c>
    </row>
    <row r="46" ht="22" customHeight="1">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 xml:space="preserve">Источник тепловой энергии</v>
      </c>
      <c r="AQ46" s="500"/>
      <c r="AR46" s="500"/>
      <c r="AS46" s="1155">
        <v>21</v>
      </c>
    </row>
    <row r="47" s="1642" customFormat="1" ht="0" customHeight="1">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r="48" ht="22" customHeight="1">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 xml:space="preserve">Группа потребителей</v>
      </c>
      <c r="AQ48" s="500"/>
      <c r="AR48" s="500"/>
      <c r="AS48" s="1155">
        <v>21</v>
      </c>
    </row>
    <row r="49" ht="22" customHeight="1">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r="50" ht="0" customHeight="1">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r="51" ht="11.5" customHeight="1">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0" customHeight="1">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r="54" s="1642" customFormat="1" ht="0" customHeight="1">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0</v>
      </c>
    </row>
    <row r="55" s="1642" customFormat="1" ht="0" customHeight="1">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0</v>
      </c>
    </row>
    <row r="56" s="1642" customFormat="1" ht="0" customHeight="1">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0</v>
      </c>
    </row>
    <row r="57" s="1642" customFormat="1" ht="4.2000000000000002" customHeight="1">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4</v>
      </c>
    </row>
    <row r="58" ht="11.5" customHeight="1">
      <c r="M58" s="1160"/>
      <c r="N58" s="1160"/>
      <c r="O58" s="537"/>
      <c r="P58" s="1155"/>
      <c r="Q58" s="1155"/>
      <c r="R58" s="1155"/>
      <c r="S58" s="1155"/>
      <c r="AN58" s="1155"/>
      <c r="AO58" s="1155"/>
      <c r="AP58" s="1155"/>
      <c r="AQ58" s="1155"/>
      <c r="AR58" s="1155"/>
      <c r="AS58" s="1155">
        <v>11</v>
      </c>
    </row>
    <row r="59" ht="14.6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r="60" ht="14.6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r="61" ht="14.65" customHeight="1">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r="62" ht="14.65" customHeight="1">
      <c r="O62" s="537"/>
      <c r="AS62" s="1155">
        <v>14</v>
      </c>
    </row>
    <row r="63" ht="14.65" customHeight="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r="64" ht="14.65" customHeight="1">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r="65" ht="14.65"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r="66" ht="22.5" hidden="1" customHeight="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autoFilter="0" deleteColumns="1" deleteRows="1" formatColumns="0" formatRows="0" insertColumns="1" insertRows="1" sheet="1" sort="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B0046-0007-4A64-9F99-001E00CE00F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3E0054-0022-46F1-891D-00A6005A001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C004C-00EB-48F8-A711-000C00A8009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900C8-0076-459B-8752-00E500F800F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defaultRowHeight="14.25" customHeight="1"/>
  <cols>
    <col hidden="1" min="1" max="1" style="1635" width="10.57421875"/>
    <col customWidth="1" hidden="1" min="2" max="2" style="1635" width="11.00390625"/>
    <col hidden="1" min="3" max="3" style="1635" width="10.57421875"/>
    <col customWidth="1" hidden="1" min="4" max="4" style="1635" width="11.8515625"/>
    <col customWidth="1" hidden="1" min="5" max="5" style="1635" width="10.00390625"/>
    <col customWidth="1" hidden="1" min="6" max="6" style="1635" width="8.7109375"/>
    <col customWidth="1" hidden="1" min="7" max="7" style="1635" width="7.57421875"/>
    <col customWidth="1" hidden="1" min="8" max="8" style="1635" width="11.421875"/>
    <col customWidth="1" hidden="1" min="9" max="9" style="1635" width="12.00390625"/>
    <col customWidth="1" hidden="1" min="10" max="10" style="1635" width="9.8515625"/>
    <col customWidth="1" hidden="1" min="11" max="12" style="1635" width="11.421875"/>
    <col customWidth="1" hidden="1" min="13" max="13" style="2125" width="19.140625"/>
    <col customWidth="1" hidden="1" min="14" max="15" style="2397" width="12.28125"/>
    <col customWidth="1" hidden="1" min="16" max="16" style="2397" width="23.421875"/>
    <col customWidth="1" hidden="1" min="17" max="17" style="2397" width="3.7109375"/>
    <col customWidth="1" min="18" max="20" style="344" width="3.00390625"/>
    <col customWidth="1" min="21" max="21" style="2407" width="12.00390625"/>
    <col customWidth="1" min="22" max="22" style="1635" width="31.00390625"/>
    <col customWidth="1" min="23" max="23" style="1635" width="0.140625"/>
    <col customWidth="1" hidden="1" min="24" max="28" style="1635" width="21.7109375"/>
    <col customWidth="1" hidden="1" min="29" max="29" style="1635" width="11.7109375"/>
    <col customWidth="1" hidden="1" min="30" max="30" style="1635" width="3.7109375"/>
    <col customWidth="1" hidden="1" min="31" max="31" style="1635" width="11.7109375"/>
    <col customWidth="1" hidden="1" min="32" max="32" style="1635" width="8.57421875"/>
    <col customWidth="1" min="33" max="33" style="1635" width="21.7109375"/>
    <col customWidth="1" min="34" max="37" style="1635" width="21.00390625"/>
    <col customWidth="1" min="38" max="38" style="1635" width="11.00390625"/>
    <col customWidth="1" min="39" max="39" style="1635" width="3.7109375"/>
    <col customWidth="1" min="40" max="40" style="1635" width="11.00390625"/>
    <col customWidth="1" hidden="1" min="41" max="41" style="1635" width="8.57421875"/>
    <col customWidth="1" min="42" max="42" style="1635" width="4.00390625"/>
    <col customWidth="1" min="43" max="43" style="1635" width="115.00390625"/>
    <col customWidth="1" min="44" max="48" style="1642" width="10.00390625"/>
    <col hidden="1" min="49" max="49" style="1635" width="10.57421875"/>
  </cols>
  <sheetData>
    <row r="1" ht="22.5" hidden="1" customHeight="1">
      <c r="AB1" s="327"/>
      <c r="AC1" s="327"/>
      <c r="AK1" s="327"/>
      <c r="AL1" s="327"/>
      <c r="AW1" s="1155" t="s">
        <v>14</v>
      </c>
    </row>
    <row r="2" ht="21" hidden="1" customHeight="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 xml:space="preserve">Наименование тарифа</v>
      </c>
      <c r="AU2" s="500"/>
      <c r="AV2" s="500"/>
      <c r="AW2" s="1155">
        <v>0</v>
      </c>
    </row>
    <row r="3" ht="21" hidden="1" customHeight="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 xml:space="preserve">Территория действия тарифа</v>
      </c>
      <c r="AU3" s="500"/>
      <c r="AV3" s="500"/>
      <c r="AW3" s="1155">
        <v>0</v>
      </c>
    </row>
    <row r="4" ht="22.5" hidden="1" customHeight="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 xml:space="preserve">Наименование системы теплоснабжения</v>
      </c>
      <c r="AU4" s="500"/>
      <c r="AV4" s="500"/>
      <c r="AW4" s="1155">
        <v>0</v>
      </c>
    </row>
    <row r="5" ht="21" hidden="1" customHeight="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 xml:space="preserve">Источник тепловой энергии</v>
      </c>
      <c r="AU5" s="500"/>
      <c r="AV5" s="500"/>
      <c r="AW5" s="1155">
        <v>0</v>
      </c>
    </row>
    <row r="6" ht="14.25" hidden="1" customHeight="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r="7" ht="21" hidden="1" customHeight="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 xml:space="preserve">Группа потребителей</v>
      </c>
      <c r="AU7" s="500"/>
      <c r="AV7" s="500"/>
      <c r="AW7" s="1155">
        <v>0</v>
      </c>
    </row>
    <row r="8" ht="21" hidden="1" customHeight="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r="9" ht="21" hidden="1" customHeight="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r="10" ht="14.25" hidden="1" customHeight="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r="11" ht="11.25" hidden="1" customHeight="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r="12" ht="15" hidden="1" customHeight="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 xml:space="preserve">Добавить вид теплоносителя (параметры теплоносителя)</v>
      </c>
      <c r="AU12" s="500"/>
      <c r="AV12" s="500"/>
      <c r="AW12" s="1155">
        <v>0</v>
      </c>
    </row>
    <row r="13" ht="11.25" hidden="1" customHeight="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 xml:space="preserve">Добавить группу потребителей</v>
      </c>
      <c r="AU13" s="500"/>
      <c r="AV13" s="500"/>
      <c r="AW13" s="1155">
        <v>0</v>
      </c>
    </row>
    <row r="14" ht="14.25" hidden="1" customHeight="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r="15" s="1642" customFormat="1" ht="14.25" hidden="1" customHeight="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 xml:space="preserve">Добавить источник для дифференциации</v>
      </c>
      <c r="AU15" s="789"/>
      <c r="AV15" s="789"/>
      <c r="AW15" s="518">
        <v>0</v>
      </c>
    </row>
    <row r="16" s="1642" customFormat="1" ht="14.25" hidden="1" customHeight="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 xml:space="preserve">Добавить централизованную систему для дифференциации</v>
      </c>
      <c r="AU16" s="789"/>
      <c r="AV16" s="789"/>
      <c r="AW16" s="518">
        <v>0</v>
      </c>
    </row>
    <row r="17" s="1642" customFormat="1" ht="14.25" hidden="1" customHeight="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 xml:space="preserve">Добавить территорию для дифференциации</v>
      </c>
      <c r="AU17" s="789"/>
      <c r="AV17" s="789"/>
      <c r="AW17" s="518">
        <v>0</v>
      </c>
    </row>
    <row r="18" ht="14.25" hidden="1" customHeight="1">
      <c r="AF18" s="327"/>
      <c r="AO18" s="327"/>
      <c r="AW18" s="1155">
        <v>0</v>
      </c>
    </row>
    <row r="19" ht="14.25" hidden="1" customHeight="1">
      <c r="AG19" s="1360"/>
      <c r="AH19" s="1360"/>
      <c r="AI19" s="1360"/>
      <c r="AJ19" s="1360"/>
      <c r="AK19" s="1361"/>
      <c r="AL19" s="2267"/>
      <c r="AM19" s="2268" t="s">
        <v>66</v>
      </c>
      <c r="AN19" s="2267"/>
      <c r="AO19" s="2268" t="s">
        <v>66</v>
      </c>
      <c r="AW19" s="1155">
        <v>0</v>
      </c>
    </row>
    <row r="20" ht="14.25" hidden="1" customHeight="1">
      <c r="AG20" s="1360"/>
      <c r="AH20" s="1360"/>
      <c r="AI20" s="1360"/>
      <c r="AJ20" s="1360"/>
      <c r="AK20" s="1361"/>
      <c r="AL20" s="2267"/>
      <c r="AM20" s="2268"/>
      <c r="AN20" s="2267"/>
      <c r="AO20" s="2268"/>
      <c r="AW20" s="1155">
        <v>0</v>
      </c>
    </row>
    <row r="21" ht="14.25" hidden="1" customHeight="1">
      <c r="AG21" s="1360"/>
      <c r="AH21" s="1360"/>
      <c r="AI21" s="1360"/>
      <c r="AJ21" s="1360"/>
      <c r="AK21" s="1361"/>
      <c r="AL21" s="2267"/>
      <c r="AM21" s="2268"/>
      <c r="AN21" s="2267"/>
      <c r="AO21" s="2268"/>
      <c r="AW21" s="1155">
        <v>0</v>
      </c>
    </row>
    <row r="22" ht="14.25" hidden="1" customHeight="1">
      <c r="AG22" s="1360"/>
      <c r="AH22" s="1360"/>
      <c r="AI22" s="1360"/>
      <c r="AJ22" s="1360"/>
      <c r="AK22" s="328" t="str">
        <f>AL19&amp;"-"&amp;AN19</f>
        <v>-</v>
      </c>
      <c r="AL22" s="2268"/>
      <c r="AM22" s="2268"/>
      <c r="AN22" s="2268"/>
      <c r="AO22" s="2268"/>
      <c r="AW22" s="1155">
        <v>0</v>
      </c>
    </row>
    <row r="23" ht="14.25" hidden="1" customHeight="1">
      <c r="AO23" s="327"/>
      <c r="AW23" s="1155">
        <v>0</v>
      </c>
    </row>
    <row r="24" s="1366" customFormat="1" ht="22.5" hidden="1" customHeight="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r="25" s="1366" customFormat="1" ht="14.25" hidden="1" customHeight="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r="26" s="1366" customFormat="1" ht="14.25" hidden="1" customHeight="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r="27" ht="14.25" hidden="1" customHeight="1">
      <c r="P27" s="1310"/>
      <c r="AW27" s="1155">
        <v>0</v>
      </c>
    </row>
    <row r="28" ht="14.25" hidden="1" customHeight="1">
      <c r="P28" s="1310"/>
      <c r="AW28" s="1155">
        <v>0</v>
      </c>
    </row>
    <row r="29" ht="14.65" customHeight="1">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r="30" ht="56.700000000000003" customHeight="1">
      <c r="R30" s="376"/>
      <c r="S30" s="376"/>
      <c r="T30" s="376"/>
      <c r="U30" s="2248"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r="31" ht="14.65" customHeight="1">
      <c r="R31" s="376"/>
      <c r="S31" s="376"/>
      <c r="T31" s="376"/>
      <c r="U31" s="2249" t="str">
        <f>IF(org=0,"Не определено",org)</f>
        <v xml:space="preserve">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r="32" ht="14.25" hidden="1" customHeight="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r="33" s="1853" customFormat="1" ht="25.5" hidden="1" customHeight="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r="34" s="1853" customFormat="1" ht="18.75" hidden="1" customHeight="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45841</v>
      </c>
      <c r="Y34" s="2264"/>
      <c r="Z34" s="2264"/>
      <c r="AA34" s="2264"/>
      <c r="AB34" s="2264"/>
      <c r="AC34" s="2264"/>
      <c r="AD34" s="2264"/>
      <c r="AE34" s="2264"/>
      <c r="AF34" s="326"/>
      <c r="AG34" s="2264" t="str">
        <f>IF(TITLE_DATE_PR_CHANGE="",IF(TITLE_DATE_PR="","",TITLE_DATE_PR),TITLE_DATE_PR_CHANGE)</f>
        <v>45841</v>
      </c>
      <c r="AH34" s="2264"/>
      <c r="AI34" s="2264"/>
      <c r="AJ34" s="2264"/>
      <c r="AK34" s="2264"/>
      <c r="AL34" s="2264"/>
      <c r="AM34" s="2264"/>
      <c r="AN34" s="2264"/>
      <c r="AO34" s="326"/>
      <c r="AP34" s="326"/>
      <c r="AQ34" s="280"/>
      <c r="AR34" s="368"/>
      <c r="AS34" s="368"/>
      <c r="AT34" s="368"/>
      <c r="AU34" s="368"/>
      <c r="AV34" s="368"/>
      <c r="AW34" s="418">
        <v>0</v>
      </c>
    </row>
    <row r="35" s="1853" customFormat="1" ht="18.75" hidden="1" customHeight="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27-3420</v>
      </c>
      <c r="Y35" s="2251"/>
      <c r="Z35" s="2251"/>
      <c r="AA35" s="2251"/>
      <c r="AB35" s="2251"/>
      <c r="AC35" s="2251"/>
      <c r="AD35" s="2251"/>
      <c r="AE35" s="2251"/>
      <c r="AF35" s="326"/>
      <c r="AG35" s="2251" t="str">
        <f>IF(TITLE_NUMBER_PR_CHANGE="",IF(TITLE_NUMBER_PR="","",TITLE_NUMBER_PR),TITLE_NUMBER_PR_CHANGE)</f>
        <v>27-3420</v>
      </c>
      <c r="AH35" s="2251"/>
      <c r="AI35" s="2251"/>
      <c r="AJ35" s="2251"/>
      <c r="AK35" s="2251"/>
      <c r="AL35" s="2251"/>
      <c r="AM35" s="2251"/>
      <c r="AN35" s="2251"/>
      <c r="AO35" s="326"/>
      <c r="AP35" s="326"/>
      <c r="AQ35" s="280"/>
      <c r="AR35" s="368"/>
      <c r="AS35" s="368"/>
      <c r="AT35" s="368"/>
      <c r="AU35" s="368"/>
      <c r="AV35" s="368"/>
      <c r="AW35" s="418">
        <v>0</v>
      </c>
    </row>
    <row r="36" s="1853" customFormat="1" ht="18.75" hidden="1" customHeight="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r="37" ht="14.25" customHeight="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r="38" s="1853" customFormat="1" ht="18.75" customHeight="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45841</v>
      </c>
      <c r="Y38" s="2264"/>
      <c r="Z38" s="2264"/>
      <c r="AA38" s="2264"/>
      <c r="AB38" s="2264"/>
      <c r="AC38" s="2264"/>
      <c r="AD38" s="2264"/>
      <c r="AE38" s="2264"/>
      <c r="AF38" s="326"/>
      <c r="AG38" s="2264" t="str">
        <f>IF(TITLE_DATE_PR_CHANGE="",IF(TITLE_DATE_PR="","",TITLE_DATE_PR),TITLE_DATE_PR_CHANGE)</f>
        <v>45841</v>
      </c>
      <c r="AH38" s="2264"/>
      <c r="AI38" s="2264"/>
      <c r="AJ38" s="2264"/>
      <c r="AK38" s="2264"/>
      <c r="AL38" s="2264"/>
      <c r="AM38" s="2264"/>
      <c r="AN38" s="2264"/>
      <c r="AO38" s="326"/>
      <c r="AP38" s="326"/>
      <c r="AQ38" s="280"/>
      <c r="AR38" s="368"/>
      <c r="AS38" s="368"/>
      <c r="AT38" s="368"/>
      <c r="AU38" s="368"/>
      <c r="AV38" s="368"/>
      <c r="AW38" s="418">
        <v>0</v>
      </c>
    </row>
    <row r="39" s="1853" customFormat="1" ht="18.75" customHeight="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27-3420</v>
      </c>
      <c r="Y39" s="2251"/>
      <c r="Z39" s="2251"/>
      <c r="AA39" s="2251"/>
      <c r="AB39" s="2251"/>
      <c r="AC39" s="2251"/>
      <c r="AD39" s="2251"/>
      <c r="AE39" s="2251"/>
      <c r="AF39" s="326"/>
      <c r="AG39" s="2251" t="str">
        <f>IF(TITLE_NUMBER_PR_CHANGE="",IF(TITLE_NUMBER_PR="","",TITLE_NUMBER_PR),TITLE_NUMBER_PR_CHANGE)</f>
        <v>27-3420</v>
      </c>
      <c r="AH39" s="2251"/>
      <c r="AI39" s="2251"/>
      <c r="AJ39" s="2251"/>
      <c r="AK39" s="2251"/>
      <c r="AL39" s="2251"/>
      <c r="AM39" s="2251"/>
      <c r="AN39" s="2251"/>
      <c r="AO39" s="326"/>
      <c r="AP39" s="326"/>
      <c r="AQ39" s="280"/>
      <c r="AR39" s="368"/>
      <c r="AS39" s="368"/>
      <c r="AT39" s="368"/>
      <c r="AU39" s="368"/>
      <c r="AV39" s="368"/>
      <c r="AW39" s="418">
        <v>0</v>
      </c>
    </row>
    <row r="40" s="1853" customFormat="1" ht="0" customHeight="1">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r="41" ht="14.65" customHeight="1">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r="42" ht="14.65" customHeight="1">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r="43" ht="14.65" customHeight="1">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r="44" ht="35.649999999999999" customHeight="1">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r="45" ht="14.65" customHeight="1">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r="46" ht="27.300000000000001" customHeight="1">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r="47" ht="65.25" customHeight="1">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r="48" s="1641" customFormat="1" ht="11.25" hidden="1" customHeight="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r="49" ht="22" customHeight="1">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 xml:space="preserve">Наименование тарифа</v>
      </c>
      <c r="AU49" s="500"/>
      <c r="AV49" s="500"/>
      <c r="AW49" s="1155">
        <v>21</v>
      </c>
    </row>
    <row r="50" ht="22" customHeight="1">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 xml:space="preserve">Территория действия тарифа</v>
      </c>
      <c r="AU50" s="500"/>
      <c r="AV50" s="500"/>
      <c r="AW50" s="1155">
        <v>21</v>
      </c>
    </row>
    <row r="51" ht="24" customHeight="1">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 xml:space="preserve">Наименование системы теплоснабжения</v>
      </c>
      <c r="AU51" s="500"/>
      <c r="AV51" s="500"/>
      <c r="AW51" s="1155">
        <v>23</v>
      </c>
    </row>
    <row r="52" ht="22" customHeight="1">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 xml:space="preserve">Источник тепловой энергии</v>
      </c>
      <c r="AU52" s="500"/>
      <c r="AV52" s="500"/>
      <c r="AW52" s="1155">
        <v>21</v>
      </c>
    </row>
    <row r="53" s="1642" customFormat="1" ht="0" customHeight="1">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r="54" ht="22" customHeight="1">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 xml:space="preserve">Группа потребителей</v>
      </c>
      <c r="AU54" s="500"/>
      <c r="AV54" s="500"/>
      <c r="AW54" s="1155">
        <v>21</v>
      </c>
    </row>
    <row r="55" ht="22" customHeight="1">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r="56" ht="11.5" customHeight="1">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r="57" ht="0" customHeight="1">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r="58" ht="11.5" customHeight="1">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 xml:space="preserve">Добавить наименование поставщика</v>
      </c>
      <c r="AU58" s="500"/>
      <c r="AV58" s="500"/>
      <c r="AW58" s="1155">
        <v>11</v>
      </c>
    </row>
    <row r="59" ht="11.5" customHeight="1">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 xml:space="preserve">Добавить вид теплоносителя (параметры теплоносителя)</v>
      </c>
      <c r="AU59" s="500"/>
      <c r="AV59" s="500"/>
      <c r="AW59" s="1155">
        <v>11</v>
      </c>
    </row>
    <row r="60" ht="11.5" customHeight="1">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 xml:space="preserve">Добавить группу потребителей</v>
      </c>
      <c r="AU60" s="500"/>
      <c r="AV60" s="500"/>
      <c r="AW60" s="1155">
        <v>11</v>
      </c>
    </row>
    <row r="61" ht="0" customHeight="1">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r="62" s="1642" customFormat="1" ht="0" customHeight="1">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 xml:space="preserve">Добавить источник для дифференциации</v>
      </c>
      <c r="AU62" s="789"/>
      <c r="AV62" s="789"/>
      <c r="AW62" s="518">
        <v>0</v>
      </c>
    </row>
    <row r="63" s="1642" customFormat="1" ht="0" customHeight="1">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 xml:space="preserve">Добавить централизованную систему для дифференциации</v>
      </c>
      <c r="AU63" s="789"/>
      <c r="AV63" s="789"/>
      <c r="AW63" s="518">
        <v>0</v>
      </c>
    </row>
    <row r="64" s="1642" customFormat="1" ht="0" customHeight="1">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 xml:space="preserve">Добавить территорию для дифференциации</v>
      </c>
      <c r="AU64" s="500"/>
      <c r="AV64" s="500"/>
      <c r="AW64" s="511">
        <v>0</v>
      </c>
    </row>
    <row r="65" s="1642" customFormat="1" ht="4.2000000000000002" customHeight="1">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 xml:space="preserve">Добавить наименование тарифа</v>
      </c>
      <c r="AU65" s="789"/>
      <c r="AV65" s="789"/>
      <c r="AW65" s="518">
        <v>4</v>
      </c>
    </row>
    <row r="66" ht="11.5" customHeight="1">
      <c r="N66" s="1155"/>
      <c r="O66" s="1155"/>
      <c r="P66" s="509"/>
      <c r="Q66" s="1155"/>
      <c r="R66" s="1155"/>
      <c r="S66" s="1155"/>
      <c r="T66" s="1155"/>
      <c r="U66" s="1155"/>
      <c r="AR66" s="1155"/>
      <c r="AS66" s="1155"/>
      <c r="AT66" s="1155"/>
      <c r="AU66" s="1155"/>
      <c r="AV66" s="1155"/>
      <c r="AW66" s="1155">
        <v>11</v>
      </c>
    </row>
    <row r="67" ht="35.649999999999999" customHeight="1">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r="68" ht="21" customHeight="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r="69" ht="14.65" customHeight="1">
      <c r="P69" s="509"/>
      <c r="AW69" s="1155">
        <v>14</v>
      </c>
    </row>
    <row r="70" ht="28.5" customHeight="1">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r="71" ht="18.75" customHeight="1">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r="72" ht="22.5" hidden="1" customHeight="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autoFilter="0" deleteColumns="1" deleteRows="1" formatColumns="0" formatRows="0" insertColumns="1" insertRows="1" sheet="1" sort="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90074-00BA-40ED-A937-007400E60044}"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D50044-00D7-443C-9082-0083001A0014}"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380073-000C-4C3B-A36B-00C00050007F}"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130039-00F7-44CE-8CBE-002F00580004}"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C1" zoomScale="90" workbookViewId="0">
      <selection activeCell="F72" sqref="F72"/>
    </sheetView>
  </sheetViews>
  <sheetFormatPr defaultColWidth="9.140625" defaultRowHeight="11.25" customHeight="1"/>
  <cols>
    <col customWidth="1" hidden="1" min="1" max="1" style="787" width="10.7109375"/>
    <col customWidth="1" hidden="1" min="2" max="2" style="732" width="10.7109375"/>
    <col customWidth="1" min="3" max="3" style="530" width="3.00390625"/>
    <col customWidth="1" min="4" max="4" style="1635" width="1.00390625"/>
    <col customWidth="1" min="5" max="6" style="1635" width="55.00390625"/>
    <col customWidth="1" min="7" max="7" style="2125" width="1.00390625"/>
    <col customWidth="1" hidden="1" min="8" max="8" style="1635" width="18.00390625"/>
    <col customWidth="1" min="9" max="9" style="531" width="59.00390625"/>
    <col customWidth="1" hidden="1" min="10" max="10" style="1366" width="52.140625"/>
    <col customWidth="1" min="11" max="11" style="1635" width="8.00390625"/>
    <col customWidth="1" min="12" max="12" style="1635" width="77.00390625"/>
    <col customWidth="1" min="13" max="16" style="1635" width="8.00390625"/>
    <col customWidth="1" hidden="1" min="17" max="17" style="1635" width="12.00390625"/>
  </cols>
  <sheetData>
    <row r="1" s="622" customFormat="1" ht="3" customHeight="1">
      <c r="A1" s="783"/>
      <c r="B1" s="241"/>
      <c r="F1" s="242" t="s">
        <v>13</v>
      </c>
      <c r="G1" s="411"/>
      <c r="H1" s="71"/>
      <c r="I1" s="411"/>
      <c r="J1" s="871"/>
      <c r="Q1" s="242" t="s">
        <v>14</v>
      </c>
    </row>
    <row r="2" s="1632" customFormat="1" ht="14.25" customHeight="1">
      <c r="A2" s="783"/>
      <c r="B2" s="98"/>
      <c r="E2" s="1740" t="str">
        <f>code</f>
        <v xml:space="preserve">Код отчёта: PP110.OPEN.INFO.REQUEST.HEAT.EIAS</v>
      </c>
      <c r="F2" s="269"/>
      <c r="G2" s="245"/>
      <c r="H2" s="245"/>
      <c r="I2" s="245"/>
      <c r="J2" s="872"/>
      <c r="K2" s="245"/>
      <c r="Q2" s="71">
        <v>14</v>
      </c>
    </row>
    <row r="3" ht="14.65" customHeight="1">
      <c r="E3" s="246" t="str">
        <f>version</f>
        <v xml:space="preserve">Версия отчёта: 1.1.1</v>
      </c>
      <c r="F3" s="269"/>
      <c r="G3" s="770"/>
      <c r="H3" s="770"/>
      <c r="I3" s="770"/>
      <c r="J3" s="873"/>
      <c r="K3" s="88"/>
      <c r="Q3" s="74">
        <v>14</v>
      </c>
    </row>
    <row r="4" s="1612" customFormat="1" ht="6.2999999999999998" customHeight="1">
      <c r="A4" s="784"/>
      <c r="B4" s="232"/>
      <c r="C4" s="233"/>
      <c r="D4" s="234"/>
      <c r="E4" s="243"/>
      <c r="F4" s="244"/>
      <c r="G4" s="771"/>
      <c r="H4" s="409"/>
      <c r="I4" s="411"/>
      <c r="J4" s="874"/>
      <c r="Q4" s="236">
        <v>6</v>
      </c>
    </row>
    <row r="5" ht="39.75" customHeight="1">
      <c r="D5" s="75"/>
      <c r="E5" s="2095" t="str">
        <f>NameTemplatesInTitle</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r="6" s="1612" customFormat="1" ht="6.2999999999999998" customHeight="1">
      <c r="A6" s="784"/>
      <c r="B6" s="232"/>
      <c r="C6" s="233"/>
      <c r="D6" s="234"/>
      <c r="E6" s="237"/>
      <c r="F6" s="238"/>
      <c r="G6" s="772"/>
      <c r="H6" s="409"/>
      <c r="I6" s="411"/>
      <c r="J6" s="874"/>
      <c r="Q6" s="236">
        <v>6</v>
      </c>
    </row>
    <row r="7" ht="21" customHeight="1">
      <c r="D7" s="75"/>
      <c r="E7" s="391" t="s">
        <v>15</v>
      </c>
      <c r="F7" s="215" t="s">
        <v>16</v>
      </c>
      <c r="G7" s="772"/>
      <c r="Q7" s="74">
        <v>20</v>
      </c>
    </row>
    <row r="8" s="1612" customFormat="1" ht="6.2999999999999998" customHeight="1">
      <c r="A8" s="785"/>
      <c r="B8" s="232"/>
      <c r="C8" s="233"/>
      <c r="D8" s="239"/>
      <c r="E8" s="237"/>
      <c r="F8" s="240"/>
      <c r="G8" s="77"/>
      <c r="H8" s="409"/>
      <c r="I8" s="411"/>
      <c r="J8" s="877"/>
      <c r="Q8" s="236">
        <v>6</v>
      </c>
    </row>
    <row r="9" s="1635" customFormat="1" ht="19.5" hidden="1" customHeight="1">
      <c r="A9" s="784"/>
      <c r="B9" s="98"/>
      <c r="C9" s="408"/>
      <c r="D9" s="410"/>
      <c r="E9" s="1165" t="s">
        <v>17</v>
      </c>
      <c r="F9" s="1921"/>
      <c r="G9" s="772"/>
      <c r="I9" s="1900" t="str">
        <f>IF(TITLE_STRUCTURE_INFO_ROIV="","","раскрывается "&amp;INDEX(ROIV_INFO_COMMENT,MATCH(TITLE_STRUCTURE_INFO_ROIV,ROIV_INFO_LIST,0)))</f>
        <v/>
      </c>
      <c r="J9" s="876"/>
      <c r="Q9" s="409">
        <v>0</v>
      </c>
    </row>
    <row r="10" s="1612" customFormat="1" ht="24" hidden="1" customHeight="1">
      <c r="A10" s="785"/>
      <c r="B10" s="426"/>
      <c r="C10" s="427"/>
      <c r="D10" s="239"/>
      <c r="E10" s="1165" t="s">
        <v>18</v>
      </c>
      <c r="F10" s="2066" t="s">
        <v>19</v>
      </c>
      <c r="G10" s="77"/>
      <c r="H10" s="409"/>
      <c r="I10" s="411"/>
      <c r="J10" s="877"/>
      <c r="Q10" s="430">
        <v>24</v>
      </c>
    </row>
    <row r="11" ht="22.5" customHeight="1">
      <c r="A11" s="2098" t="s">
        <v>20</v>
      </c>
      <c r="D11" s="75"/>
      <c r="E11" s="1165" t="s">
        <v>21</v>
      </c>
      <c r="F11" s="1732">
        <v>45855</v>
      </c>
      <c r="G11" s="77"/>
      <c r="H11" s="773" t="s">
        <v>22</v>
      </c>
      <c r="J11" s="876" t="s">
        <v>23</v>
      </c>
      <c r="Q11" s="74">
        <v>0</v>
      </c>
    </row>
    <row r="12" ht="22.5" customHeight="1">
      <c r="A12" s="2098"/>
      <c r="D12" s="75"/>
      <c r="E12" s="1165" t="s">
        <v>24</v>
      </c>
      <c r="F12" s="1732">
        <v>46404</v>
      </c>
      <c r="G12" s="73"/>
      <c r="J12" s="876" t="s">
        <v>25</v>
      </c>
      <c r="Q12" s="74">
        <v>0</v>
      </c>
    </row>
    <row r="13" s="1635" customFormat="1" ht="22.5" hidden="1" customHeight="1">
      <c r="A13" s="788" t="s">
        <v>26</v>
      </c>
      <c r="B13" s="98"/>
      <c r="C13" s="408"/>
      <c r="D13" s="410"/>
      <c r="E13" s="1775" t="s">
        <v>27</v>
      </c>
      <c r="F13" s="1732" t="s">
        <v>28</v>
      </c>
      <c r="G13" s="77"/>
      <c r="H13" s="770"/>
      <c r="I13" s="411"/>
      <c r="J13" s="1776" t="s">
        <v>29</v>
      </c>
      <c r="Q13" s="409">
        <v>0</v>
      </c>
    </row>
    <row r="14" s="1635" customFormat="1" ht="27" hidden="1" customHeight="1">
      <c r="A14" s="788" t="s">
        <v>30</v>
      </c>
      <c r="B14" s="98"/>
      <c r="C14" s="408"/>
      <c r="D14" s="410"/>
      <c r="E14" s="1165" t="s">
        <v>31</v>
      </c>
      <c r="F14" s="1767"/>
      <c r="G14" s="77"/>
      <c r="H14" s="770"/>
      <c r="I14" s="411"/>
      <c r="J14" s="876" t="s">
        <v>32</v>
      </c>
      <c r="Q14" s="409">
        <v>0</v>
      </c>
    </row>
    <row r="15" s="1635" customFormat="1" ht="19.5" hidden="1" customHeight="1">
      <c r="A15" s="788" t="s">
        <v>33</v>
      </c>
      <c r="B15" s="98"/>
      <c r="C15" s="408"/>
      <c r="D15" s="410"/>
      <c r="E15" s="1165" t="s">
        <v>34</v>
      </c>
      <c r="F15" s="1767"/>
      <c r="G15" s="77"/>
      <c r="H15" s="770"/>
      <c r="I15" s="411"/>
      <c r="J15" s="876" t="s">
        <v>35</v>
      </c>
      <c r="Q15" s="409">
        <v>0</v>
      </c>
    </row>
    <row r="16" s="1612" customFormat="1" ht="6.2999999999999998" customHeight="1">
      <c r="A16" s="785"/>
      <c r="B16" s="232"/>
      <c r="C16" s="233"/>
      <c r="D16" s="239"/>
      <c r="E16" s="237"/>
      <c r="F16" s="240"/>
      <c r="G16" s="77"/>
      <c r="H16" s="409"/>
      <c r="I16" s="411"/>
      <c r="J16" s="874"/>
      <c r="Q16" s="236">
        <v>6</v>
      </c>
    </row>
    <row r="17" ht="21" customHeight="1">
      <c r="D17" s="75"/>
      <c r="E17" s="391" t="s">
        <v>36</v>
      </c>
      <c r="F17" s="216" t="s">
        <v>37</v>
      </c>
      <c r="G17" s="73"/>
      <c r="H17" s="773" t="s">
        <v>22</v>
      </c>
      <c r="Q17" s="74">
        <v>20</v>
      </c>
    </row>
    <row r="18" ht="25.5" hidden="1" customHeight="1">
      <c r="D18" s="75"/>
      <c r="E18" s="1775" t="s">
        <v>38</v>
      </c>
      <c r="F18" s="1733"/>
      <c r="G18" s="73"/>
      <c r="I18" s="774"/>
      <c r="J18" s="2097" t="s">
        <v>39</v>
      </c>
      <c r="Q18" s="74">
        <v>0</v>
      </c>
    </row>
    <row r="19" ht="25.5" hidden="1" customHeight="1">
      <c r="D19" s="75"/>
      <c r="E19" s="1165"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3"/>
      <c r="G19" s="73"/>
      <c r="I19" s="774"/>
      <c r="J19" s="2097"/>
      <c r="Q19" s="74">
        <v>0</v>
      </c>
    </row>
    <row r="20" ht="22.5" customHeight="1">
      <c r="D20" s="75"/>
      <c r="E20" s="76"/>
      <c r="F20" s="270" t="str">
        <f>"Первичное "&amp;IF(TEMPLATE_GROUP="P","установление тарифов","предложение по тарифам")</f>
        <v xml:space="preserve">Первичное предложение по тарифам</v>
      </c>
      <c r="G20" s="73"/>
      <c r="I20" s="394"/>
      <c r="J20" s="875" t="s">
        <v>40</v>
      </c>
      <c r="Q20" s="74">
        <v>0</v>
      </c>
    </row>
    <row r="21" ht="19.5" customHeight="1">
      <c r="D21" s="75"/>
      <c r="E21" s="391" t="str">
        <f>"Дата "&amp;IF(TEMPLATE_GROUP="P","документа","подачи заявления")&amp;" об утверждении тарифов"</f>
        <v xml:space="preserve">Дата подачи заявления об утверждении тарифов</v>
      </c>
      <c r="F21" s="1732">
        <v>45841</v>
      </c>
      <c r="G21" s="73"/>
      <c r="I21" s="775"/>
      <c r="Q21" s="74">
        <v>0</v>
      </c>
    </row>
    <row r="22" ht="19.5" customHeight="1">
      <c r="D22" s="75"/>
      <c r="E22" s="391" t="str">
        <f>"Номер "&amp;IF(TEMPLATE_GROUP="P","документа","подачи заявления")&amp;" об утверждении тарифов"</f>
        <v xml:space="preserve">Номер подачи заявления об утверждении тарифов</v>
      </c>
      <c r="F22" s="216" t="s">
        <v>41</v>
      </c>
      <c r="G22" s="73"/>
      <c r="I22" s="775"/>
      <c r="Q22" s="74">
        <v>0</v>
      </c>
    </row>
    <row r="23" ht="22.5" hidden="1" customHeight="1">
      <c r="D23" s="75"/>
      <c r="E23" s="391" t="s">
        <v>42</v>
      </c>
      <c r="F23" s="216"/>
      <c r="G23" s="73"/>
      <c r="Q23" s="74">
        <v>0</v>
      </c>
    </row>
    <row r="24" ht="19.5" hidden="1" customHeight="1">
      <c r="D24" s="75"/>
      <c r="E24" s="391" t="s">
        <v>43</v>
      </c>
      <c r="F24" s="216"/>
      <c r="G24" s="73"/>
      <c r="Q24" s="74">
        <v>0</v>
      </c>
    </row>
    <row r="25" ht="22.5" hidden="1" customHeight="1">
      <c r="D25" s="75"/>
      <c r="E25" s="76"/>
      <c r="F25" s="270" t="str">
        <f>"Изменение "&amp;IF(TEMPLATE_GROUP="P","тарифов","предложения по тарифам")</f>
        <v xml:space="preserve">Изменение предложения по тарифам</v>
      </c>
      <c r="G25" s="73"/>
      <c r="J25" s="875" t="s">
        <v>44</v>
      </c>
      <c r="Q25" s="74">
        <v>0</v>
      </c>
    </row>
    <row r="26" ht="19.5" hidden="1" customHeight="1">
      <c r="D26" s="75"/>
      <c r="E26" s="391" t="str">
        <f>"Дата "&amp;IF(TEMPLATE_GROUP="P","принятия решения","подачи заявления")&amp;" об изменении тарифов"</f>
        <v xml:space="preserve">Дата подачи заявления об изменении тарифов</v>
      </c>
      <c r="F26" s="1733"/>
      <c r="G26" s="73"/>
      <c r="Q26" s="74">
        <v>0</v>
      </c>
    </row>
    <row r="27" ht="19.5" hidden="1" customHeight="1">
      <c r="D27" s="75"/>
      <c r="E27" s="1165" t="str">
        <f>"Номер "&amp;IF(TEMPLATE_GROUP="P","принятия решения","заявления")&amp;" об изменении тарифов"</f>
        <v xml:space="preserve">Номер заявления об изменении тарифов</v>
      </c>
      <c r="F27" s="218"/>
      <c r="G27" s="73"/>
      <c r="Q27" s="74">
        <v>0</v>
      </c>
    </row>
    <row r="28" ht="24.75" hidden="1" customHeight="1">
      <c r="D28" s="75"/>
      <c r="E28" s="391" t="s">
        <v>45</v>
      </c>
      <c r="F28" s="218"/>
      <c r="G28" s="73"/>
      <c r="Q28" s="74">
        <v>0</v>
      </c>
    </row>
    <row r="29" ht="19.5" hidden="1" customHeight="1">
      <c r="D29" s="75"/>
      <c r="E29" s="391" t="s">
        <v>43</v>
      </c>
      <c r="F29" s="218"/>
      <c r="G29" s="73"/>
      <c r="Q29" s="74">
        <v>0</v>
      </c>
    </row>
    <row r="30" s="1612" customFormat="1" ht="6.2999999999999998" customHeight="1">
      <c r="A30" s="785"/>
      <c r="B30" s="232"/>
      <c r="C30" s="233"/>
      <c r="D30" s="239"/>
      <c r="E30" s="237"/>
      <c r="F30" s="240"/>
      <c r="G30" s="77"/>
      <c r="H30" s="409"/>
      <c r="I30" s="411"/>
      <c r="J30" s="874"/>
      <c r="Q30" s="236">
        <v>6</v>
      </c>
    </row>
    <row r="31" ht="21" customHeight="1">
      <c r="C31" s="78"/>
      <c r="D31" s="79"/>
      <c r="E31" s="391" t="str">
        <f>"Наименование "&amp;IF(TEMPLATE_GROUP="ROIV","органа тарифного регулирования","ЮЛ / ИП")</f>
        <v xml:space="preserve">Наименование ЮЛ / ИП</v>
      </c>
      <c r="F31" s="217" t="s">
        <v>46</v>
      </c>
      <c r="G31" s="776"/>
      <c r="Q31" s="74">
        <v>20</v>
      </c>
    </row>
    <row r="32" ht="21" hidden="1" customHeight="1">
      <c r="C32" s="78"/>
      <c r="D32" s="79"/>
      <c r="E32" s="392" t="s">
        <v>47</v>
      </c>
      <c r="F32" s="217"/>
      <c r="G32" s="776"/>
      <c r="Q32" s="74">
        <v>20</v>
      </c>
    </row>
    <row r="33" ht="21" customHeight="1">
      <c r="C33" s="78"/>
      <c r="D33" s="79"/>
      <c r="E33" s="391" t="s">
        <v>48</v>
      </c>
      <c r="F33" s="217" t="s">
        <v>49</v>
      </c>
      <c r="G33" s="776"/>
      <c r="Q33" s="74">
        <v>20</v>
      </c>
    </row>
    <row r="34" ht="21" customHeight="1">
      <c r="C34" s="78"/>
      <c r="D34" s="79"/>
      <c r="E34" s="391" t="s">
        <v>50</v>
      </c>
      <c r="F34" s="217" t="s">
        <v>51</v>
      </c>
      <c r="G34" s="776"/>
      <c r="H34" s="80"/>
      <c r="Q34" s="74">
        <v>20</v>
      </c>
    </row>
    <row r="35" s="1612" customFormat="1" ht="11.5" customHeight="1">
      <c r="A35" s="785"/>
      <c r="B35" s="232"/>
      <c r="C35" s="233"/>
      <c r="D35" s="239"/>
      <c r="E35" s="237"/>
      <c r="F35" s="240"/>
      <c r="G35" s="77"/>
      <c r="H35" s="409"/>
      <c r="I35" s="411"/>
      <c r="J35" s="874"/>
      <c r="Q35" s="236">
        <v>11</v>
      </c>
    </row>
    <row r="36" ht="19.5" customHeight="1">
      <c r="A36" s="879"/>
      <c r="D36" s="79"/>
      <c r="E36" s="391" t="s">
        <v>52</v>
      </c>
      <c r="F36" s="1210" t="s">
        <v>53</v>
      </c>
      <c r="G36" s="77"/>
      <c r="Q36" s="74">
        <v>0</v>
      </c>
    </row>
    <row r="37" ht="21" customHeight="1">
      <c r="A37" s="879"/>
      <c r="D37" s="79"/>
      <c r="E37" s="391" t="s">
        <v>54</v>
      </c>
      <c r="F37" s="1210" t="s">
        <v>55</v>
      </c>
      <c r="G37" s="77"/>
      <c r="Q37" s="74">
        <v>20</v>
      </c>
    </row>
    <row r="38" s="1612" customFormat="1" ht="6.2999999999999998" customHeight="1">
      <c r="A38" s="785"/>
      <c r="B38" s="232"/>
      <c r="C38" s="233"/>
      <c r="D38" s="234"/>
      <c r="E38" s="235"/>
      <c r="F38" s="1053"/>
      <c r="G38" s="73"/>
      <c r="H38" s="409"/>
      <c r="I38" s="411"/>
      <c r="J38" s="876"/>
      <c r="Q38" s="236">
        <v>6</v>
      </c>
    </row>
    <row r="39" ht="36.75" customHeight="1">
      <c r="A39" s="785"/>
      <c r="D39" s="75"/>
      <c r="E39" s="391" t="s">
        <v>56</v>
      </c>
      <c r="F39" s="710" t="s">
        <v>19</v>
      </c>
      <c r="G39" s="73"/>
      <c r="H39" s="773" t="s">
        <v>22</v>
      </c>
      <c r="Q39" s="74">
        <v>35</v>
      </c>
    </row>
    <row r="40" s="1612" customFormat="1" ht="6.2999999999999998" hidden="1" customHeight="1">
      <c r="A40" s="784"/>
      <c r="B40" s="426"/>
      <c r="C40" s="427"/>
      <c r="D40" s="428"/>
      <c r="E40" s="429"/>
      <c r="F40" s="1053"/>
      <c r="G40" s="73"/>
      <c r="H40" s="409"/>
      <c r="I40" s="411"/>
      <c r="J40" s="876"/>
      <c r="Q40" s="430">
        <v>6</v>
      </c>
    </row>
    <row r="41" s="1635" customFormat="1" ht="26.25" hidden="1" customHeight="1">
      <c r="A41" s="788" t="s">
        <v>26</v>
      </c>
      <c r="B41" s="413"/>
      <c r="C41" s="408"/>
      <c r="D41" s="410"/>
      <c r="E41" s="391"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0" t="s">
        <v>19</v>
      </c>
      <c r="G41" s="73"/>
      <c r="I41" s="411"/>
      <c r="J41" s="876"/>
      <c r="Q41" s="409">
        <v>0</v>
      </c>
    </row>
    <row r="42" s="1612" customFormat="1" ht="6" customHeight="1">
      <c r="A42" s="784"/>
      <c r="B42" s="426"/>
      <c r="C42" s="427"/>
      <c r="D42" s="428"/>
      <c r="E42" s="429"/>
      <c r="F42" s="1053"/>
      <c r="G42" s="73"/>
      <c r="H42" s="409"/>
      <c r="I42" s="411"/>
      <c r="J42" s="874"/>
      <c r="Q42" s="430">
        <v>0</v>
      </c>
    </row>
    <row r="43" s="1635" customFormat="1" ht="27" hidden="1" customHeight="1">
      <c r="A43" s="784"/>
      <c r="B43" s="413"/>
      <c r="C43" s="408"/>
      <c r="D43" s="410"/>
      <c r="E43" s="391" t="s">
        <v>57</v>
      </c>
      <c r="F43" s="710" t="s">
        <v>19</v>
      </c>
      <c r="G43" s="73"/>
      <c r="I43" s="411"/>
      <c r="J43" s="876"/>
      <c r="Q43" s="409">
        <v>0</v>
      </c>
    </row>
    <row r="44" s="1635" customFormat="1" ht="27" hidden="1" customHeight="1">
      <c r="A44" s="784"/>
      <c r="B44" s="413"/>
      <c r="C44" s="408"/>
      <c r="D44" s="410"/>
      <c r="E44" s="1165" t="s">
        <v>58</v>
      </c>
      <c r="F44" s="1888"/>
      <c r="G44" s="73"/>
      <c r="I44" s="411"/>
      <c r="J44" s="876"/>
      <c r="Q44" s="409">
        <v>0</v>
      </c>
    </row>
    <row r="45" s="1612" customFormat="1" ht="6" customHeight="1">
      <c r="A45" s="784"/>
      <c r="B45" s="426"/>
      <c r="C45" s="427"/>
      <c r="D45" s="428"/>
      <c r="E45" s="429"/>
      <c r="F45" s="1053"/>
      <c r="G45" s="73"/>
      <c r="H45" s="409"/>
      <c r="I45" s="411"/>
      <c r="J45" s="876"/>
      <c r="Q45" s="430">
        <v>0</v>
      </c>
    </row>
    <row r="46" s="1612" customFormat="1" ht="24.75" customHeight="1">
      <c r="A46" s="784"/>
      <c r="B46" s="426"/>
      <c r="C46" s="427"/>
      <c r="D46" s="428"/>
      <c r="E46" s="1165" t="s">
        <v>59</v>
      </c>
      <c r="F46" s="710" t="s">
        <v>19</v>
      </c>
      <c r="G46" s="73"/>
      <c r="H46" s="409"/>
      <c r="I46" s="411"/>
      <c r="J46" s="876"/>
      <c r="Q46" s="430">
        <v>0</v>
      </c>
    </row>
    <row r="47" s="1635" customFormat="1" ht="24.75" customHeight="1">
      <c r="A47" s="784"/>
      <c r="B47" s="413"/>
      <c r="C47" s="408"/>
      <c r="D47" s="410"/>
      <c r="E47" s="1165" t="s">
        <v>60</v>
      </c>
      <c r="F47" s="710" t="s">
        <v>19</v>
      </c>
      <c r="G47" s="73"/>
      <c r="I47" s="411"/>
      <c r="J47" s="876"/>
      <c r="Q47" s="409">
        <v>0</v>
      </c>
    </row>
    <row r="48" s="1612" customFormat="1" ht="6" hidden="1" customHeight="1">
      <c r="A48" s="784"/>
      <c r="B48" s="232"/>
      <c r="C48" s="233"/>
      <c r="D48" s="234"/>
      <c r="E48" s="235"/>
      <c r="F48" s="1053"/>
      <c r="G48" s="73"/>
      <c r="H48" s="409"/>
      <c r="I48" s="411"/>
      <c r="J48" s="876"/>
      <c r="Q48" s="236">
        <v>0</v>
      </c>
    </row>
    <row r="49" ht="29.25" hidden="1" customHeight="1">
      <c r="B49" s="148"/>
      <c r="D49" s="75"/>
      <c r="E49" s="391"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0"/>
      <c r="G49" s="73"/>
      <c r="Q49" s="74">
        <v>0</v>
      </c>
    </row>
    <row r="50" s="1612" customFormat="1" ht="6" hidden="1" customHeight="1">
      <c r="A50" s="785"/>
      <c r="B50" s="426"/>
      <c r="C50" s="427"/>
      <c r="D50" s="239"/>
      <c r="E50" s="237"/>
      <c r="F50" s="240"/>
      <c r="G50" s="77"/>
      <c r="H50" s="409"/>
      <c r="I50" s="411"/>
      <c r="J50" s="876"/>
      <c r="Q50" s="430">
        <v>0</v>
      </c>
    </row>
    <row r="51" s="1635" customFormat="1" ht="28.5" hidden="1" customHeight="1">
      <c r="A51" s="786"/>
      <c r="B51" s="413"/>
      <c r="C51" s="530"/>
      <c r="D51" s="531"/>
      <c r="E51" s="391" t="s">
        <v>61</v>
      </c>
      <c r="F51" s="710" t="s">
        <v>19</v>
      </c>
      <c r="G51" s="532"/>
      <c r="I51" s="534"/>
      <c r="J51" s="878"/>
      <c r="P51" s="535"/>
      <c r="Q51" s="533">
        <v>0</v>
      </c>
    </row>
    <row r="52" s="1612" customFormat="1" ht="6" hidden="1" customHeight="1">
      <c r="A52" s="785"/>
      <c r="B52" s="426"/>
      <c r="C52" s="427"/>
      <c r="D52" s="239"/>
      <c r="E52" s="237"/>
      <c r="F52" s="240"/>
      <c r="G52" s="77"/>
      <c r="H52" s="409"/>
      <c r="I52" s="411"/>
      <c r="J52" s="874"/>
      <c r="Q52" s="430">
        <v>0</v>
      </c>
    </row>
    <row r="53" s="1635" customFormat="1" ht="27" hidden="1" customHeight="1">
      <c r="A53" s="786"/>
      <c r="B53" s="413"/>
      <c r="C53" s="530"/>
      <c r="D53" s="531"/>
      <c r="E53" s="391" t="s">
        <v>62</v>
      </c>
      <c r="F53" s="1048" t="s">
        <v>19</v>
      </c>
      <c r="G53" s="532"/>
      <c r="I53" s="534"/>
      <c r="J53" s="878"/>
      <c r="P53" s="535"/>
      <c r="Q53" s="533">
        <v>0</v>
      </c>
    </row>
    <row r="54" s="1635" customFormat="1" ht="27" hidden="1" customHeight="1">
      <c r="A54" s="786"/>
      <c r="B54" s="413"/>
      <c r="C54" s="530"/>
      <c r="D54" s="531"/>
      <c r="E54" s="391" t="s">
        <v>63</v>
      </c>
      <c r="F54" s="1774"/>
      <c r="G54" s="532"/>
      <c r="I54" s="534"/>
      <c r="J54" s="878"/>
      <c r="P54" s="535"/>
      <c r="Q54" s="533">
        <v>0</v>
      </c>
    </row>
    <row r="55" s="1612" customFormat="1" ht="6" hidden="1" customHeight="1">
      <c r="A55" s="785"/>
      <c r="B55" s="426"/>
      <c r="C55" s="427"/>
      <c r="D55" s="239"/>
      <c r="E55" s="237"/>
      <c r="F55" s="240"/>
      <c r="G55" s="77"/>
      <c r="H55" s="409"/>
      <c r="I55" s="411"/>
      <c r="J55" s="874"/>
      <c r="Q55" s="430">
        <v>0</v>
      </c>
    </row>
    <row r="56" s="1635" customFormat="1" ht="25.5" hidden="1" customHeight="1">
      <c r="A56" s="786"/>
      <c r="B56" s="413"/>
      <c r="C56" s="530"/>
      <c r="D56" s="531"/>
      <c r="E56" s="391" t="s">
        <v>64</v>
      </c>
      <c r="F56" s="1048" t="s">
        <v>19</v>
      </c>
      <c r="G56" s="532"/>
      <c r="I56" s="534"/>
      <c r="J56" s="878"/>
      <c r="P56" s="535"/>
      <c r="Q56" s="533">
        <v>0</v>
      </c>
    </row>
    <row r="57" s="1612" customFormat="1" ht="6" hidden="1" customHeight="1">
      <c r="A57" s="785"/>
      <c r="B57" s="426"/>
      <c r="C57" s="427"/>
      <c r="D57" s="239"/>
      <c r="E57" s="237"/>
      <c r="F57" s="240"/>
      <c r="G57" s="77"/>
      <c r="H57" s="409"/>
      <c r="I57" s="411"/>
      <c r="J57" s="874"/>
      <c r="Q57" s="430">
        <v>0</v>
      </c>
    </row>
    <row r="58" s="1635" customFormat="1" ht="15" hidden="1" customHeight="1">
      <c r="A58" s="786"/>
      <c r="B58" s="413"/>
      <c r="C58" s="530"/>
      <c r="D58" s="531"/>
      <c r="E58" s="391" t="s">
        <v>65</v>
      </c>
      <c r="F58" s="1048" t="s">
        <v>66</v>
      </c>
      <c r="G58" s="532"/>
      <c r="I58" s="534"/>
      <c r="J58" s="878"/>
      <c r="P58" s="535"/>
      <c r="Q58" s="533">
        <v>0</v>
      </c>
    </row>
    <row r="59" s="1635" customFormat="1" ht="75" hidden="1" customHeight="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r="60" s="1635" customFormat="1" ht="15" hidden="1" customHeight="1">
      <c r="A60" s="786"/>
      <c r="B60" s="413"/>
      <c r="C60" s="530"/>
      <c r="D60" s="531"/>
      <c r="E60" s="1165" t="s">
        <v>67</v>
      </c>
      <c r="F60" s="1151"/>
      <c r="G60" s="532"/>
      <c r="I60" s="534"/>
      <c r="J60" s="878"/>
      <c r="P60" s="535"/>
      <c r="Q60" s="533">
        <v>0</v>
      </c>
    </row>
    <row r="61" s="1612" customFormat="1" ht="6" hidden="1" customHeight="1">
      <c r="A61" s="785"/>
      <c r="B61" s="426"/>
      <c r="C61" s="427"/>
      <c r="D61" s="428"/>
      <c r="E61" s="429"/>
      <c r="F61" s="1053"/>
      <c r="G61" s="73"/>
      <c r="H61" s="409"/>
      <c r="I61" s="411"/>
      <c r="J61" s="876"/>
      <c r="Q61" s="430">
        <v>0</v>
      </c>
    </row>
    <row r="62" s="1635" customFormat="1" ht="33.75" hidden="1" customHeight="1">
      <c r="A62" s="785"/>
      <c r="B62" s="98"/>
      <c r="C62" s="408"/>
      <c r="D62" s="410"/>
      <c r="E62" s="1165" t="s">
        <v>68</v>
      </c>
      <c r="F62" s="1671" t="s">
        <v>66</v>
      </c>
      <c r="G62" s="73"/>
      <c r="H62" s="773" t="s">
        <v>22</v>
      </c>
      <c r="I62" s="411"/>
      <c r="J62" s="876"/>
      <c r="Q62" s="409">
        <v>0</v>
      </c>
    </row>
    <row r="63" s="1612" customFormat="1" ht="6.2999999999999998" customHeight="1">
      <c r="A63" s="785"/>
      <c r="B63" s="232"/>
      <c r="C63" s="233"/>
      <c r="D63" s="239"/>
      <c r="E63" s="237"/>
      <c r="F63" s="240"/>
      <c r="G63" s="77"/>
      <c r="H63" s="409"/>
      <c r="I63" s="411"/>
      <c r="J63" s="874"/>
      <c r="Q63" s="236">
        <v>6</v>
      </c>
    </row>
    <row r="64" ht="21" customHeight="1">
      <c r="A64" s="787"/>
      <c r="B64" s="99"/>
      <c r="D64" s="82"/>
      <c r="E64" s="391" t="s">
        <v>69</v>
      </c>
      <c r="F64" s="216" t="s">
        <v>70</v>
      </c>
      <c r="G64" s="77"/>
      <c r="Q64" s="74">
        <v>20</v>
      </c>
    </row>
    <row r="65" ht="21" customHeight="1">
      <c r="A65" s="787"/>
      <c r="B65" s="99"/>
      <c r="D65" s="82"/>
      <c r="E65" s="391" t="s">
        <v>71</v>
      </c>
      <c r="F65" s="216" t="s">
        <v>72</v>
      </c>
      <c r="G65" s="77"/>
      <c r="Q65" s="74">
        <v>20</v>
      </c>
    </row>
    <row r="66" ht="36.75" customHeight="1">
      <c r="D66" s="75"/>
      <c r="E66" s="393" t="s">
        <v>73</v>
      </c>
      <c r="F66" s="1054"/>
      <c r="G66" s="73"/>
      <c r="Q66" s="74">
        <v>35</v>
      </c>
    </row>
    <row r="67" ht="21" customHeight="1">
      <c r="A67" s="787"/>
      <c r="D67" s="410"/>
      <c r="E67" s="391" t="s">
        <v>74</v>
      </c>
      <c r="F67" s="271" t="s">
        <v>75</v>
      </c>
      <c r="G67" s="77"/>
      <c r="Q67" s="74">
        <v>20</v>
      </c>
    </row>
    <row r="68" ht="21" customHeight="1">
      <c r="A68" s="787"/>
      <c r="B68" s="99"/>
      <c r="D68" s="82"/>
      <c r="E68" s="391" t="s">
        <v>76</v>
      </c>
      <c r="F68" s="271" t="s">
        <v>77</v>
      </c>
      <c r="G68" s="77"/>
      <c r="Q68" s="74">
        <v>20</v>
      </c>
    </row>
    <row r="69" ht="21" customHeight="1">
      <c r="A69" s="787"/>
      <c r="B69" s="99"/>
      <c r="D69" s="82"/>
      <c r="E69" s="391" t="s">
        <v>78</v>
      </c>
      <c r="F69" s="271" t="s">
        <v>79</v>
      </c>
      <c r="G69" s="77"/>
      <c r="Q69" s="74">
        <v>20</v>
      </c>
    </row>
    <row r="70" ht="21" customHeight="1">
      <c r="D70" s="410"/>
      <c r="E70" s="391" t="s">
        <v>80</v>
      </c>
      <c r="F70" s="2629" t="s">
        <v>81</v>
      </c>
      <c r="G70" s="73"/>
      <c r="Q70" s="74">
        <v>20</v>
      </c>
    </row>
    <row r="71" ht="21" customHeight="1">
      <c r="A71" s="787"/>
      <c r="D71" s="73"/>
      <c r="F71" s="133"/>
      <c r="G71" s="77"/>
      <c r="Q71" s="74">
        <v>20</v>
      </c>
    </row>
    <row r="72" ht="21" customHeight="1">
      <c r="A72" s="787"/>
      <c r="B72" s="99"/>
      <c r="D72" s="82"/>
      <c r="E72" s="81"/>
      <c r="F72" s="1033" t="s">
        <v>13</v>
      </c>
      <c r="G72" s="77"/>
      <c r="Q72" s="74">
        <v>20</v>
      </c>
    </row>
    <row r="73" ht="21" customHeight="1">
      <c r="A73" s="787"/>
      <c r="B73" s="99"/>
      <c r="D73" s="82"/>
      <c r="E73" s="81"/>
      <c r="F73" s="134"/>
      <c r="G73" s="77"/>
      <c r="Q73" s="74">
        <v>20</v>
      </c>
    </row>
    <row r="74" ht="21" customHeight="1">
      <c r="A74" s="787"/>
      <c r="B74" s="99"/>
      <c r="D74" s="82"/>
      <c r="E74" s="86"/>
      <c r="F74" s="134"/>
      <c r="G74" s="77"/>
      <c r="Q74" s="74">
        <v>20</v>
      </c>
    </row>
    <row r="75" ht="21" customHeight="1">
      <c r="A75" s="787"/>
      <c r="B75" s="99"/>
      <c r="D75" s="82"/>
      <c r="E75" s="81"/>
      <c r="F75" s="134"/>
      <c r="G75" s="77"/>
      <c r="Q75" s="74">
        <v>20</v>
      </c>
    </row>
    <row r="76" ht="11.5" customHeight="1">
      <c r="Q76" s="74">
        <v>11</v>
      </c>
    </row>
    <row r="77" ht="11.5" customHeight="1">
      <c r="Q77" s="74">
        <v>11</v>
      </c>
    </row>
    <row r="78" ht="11.5" customHeight="1">
      <c r="E78" s="390"/>
      <c r="F78" s="390"/>
      <c r="G78" s="390"/>
      <c r="H78" s="390"/>
      <c r="I78" s="390"/>
      <c r="Q78" s="74">
        <v>11</v>
      </c>
    </row>
    <row r="79" ht="11.25" hidden="1" customHeight="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autoFilter="0" deleteColumns="1" deleteRows="1" formatColumns="0" formatRows="0" insertColumns="1" insertRows="1" sheet="1" sort="1"/>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 r:id="rId1" ref="F70"/>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3"/>
  <legacyDrawing r:id="rId4"/>
  <extLst>
    <ext xmlns:x14="http://schemas.microsoft.com/office/spreadsheetml/2009/9/main" uri="{CCE6A557-97BC-4b89-ADB6-D9C93CAAB3DF}">
      <x14:dataValidations xmlns:xm="http://schemas.microsoft.com/office/excel/2006/main" count="9">
        <x14:dataValidation xr:uid="{00B1005E-00BF-4839-8110-00BB00AD0087}"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870090-006C-45CA-972E-009300B3009B}"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210016-00B9-4166-B717-009D001C006F}"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C60045-00CC-4E3F-9CE3-003400F3001F}"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5A0063-00F0-4BBF-8A78-009200000079}"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D100F5-00DB-4062-B37D-004B00F600A3}"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6B007F-0061-4A4C-8F70-004B009200F7}"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F8005A-00BB-437F-B1C5-007600B30055}"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8000D5-000D-4DDD-B648-00AA00EC00BB}"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1776" width="3.00390625"/>
    <col customWidth="1" min="17" max="17" style="1371" width="3.00390625"/>
    <col customWidth="1" min="18" max="18" style="344" width="3.00390625"/>
    <col customWidth="1" min="19" max="19" style="2407" width="12.00390625"/>
    <col customWidth="1" min="20" max="20" style="1635" width="31.00390625"/>
    <col customWidth="1" min="21" max="21" style="1635" width="0.140625"/>
    <col customWidth="1" hidden="1" min="22" max="23" style="1635" width="21.7109375"/>
    <col customWidth="1" hidden="1" min="24" max="24" style="1635" width="11.7109375"/>
    <col customWidth="1" hidden="1" min="25" max="25" style="1635" width="3.7109375"/>
    <col customWidth="1" hidden="1" min="26" max="26" style="1635" width="11.7109375"/>
    <col customWidth="1" hidden="1" min="27" max="27" style="1635" width="8.57421875"/>
    <col customWidth="1" min="28" max="28" style="1635" width="5.421875"/>
    <col customWidth="1" min="29" max="30" style="1635" width="3.00390625"/>
    <col customWidth="1" min="31" max="31" style="1635" width="24.00390625"/>
    <col customWidth="1" min="32" max="32" style="1635" width="3.7109375"/>
    <col customWidth="1" min="33" max="34" style="1635" width="3.00390625"/>
    <col customWidth="1" min="35" max="35" style="1635" width="24.00390625"/>
    <col customWidth="1" min="36" max="36" style="1635" width="3.7109375"/>
    <col customWidth="1" min="37" max="38" style="1635" width="3.00390625"/>
    <col customWidth="1" min="39" max="39" style="1635" width="18.00390625"/>
    <col customWidth="1" min="40" max="41" style="1635" width="21.00390625"/>
    <col customWidth="1" min="42" max="42" style="1635" width="11.00390625"/>
    <col customWidth="1" min="43" max="43" style="1635" width="3.7109375"/>
    <col customWidth="1" min="44" max="44" style="1635" width="11.00390625"/>
    <col customWidth="1" hidden="1" min="45" max="45" style="1635" width="8.57421875"/>
    <col customWidth="1" min="46" max="46" style="1635" width="4.00390625"/>
    <col customWidth="1" min="47" max="47" style="1635" width="115.00390625"/>
    <col customWidth="1" min="48" max="52" style="1642" width="10.00390625"/>
    <col hidden="1" min="53" max="53" style="1635" width="10.57421875"/>
  </cols>
  <sheetData>
    <row r="1" ht="22.5" hidden="1" customHeight="1">
      <c r="W1" s="327"/>
      <c r="X1" s="327"/>
      <c r="AO1" s="327"/>
      <c r="AP1" s="327"/>
      <c r="BA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 xml:space="preserve">Наименование тарифа</v>
      </c>
      <c r="AY2" s="500"/>
      <c r="AZ2" s="500"/>
      <c r="BA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 xml:space="preserve">Территория действия тарифа</v>
      </c>
      <c r="AY3" s="500"/>
      <c r="AZ3" s="500"/>
      <c r="BA3" s="1155">
        <v>0</v>
      </c>
    </row>
    <row r="4" ht="22.5" hidden="1" customHeight="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 xml:space="preserve">Наименование системы теплоснабжения</v>
      </c>
      <c r="AY4" s="500"/>
      <c r="AZ4" s="500"/>
      <c r="BA4" s="1155">
        <v>0</v>
      </c>
    </row>
    <row r="5" ht="21" hidden="1" customHeight="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 xml:space="preserve">Источник тепловой энергии</v>
      </c>
      <c r="AY5" s="500"/>
      <c r="AZ5" s="500"/>
      <c r="BA5" s="1155">
        <v>0</v>
      </c>
    </row>
    <row r="6" s="1642" customFormat="1" ht="0.75" hidden="1" customHeight="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r="7" s="1642" customFormat="1" ht="0.75" hidden="1" customHeight="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r="8" ht="21" hidden="1" customHeight="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r="9" ht="11.25" hidden="1" customHeight="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r="10" ht="11.25" hidden="1" customHeight="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r="11" ht="11.25" hidden="1" customHeight="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r="12" ht="11.25" hidden="1" customHeight="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 xml:space="preserve">Добавить строку</v>
      </c>
      <c r="AY12" s="500"/>
      <c r="AZ12" s="500"/>
      <c r="BA12" s="1155">
        <v>0</v>
      </c>
    </row>
    <row r="13" s="1642" customFormat="1" ht="0.75" hidden="1" customHeight="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r="14" s="1642" customFormat="1" ht="0.75" hidden="1" customHeight="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r="15" s="1642" customFormat="1" ht="0.75" hidden="1" customHeight="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 xml:space="preserve">Добавить источник для дифференциации</v>
      </c>
      <c r="AY15" s="789"/>
      <c r="AZ15" s="789"/>
      <c r="BA15" s="518">
        <v>0</v>
      </c>
    </row>
    <row r="16" s="1642" customFormat="1" ht="0.75" hidden="1" customHeight="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 xml:space="preserve">Добавить централизованную систему для дифференциации</v>
      </c>
      <c r="AY16" s="789"/>
      <c r="AZ16" s="789"/>
      <c r="BA16" s="518">
        <v>0</v>
      </c>
    </row>
    <row r="17" s="1642" customFormat="1" ht="0.75" hidden="1" customHeight="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 xml:space="preserve">Добавить территорию для дифференциации</v>
      </c>
      <c r="AY17" s="500"/>
      <c r="AZ17" s="500"/>
      <c r="BA17" s="511">
        <v>0</v>
      </c>
    </row>
    <row r="18" ht="14.25" hidden="1" customHeight="1">
      <c r="AA18" s="327"/>
      <c r="AS18" s="327"/>
      <c r="BA18" s="1155">
        <v>0</v>
      </c>
    </row>
    <row r="19" ht="14.25" hidden="1" customHeight="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r="20" ht="14.25" hidden="1" customHeight="1">
      <c r="AV20" s="496"/>
      <c r="AW20" s="496"/>
      <c r="AX20" s="496"/>
      <c r="AY20" s="496"/>
      <c r="AZ20" s="496"/>
      <c r="BA20" s="1155">
        <v>0</v>
      </c>
    </row>
    <row r="21" ht="14.25" hidden="1" customHeight="1">
      <c r="O21" s="1367" t="s">
        <v>418</v>
      </c>
      <c r="X21" s="1345"/>
      <c r="Z21" s="1345"/>
      <c r="AA21" s="327"/>
      <c r="AP21" s="1345"/>
      <c r="AR21" s="1345"/>
      <c r="AS21" s="327"/>
      <c r="AV21" s="496"/>
      <c r="AW21" s="496"/>
      <c r="AX21" s="496"/>
      <c r="AY21" s="496"/>
      <c r="AZ21" s="496"/>
      <c r="BA21" s="1155">
        <v>0</v>
      </c>
    </row>
    <row r="22" ht="14.25" hidden="1" customHeight="1">
      <c r="AA22" s="327"/>
      <c r="AS22" s="327"/>
      <c r="AV22" s="496"/>
      <c r="AW22" s="496"/>
      <c r="AX22" s="496"/>
      <c r="AY22" s="496"/>
      <c r="AZ22" s="496"/>
      <c r="BA22" s="1155">
        <v>0</v>
      </c>
    </row>
    <row r="23" s="1509" customFormat="1" ht="14.25" hidden="1" customHeight="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r="24" ht="14.25" hidden="1" customHeight="1">
      <c r="O24" s="1364"/>
      <c r="AV24" s="496"/>
      <c r="AW24" s="496"/>
      <c r="AX24" s="496"/>
      <c r="AY24" s="496"/>
      <c r="AZ24" s="496"/>
      <c r="BA24" s="1155">
        <v>0</v>
      </c>
    </row>
    <row r="25" ht="14.25" hidden="1" customHeight="1">
      <c r="O25" s="1364"/>
      <c r="AV25" s="496"/>
      <c r="AW25" s="496"/>
      <c r="AX25" s="496"/>
      <c r="AY25" s="496"/>
      <c r="AZ25" s="496"/>
      <c r="BA25" s="1155">
        <v>0</v>
      </c>
    </row>
    <row r="26" ht="14.65" customHeight="1">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r="27" ht="27.300000000000001" customHeight="1">
      <c r="Q27" s="291"/>
      <c r="R27" s="376"/>
      <c r="S27" s="2248"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r="28" ht="14.65" customHeight="1">
      <c r="Q28" s="291"/>
      <c r="R28" s="376"/>
      <c r="S28" s="2249" t="str">
        <f>IF(org=0,"Не определено",org)</f>
        <v xml:space="preserve">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r="29" ht="14.25" hidden="1" customHeight="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r="30" s="1853" customFormat="1" ht="25.5" hidden="1" customHeight="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r="31" s="1853" customFormat="1" ht="18.75" hidden="1" customHeight="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45841</v>
      </c>
      <c r="W31" s="2264"/>
      <c r="X31" s="2264"/>
      <c r="Y31" s="2264"/>
      <c r="Z31" s="2264"/>
      <c r="AA31" s="326"/>
      <c r="AB31" s="2264" t="str">
        <f>IF(TITLE_DATE_PR_CHANGE="",IF(TITLE_DATE_PR="","",TITLE_DATE_PR),TITLE_DATE_PR_CHANGE)</f>
        <v>45841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27-3420</v>
      </c>
      <c r="W32" s="2251"/>
      <c r="X32" s="2251"/>
      <c r="Y32" s="2251"/>
      <c r="Z32" s="2251"/>
      <c r="AA32" s="326"/>
      <c r="AB32" s="2251" t="str">
        <f>IF(TITLE_NUMBER_PR_CHANGE="",IF(TITLE_NUMBER_PR="","",TITLE_NUMBER_PR),TITLE_NUMBER_PR_CHANGE)</f>
        <v>27-3420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r="34" ht="14.25" customHeight="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r="35" s="1853" customFormat="1" ht="18.75" customHeight="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45841</v>
      </c>
      <c r="W35" s="2264"/>
      <c r="X35" s="2264"/>
      <c r="Y35" s="2264"/>
      <c r="Z35" s="2264"/>
      <c r="AA35" s="326"/>
      <c r="AB35" s="2264" t="str">
        <f>IF(TITLE_DATE_PR_CHANGE="",IF(TITLE_DATE_PR="","",TITLE_DATE_PR),TITLE_DATE_PR_CHANGE)</f>
        <v>45841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r="36" s="1853" customFormat="1" ht="18" customHeight="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27-3420</v>
      </c>
      <c r="W36" s="2251"/>
      <c r="X36" s="2251"/>
      <c r="Y36" s="2251"/>
      <c r="Z36" s="2251"/>
      <c r="AA36" s="326"/>
      <c r="AB36" s="2251" t="str">
        <f>IF(TITLE_NUMBER_PR_CHANGE="",IF(TITLE_NUMBER_PR="","",TITLE_NUMBER_PR),TITLE_NUMBER_PR_CHANGE)</f>
        <v>27-3420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r="37" s="1853" customFormat="1" ht="1.05" customHeight="1">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r="38" ht="14.65" customHeight="1">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r="39" ht="14.65" customHeight="1">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r="40" ht="14.65" customHeight="1">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r="41" ht="35.649999999999999" customHeight="1">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r="42" ht="14.65" customHeight="1">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r="43" ht="14.65" customHeight="1">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r="44" s="1641" customFormat="1" ht="11.25" hidden="1" customHeight="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r="45" ht="107.25" customHeight="1">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 xml:space="preserve">Наименование тарифа</v>
      </c>
      <c r="AY45" s="500"/>
      <c r="AZ45" s="500"/>
      <c r="BA45" s="1155">
        <v>102</v>
      </c>
    </row>
    <row r="46" ht="22" customHeight="1">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 xml:space="preserve">Территория действия тарифа</v>
      </c>
      <c r="AY46" s="500"/>
      <c r="AZ46" s="500"/>
      <c r="BA46" s="1155">
        <v>21</v>
      </c>
    </row>
    <row r="47" ht="24" customHeight="1">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 xml:space="preserve">Наименование системы теплоснабжения</v>
      </c>
      <c r="AY47" s="500"/>
      <c r="AZ47" s="500"/>
      <c r="BA47" s="1155">
        <v>23</v>
      </c>
    </row>
    <row r="48" ht="21" customHeight="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 xml:space="preserve">Источник тепловой энергии</v>
      </c>
      <c r="AY48" s="500"/>
      <c r="AZ48" s="500"/>
      <c r="BA48" s="1155">
        <v>20</v>
      </c>
    </row>
    <row r="49" s="1642" customFormat="1" ht="1.05" customHeight="1">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r="50" s="1642" customFormat="1" ht="1.05" customHeight="1">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r="51" ht="22" customHeight="1">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r="52" ht="11.5" customHeight="1">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r="53" ht="11.5" customHeight="1">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r="54" ht="11.5" customHeight="1">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r="55" ht="11.5" customHeight="1">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 xml:space="preserve">Добавить строку</v>
      </c>
      <c r="AY55" s="500"/>
      <c r="AZ55" s="500"/>
      <c r="BA55" s="1155">
        <v>11</v>
      </c>
    </row>
    <row r="56" s="1642" customFormat="1" ht="1.05" customHeight="1">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 xml:space="preserve">Добавить группу потребителей</v>
      </c>
      <c r="AY56" s="500"/>
      <c r="AZ56" s="500"/>
      <c r="BA56" s="511">
        <v>1</v>
      </c>
    </row>
    <row r="57" s="1641" customFormat="1" ht="1.05" customHeight="1">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r="58" s="1642" customFormat="1" ht="1.05" customHeight="1">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 xml:space="preserve">Добавить источник для дифференциации</v>
      </c>
      <c r="AY58" s="789"/>
      <c r="AZ58" s="789"/>
      <c r="BA58" s="518">
        <v>1</v>
      </c>
    </row>
    <row r="59" s="1642" customFormat="1" ht="1.05" customHeight="1">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 xml:space="preserve">Добавить централизованную систему для дифференциации</v>
      </c>
      <c r="AY59" s="789"/>
      <c r="AZ59" s="789"/>
      <c r="BA59" s="518">
        <v>1</v>
      </c>
    </row>
    <row r="60" s="1642" customFormat="1" ht="1.05" customHeight="1">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 xml:space="preserve">Добавить территорию для дифференциации</v>
      </c>
      <c r="AY60" s="500"/>
      <c r="AZ60" s="500"/>
      <c r="BA60" s="511">
        <v>1</v>
      </c>
    </row>
    <row r="61" s="1642" customFormat="1" ht="1.05" customHeight="1">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 xml:space="preserve">Добавить территорию для дифференциации</v>
      </c>
      <c r="AY61" s="500"/>
      <c r="AZ61" s="500"/>
      <c r="BA61" s="511">
        <v>1</v>
      </c>
    </row>
    <row r="62" s="1642" customFormat="1" ht="1.05" customHeight="1">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 xml:space="preserve">Добавить наименование тарифа</v>
      </c>
      <c r="AY62" s="789"/>
      <c r="AZ62" s="789"/>
      <c r="BA62" s="518">
        <v>1</v>
      </c>
    </row>
    <row r="63" ht="11.5" customHeight="1">
      <c r="M63" s="1160"/>
      <c r="N63" s="1160"/>
      <c r="O63" s="537"/>
      <c r="P63" s="1160"/>
      <c r="Q63" s="1160"/>
      <c r="R63" s="1155"/>
      <c r="S63" s="1155"/>
      <c r="AV63" s="1155"/>
      <c r="AW63" s="1155"/>
      <c r="AX63" s="1155"/>
      <c r="AY63" s="1155"/>
      <c r="AZ63" s="1155"/>
      <c r="BA63" s="1155">
        <v>11</v>
      </c>
    </row>
    <row r="64" ht="19.949999999999999" customHeight="1">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r="65" ht="21" customHeight="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r="66" ht="14.65" customHeight="1">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r="67" ht="19.949999999999999" customHeight="1">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r="68" ht="16.800000000000001" customHeight="1">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r="69" ht="14.65" customHeight="1">
      <c r="O69" s="537"/>
      <c r="BA69" s="1155">
        <v>14</v>
      </c>
    </row>
    <row r="70" ht="22.5" hidden="1" customHeight="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autoFilter="0" deleteColumns="1" deleteRows="1" formatColumns="0" formatRows="0" insertColumns="1" insertRows="1" sheet="1" sort="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B00D3-0030-4C67-9CB8-00BC00AD00DD}"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AC005B-00C4-442D-9729-00800056004A}"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2C0088-0096-4F28-8853-0023001B0014}"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8C00D0-0005-49AF-B2D9-00CC00B700EF}"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060094-002A-4ABC-9392-0057008C00B2}"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14.25"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21"/>
      <c r="M19" s="1362"/>
      <c r="N19" s="1362"/>
      <c r="O19" s="1362"/>
      <c r="P19" s="1362"/>
      <c r="Q19" s="1371"/>
      <c r="R19" s="1371"/>
      <c r="S19" s="729"/>
      <c r="AB19" s="1366"/>
      <c r="AI19" s="1366"/>
      <c r="AL19" s="511"/>
      <c r="AM19" s="511"/>
      <c r="AN19" s="511"/>
      <c r="AO19" s="511"/>
      <c r="AP19" s="511"/>
      <c r="AQ19" s="1160">
        <v>0</v>
      </c>
    </row>
    <row r="20" s="1366" customFormat="1" ht="12" hidden="1" customHeight="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326"/>
      <c r="AC28" s="2264" t="str">
        <f>IF(TITLE_DATE_PR_CHANGE="",IF(TITLE_DATE_PR="","",TITLE_DATE_PR),TITLE_DATE_PR_CHANGE)</f>
        <v>45841</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326"/>
      <c r="AC29" s="2251" t="str">
        <f>IF(TITLE_NUMBER_PR_CHANGE="",IF(TITLE_NUMBER_PR="","",TITLE_NUMBER_PR),TITLE_NUMBER_PR_CHANGE)</f>
        <v>27-3420</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326"/>
      <c r="AC32" s="2264" t="str">
        <f>IF(TITLE_DATE_PR_CHANGE="",IF(TITLE_DATE_PR="","",TITLE_DATE_PR),TITLE_DATE_PR_CHANGE)</f>
        <v>45841</v>
      </c>
      <c r="AD32" s="2264"/>
      <c r="AE32" s="2264"/>
      <c r="AF32" s="2264"/>
      <c r="AG32" s="2264"/>
      <c r="AH32" s="2264"/>
      <c r="AI32" s="326"/>
      <c r="AJ32" s="326"/>
      <c r="AK32" s="280"/>
      <c r="AL32" s="368"/>
      <c r="AM32" s="368"/>
      <c r="AN32" s="368"/>
      <c r="AO32" s="368"/>
      <c r="AP32" s="368"/>
      <c r="AQ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326"/>
      <c r="AC33" s="2251" t="str">
        <f>IF(TITLE_NUMBER_PR_CHANGE="",IF(TITLE_NUMBER_PR="","",TITLE_NUMBER_PR),TITLE_NUMBER_PR_CHANGE)</f>
        <v>27-3420</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r="37" ht="14.65" customHeight="1">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r="38" ht="35.649999999999999" customHeight="1">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r="39" ht="35.649999999999999" customHeight="1">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r="40" s="1641" customFormat="1" ht="11.25" hidden="1" customHeight="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r="41" ht="24" customHeight="1">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 xml:space="preserve">Территория действия тарифа</v>
      </c>
      <c r="AO42" s="500"/>
      <c r="AP42" s="500"/>
      <c r="AQ42" s="1155">
        <v>23</v>
      </c>
    </row>
    <row r="43" ht="24" customHeight="1">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1" deleteRows="1" formatColumns="0" formatRows="0" insertColumns="1" insertRows="1" sheet="1" sort="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E005B-00E8-45D9-9FA2-008C00150081}"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40058-00C5-4415-82C0-003D007E000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DC00B8-0092-422A-8F90-00C10024007D}"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B00E1-008A-453A-988A-00F6000F001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47"/>
      <c r="M19" s="1362"/>
      <c r="N19" s="1362"/>
      <c r="O19" s="1362"/>
      <c r="P19" s="1362"/>
      <c r="Q19" s="1371"/>
      <c r="R19" s="1371"/>
      <c r="S19" s="729"/>
      <c r="AB19" s="1366"/>
      <c r="AI19" s="1366"/>
      <c r="AL19" s="511"/>
      <c r="AM19" s="511"/>
      <c r="AN19" s="511"/>
      <c r="AO19" s="511"/>
      <c r="AP19" s="511"/>
      <c r="AQ19" s="1160">
        <v>0</v>
      </c>
    </row>
    <row r="20" s="1366" customFormat="1" ht="12" hidden="1" customHeight="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326"/>
      <c r="AC28" s="2264" t="str">
        <f>IF(TITLE_DATE_PR_CHANGE="",IF(TITLE_DATE_PR="","",TITLE_DATE_PR),TITLE_DATE_PR_CHANGE)</f>
        <v>45841</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326"/>
      <c r="AC29" s="2251" t="str">
        <f>IF(TITLE_NUMBER_PR_CHANGE="",IF(TITLE_NUMBER_PR="","",TITLE_NUMBER_PR),TITLE_NUMBER_PR_CHANGE)</f>
        <v>27-3420</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326"/>
      <c r="AC32" s="2264" t="str">
        <f>IF(TITLE_DATE_PR_CHANGE="",IF(TITLE_DATE_PR="","",TITLE_DATE_PR),TITLE_DATE_PR_CHANGE)</f>
        <v>45841</v>
      </c>
      <c r="AD32" s="2264"/>
      <c r="AE32" s="2264"/>
      <c r="AF32" s="2264"/>
      <c r="AG32" s="2264"/>
      <c r="AH32" s="2264"/>
      <c r="AI32" s="326"/>
      <c r="AJ32" s="326"/>
      <c r="AK32" s="280"/>
      <c r="AL32" s="368"/>
      <c r="AM32" s="368"/>
      <c r="AN32" s="368"/>
      <c r="AO32" s="368"/>
      <c r="AP32" s="368"/>
      <c r="AQ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326"/>
      <c r="AC33" s="2251" t="str">
        <f>IF(TITLE_NUMBER_PR_CHANGE="",IF(TITLE_NUMBER_PR="","",TITLE_NUMBER_PR),TITLE_NUMBER_PR_CHANGE)</f>
        <v>27-3420</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r="37" ht="14.65" customHeight="1">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r="38" ht="35.649999999999999" customHeight="1">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r="39" ht="35.649999999999999" customHeight="1">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r="41" ht="24" customHeight="1">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 xml:space="preserve">Территория действия тарифа</v>
      </c>
      <c r="AO42" s="500"/>
      <c r="AP42" s="500"/>
      <c r="AQ42" s="1155">
        <v>23</v>
      </c>
    </row>
    <row r="43" ht="24" customHeight="1">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1" deleteRows="1" formatColumns="0" formatRows="0" insertColumns="1" insertRows="1" sheet="1" sort="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90067-00C4-4256-BE20-0069006E009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E7005C-00DD-4C6A-B4CF-008500A4004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E0008-00CB-48AF-ABEF-0013001D000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800D0-008A-4088-BE42-00A900FE00D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47"/>
      <c r="M19" s="1362"/>
      <c r="N19" s="1362"/>
      <c r="O19" s="1362"/>
      <c r="P19" s="1362"/>
      <c r="Q19" s="1371"/>
      <c r="R19" s="1371"/>
      <c r="S19" s="729"/>
      <c r="AB19" s="1366"/>
      <c r="AI19" s="1366"/>
      <c r="AL19" s="511"/>
      <c r="AM19" s="511"/>
      <c r="AN19" s="511"/>
      <c r="AO19" s="511"/>
      <c r="AP19" s="511"/>
      <c r="AQ19" s="1160">
        <v>0</v>
      </c>
    </row>
    <row r="20" s="1366" customFormat="1" ht="12" hidden="1" customHeight="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326"/>
      <c r="AC28" s="2264" t="str">
        <f>IF(TITLE_DATE_PR_CHANGE="",IF(TITLE_DATE_PR="","",TITLE_DATE_PR),TITLE_DATE_PR_CHANGE)</f>
        <v>45841</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326"/>
      <c r="AC29" s="2251" t="str">
        <f>IF(TITLE_NUMBER_PR_CHANGE="",IF(TITLE_NUMBER_PR="","",TITLE_NUMBER_PR),TITLE_NUMBER_PR_CHANGE)</f>
        <v>27-3420</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326"/>
      <c r="AC32" s="2264" t="str">
        <f>IF(TITLE_DATE_PR_CHANGE="",IF(TITLE_DATE_PR="","",TITLE_DATE_PR),TITLE_DATE_PR_CHANGE)</f>
        <v>45841</v>
      </c>
      <c r="AD32" s="2264"/>
      <c r="AE32" s="2264"/>
      <c r="AF32" s="2264"/>
      <c r="AG32" s="2264"/>
      <c r="AH32" s="2264"/>
      <c r="AI32" s="326"/>
      <c r="AJ32" s="326"/>
      <c r="AK32" s="280"/>
      <c r="AL32" s="368"/>
      <c r="AM32" s="368"/>
      <c r="AN32" s="368"/>
      <c r="AO32" s="368"/>
      <c r="AP32" s="368"/>
      <c r="AQ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326"/>
      <c r="AC33" s="2251" t="str">
        <f>IF(TITLE_NUMBER_PR_CHANGE="",IF(TITLE_NUMBER_PR="","",TITLE_NUMBER_PR),TITLE_NUMBER_PR_CHANGE)</f>
        <v>27-3420</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r="37" ht="14.65" customHeight="1">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r="38" ht="35.649999999999999" customHeight="1">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r="39" ht="35.649999999999999" customHeight="1">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r="41" ht="24" customHeight="1">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 xml:space="preserve">Территория действия тарифа</v>
      </c>
      <c r="AO42" s="500"/>
      <c r="AP42" s="500"/>
      <c r="AQ42" s="1155">
        <v>23</v>
      </c>
    </row>
    <row r="43" ht="24" customHeight="1">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100A8-0008-49FE-8C2D-00A1003900F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B00FD-00F5-4F0A-86DE-0099002D00AC}"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70090-003F-40DC-BD82-00370010001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C00ED-009C-41C3-927E-00CC0039003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47"/>
      <c r="M19" s="1362"/>
      <c r="N19" s="1362"/>
      <c r="O19" s="1362"/>
      <c r="P19" s="1362"/>
      <c r="Q19" s="1371"/>
      <c r="R19" s="1371"/>
      <c r="S19" s="729"/>
      <c r="AB19" s="1366"/>
      <c r="AI19" s="1366"/>
      <c r="AL19" s="511"/>
      <c r="AM19" s="511"/>
      <c r="AN19" s="511"/>
      <c r="AO19" s="511"/>
      <c r="AP19" s="511"/>
      <c r="AQ19" s="1160">
        <v>0</v>
      </c>
    </row>
    <row r="20" s="1366" customFormat="1" ht="12" hidden="1" customHeight="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326"/>
      <c r="AC28" s="2264" t="str">
        <f>IF(TITLE_DATE_PR_CHANGE="",IF(TITLE_DATE_PR="","",TITLE_DATE_PR),TITLE_DATE_PR_CHANGE)</f>
        <v>45841</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326"/>
      <c r="AC29" s="2251" t="str">
        <f>IF(TITLE_NUMBER_PR_CHANGE="",IF(TITLE_NUMBER_PR="","",TITLE_NUMBER_PR),TITLE_NUMBER_PR_CHANGE)</f>
        <v>27-3420</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326"/>
      <c r="AC32" s="2264" t="str">
        <f>IF(TITLE_DATE_PR_CHANGE="",IF(TITLE_DATE_PR="","",TITLE_DATE_PR),TITLE_DATE_PR_CHANGE)</f>
        <v>45841</v>
      </c>
      <c r="AD32" s="2264"/>
      <c r="AE32" s="2264"/>
      <c r="AF32" s="2264"/>
      <c r="AG32" s="2264"/>
      <c r="AH32" s="2264"/>
      <c r="AI32" s="326"/>
      <c r="AJ32" s="326"/>
      <c r="AK32" s="280"/>
      <c r="AL32" s="368"/>
      <c r="AM32" s="368"/>
      <c r="AN32" s="368"/>
      <c r="AO32" s="368"/>
      <c r="AP32" s="368"/>
      <c r="AQ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326"/>
      <c r="AC33" s="2251" t="str">
        <f>IF(TITLE_NUMBER_PR_CHANGE="",IF(TITLE_NUMBER_PR="","",TITLE_NUMBER_PR),TITLE_NUMBER_PR_CHANGE)</f>
        <v>27-3420</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r="37" ht="14.65" customHeight="1">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r="38" ht="35.649999999999999" customHeight="1">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r="39" ht="35.649999999999999" customHeight="1">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r="41" ht="24" customHeight="1">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 xml:space="preserve">Территория действия тарифа</v>
      </c>
      <c r="AO42" s="500"/>
      <c r="AP42" s="500"/>
      <c r="AQ42" s="1155">
        <v>23</v>
      </c>
    </row>
    <row r="43" ht="24" customHeight="1">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30014-00B2-4396-A443-000A008E00D5}"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500F5-0057-4BA2-A012-005900AD00DF}"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800FA-0007-446B-BD2C-0077002C0067}"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800BF-005B-4962-84DA-006D00C60040}"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7" ySplit="41" topLeftCell="AB42" activePane="bottomRight" state="frozen"/>
      <selection pane="bottomLeft" activeCell="A42" sqref="A42"/>
      <selection pane="topRight" activeCell="AB1" sqref="AB1"/>
      <selection pane="bottomRight" activeCell="T58" sqref="T58:AK58"/>
    </sheetView>
  </sheetViews>
  <sheetFormatPr defaultColWidth="10.57421875" defaultRowHeight="14.25" customHeight="1"/>
  <cols>
    <col customWidth="1" hidden="1" min="1" max="3" style="1635" width="10.140625"/>
    <col customWidth="1" hidden="1" min="4" max="4" style="1635" width="11.8515625"/>
    <col customWidth="1" hidden="1" min="5" max="11" style="1635" width="10.140625"/>
    <col customWidth="1" hidden="1" min="12" max="12" style="2125" width="10.140625"/>
    <col customWidth="1" hidden="1" min="13" max="15" style="2397" width="10.140625"/>
    <col customWidth="1" min="16" max="16" style="1776" width="3.00390625"/>
    <col customWidth="1" min="17" max="17" style="1371" width="3.00390625"/>
    <col customWidth="1" min="18" max="18" style="344" width="3.00390625"/>
    <col customWidth="1" min="19" max="19" style="2407" width="12.00390625"/>
    <col customWidth="1" min="20" max="20" style="1635" width="31.00390625"/>
    <col customWidth="1" min="21" max="21" style="1635" width="0.140625"/>
    <col customWidth="1" hidden="1" min="22" max="23" style="1635" width="21.7109375"/>
    <col customWidth="1" hidden="1" min="24" max="24" style="1635" width="11.7109375"/>
    <col customWidth="1" hidden="1" min="25" max="25" style="1635" width="3.7109375"/>
    <col customWidth="1" hidden="1" min="26" max="26" style="1635" width="11.7109375"/>
    <col customWidth="1" hidden="1" min="27" max="27" style="1635" width="8.57421875"/>
    <col customWidth="1" min="28" max="28" style="1635" width="27.00390625"/>
    <col customWidth="1" min="29" max="29" style="1635" width="24.57421875"/>
    <col customWidth="1" min="30" max="31" style="1635" width="21.00390625"/>
    <col customWidth="1" min="32" max="32" style="1635" width="13.17187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0.75" hidden="1" customHeight="1">
      <c r="AQ1" s="1631" t="s">
        <v>14</v>
      </c>
    </row>
    <row r="2" ht="21" hidden="1" customHeight="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 xml:space="preserve">Наименование тарифа</v>
      </c>
      <c r="AO2" s="1624"/>
      <c r="AP2" s="1624"/>
      <c r="AQ2" s="1631">
        <v>0</v>
      </c>
    </row>
    <row r="3" ht="21" hidden="1" customHeight="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 xml:space="preserve">Территория действия тарифа</v>
      </c>
      <c r="AO3" s="1624"/>
      <c r="AP3" s="1624"/>
      <c r="AQ3" s="1631">
        <v>0</v>
      </c>
    </row>
    <row r="4" ht="22.5" hidden="1" customHeight="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 xml:space="preserve">Наименование системы теплоснабжения</v>
      </c>
      <c r="AO4" s="1624"/>
      <c r="AP4" s="1624"/>
      <c r="AQ4" s="1631">
        <v>0</v>
      </c>
    </row>
    <row r="5" ht="21" hidden="1" customHeight="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 xml:space="preserve">Источник тепловой энергии</v>
      </c>
      <c r="AO5" s="1624"/>
      <c r="AP5" s="1624"/>
      <c r="AQ5" s="1631">
        <v>0</v>
      </c>
    </row>
    <row r="6" s="1642" customFormat="1" ht="0.75" hidden="1" customHeight="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r="7" s="1642" customFormat="1" ht="0.75" hidden="1" customHeight="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r="8" ht="21" hidden="1" customHeight="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r="9" ht="11.25" hidden="1" customHeight="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 xml:space="preserve">Добавить строку</v>
      </c>
      <c r="AO9" s="1624"/>
      <c r="AP9" s="1624"/>
      <c r="AQ9" s="1631">
        <v>0</v>
      </c>
    </row>
    <row r="10" s="1642" customFormat="1" ht="0.75" hidden="1" customHeight="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r="11" s="1642" customFormat="1" ht="0.75" hidden="1" customHeight="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r="12" s="1642" customFormat="1" ht="0.75" hidden="1" customHeight="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 xml:space="preserve">Добавить источник для дифференциации</v>
      </c>
      <c r="AO12" s="1251"/>
      <c r="AP12" s="1251"/>
      <c r="AQ12" s="1642">
        <v>0</v>
      </c>
    </row>
    <row r="13" s="1642" customFormat="1" ht="0.75" hidden="1" customHeight="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 xml:space="preserve">Добавить централизованную систему для дифференциации</v>
      </c>
      <c r="AO13" s="1251"/>
      <c r="AP13" s="1251"/>
      <c r="AQ13" s="1642">
        <v>0</v>
      </c>
    </row>
    <row r="14" s="1642" customFormat="1" ht="0.75" hidden="1" customHeight="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 xml:space="preserve">Добавить территорию для дифференциации</v>
      </c>
      <c r="AO14" s="1624"/>
      <c r="AP14" s="1624"/>
      <c r="AQ14" s="1636">
        <v>0</v>
      </c>
    </row>
    <row r="15" ht="14.25" hidden="1" customHeight="1">
      <c r="AQ15" s="1631">
        <v>0</v>
      </c>
    </row>
    <row r="16" ht="14.25" hidden="1" customHeight="1">
      <c r="AC16" s="1502"/>
      <c r="AD16" s="1403"/>
      <c r="AE16" s="1404"/>
      <c r="AF16" s="1736"/>
      <c r="AG16" s="1966" t="s">
        <v>66</v>
      </c>
      <c r="AH16" s="1736"/>
      <c r="AI16" s="1966" t="s">
        <v>66</v>
      </c>
      <c r="AQ16" s="1631">
        <v>0</v>
      </c>
    </row>
    <row r="17" ht="14.25" hidden="1" customHeight="1">
      <c r="AL17" s="1641"/>
      <c r="AM17" s="1641"/>
      <c r="AN17" s="1641"/>
      <c r="AO17" s="1641"/>
      <c r="AP17" s="1641"/>
      <c r="AQ17" s="1631">
        <v>0</v>
      </c>
    </row>
    <row r="18" ht="14.25" hidden="1" customHeight="1">
      <c r="O18" s="1345" t="s">
        <v>418</v>
      </c>
      <c r="X18" s="1345"/>
      <c r="Z18" s="1345"/>
      <c r="AF18" s="1345"/>
      <c r="AH18" s="1345"/>
      <c r="AL18" s="1641"/>
      <c r="AM18" s="1641"/>
      <c r="AN18" s="1641"/>
      <c r="AO18" s="1641"/>
      <c r="AP18" s="1641"/>
      <c r="AQ18" s="1631">
        <v>0</v>
      </c>
    </row>
    <row r="19" ht="14.25" hidden="1" customHeight="1">
      <c r="AL19" s="1641"/>
      <c r="AM19" s="1641"/>
      <c r="AN19" s="1641"/>
      <c r="AO19" s="1641"/>
      <c r="AP19" s="1641"/>
      <c r="AQ19" s="1631">
        <v>0</v>
      </c>
    </row>
    <row r="20" s="1509" customFormat="1" ht="14.25" hidden="1" customHeight="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r="21" ht="14.25" hidden="1" customHeight="1">
      <c r="O21" s="1310"/>
      <c r="AL21" s="1641"/>
      <c r="AM21" s="1641"/>
      <c r="AN21" s="1641"/>
      <c r="AO21" s="1641"/>
      <c r="AP21" s="1641"/>
      <c r="AQ21" s="1631">
        <v>0</v>
      </c>
    </row>
    <row r="22" ht="14.25" hidden="1" customHeight="1">
      <c r="O22" s="1310"/>
      <c r="AL22" s="1641"/>
      <c r="AM22" s="1641"/>
      <c r="AN22" s="1641"/>
      <c r="AO22" s="1641"/>
      <c r="AP22" s="1641"/>
      <c r="AQ22" s="1631">
        <v>0</v>
      </c>
    </row>
    <row r="23" ht="14.65" customHeight="1">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r="24" ht="39.75" customHeight="1">
      <c r="Q24" s="291"/>
      <c r="R24" s="376"/>
      <c r="S24" s="2248"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r="25" ht="14.65" customHeight="1">
      <c r="Q25" s="291"/>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631">
        <v>14</v>
      </c>
    </row>
    <row r="26" ht="14.25" hidden="1" customHeight="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r="27" s="1853" customFormat="1" ht="25.5" hidden="1" customHeight="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r="28" s="1853" customFormat="1" ht="18.75" hidden="1" customHeight="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45841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r="29" s="1853" customFormat="1" ht="18.75" hidden="1" customHeight="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27-3420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r="30" s="1853" customFormat="1" ht="18.75" hidden="1" customHeight="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r="31" ht="14.25" hidden="1" customHeight="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r="32" s="1853" customFormat="1" ht="18.75" hidden="1" customHeight="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45841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r="33" s="1853" customFormat="1" ht="18" hidden="1" customHeight="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27-3420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r="34" s="1853" customFormat="1" ht="1.05" customHeight="1">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r="35" ht="14.65" customHeight="1">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r="36" ht="14.65" customHeight="1">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r="37" ht="14.65" customHeight="1">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r="38" ht="35.649999999999999" customHeight="1">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r="39" ht="14.65" customHeight="1">
      <c r="Q39" s="291"/>
      <c r="R39" s="376"/>
      <c r="S39" s="2273"/>
      <c r="T39" s="2209"/>
      <c r="U39" s="1031"/>
      <c r="V39" s="2340" t="str">
        <f>IF($AD$39&lt;&gt;"",$AD$39,"")</f>
        <v>тыс.руб.</v>
      </c>
      <c r="W39" s="2340"/>
      <c r="X39" s="2295"/>
      <c r="Y39" s="2315"/>
      <c r="Z39" s="2315"/>
      <c r="AA39" s="2209"/>
      <c r="AB39" s="2208"/>
      <c r="AC39" s="2208"/>
      <c r="AD39" s="2356" t="s">
        <v>501</v>
      </c>
      <c r="AE39" s="2339"/>
      <c r="AF39" s="2315"/>
      <c r="AG39" s="2315"/>
      <c r="AH39" s="2316"/>
      <c r="AI39" s="2278"/>
      <c r="AJ39" s="2281"/>
      <c r="AK39" s="2127"/>
      <c r="AQ39" s="1631">
        <v>14</v>
      </c>
    </row>
    <row r="40" ht="14.65" customHeight="1">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r="41" s="1641" customFormat="1" ht="11.25" hidden="1" customHeight="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r="42" ht="107.25" customHeight="1">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 xml:space="preserve">Наименование тарифа</v>
      </c>
      <c r="AO42" s="1624"/>
      <c r="AP42" s="1624"/>
      <c r="AQ42" s="1631">
        <v>102</v>
      </c>
    </row>
    <row r="43" ht="22" customHeight="1">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 xml:space="preserve">без дифференциации</v>
      </c>
      <c r="AD43" s="2243"/>
      <c r="AE43" s="2243"/>
      <c r="AF43" s="2243"/>
      <c r="AG43" s="2243"/>
      <c r="AH43" s="2243"/>
      <c r="AI43" s="2243"/>
      <c r="AJ43" s="2244"/>
      <c r="AK43" s="1258" t="s">
        <v>402</v>
      </c>
      <c r="AM43" s="1624"/>
      <c r="AN43" s="1624" t="str">
        <f>IF(T43="","",T43)</f>
        <v xml:space="preserve">Территория действия тарифа</v>
      </c>
      <c r="AO43" s="1624"/>
      <c r="AP43" s="1624"/>
      <c r="AQ43" s="1631">
        <v>21</v>
      </c>
    </row>
    <row r="44" ht="24" customHeight="1">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 xml:space="preserve">без дифференциации</v>
      </c>
      <c r="AD44" s="2243"/>
      <c r="AE44" s="2243"/>
      <c r="AF44" s="2243"/>
      <c r="AG44" s="2243"/>
      <c r="AH44" s="2243"/>
      <c r="AI44" s="2243"/>
      <c r="AJ44" s="2244"/>
      <c r="AK44" s="1258" t="s">
        <v>404</v>
      </c>
      <c r="AM44" s="1624"/>
      <c r="AN44" s="1624" t="str">
        <f>IF(T44="","",T44)</f>
        <v xml:space="preserve">Наименование системы теплоснабжения</v>
      </c>
      <c r="AO44" s="1624"/>
      <c r="AP44" s="1624"/>
      <c r="AQ44" s="1631">
        <v>23</v>
      </c>
    </row>
    <row r="45" ht="22" customHeight="1">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 xml:space="preserve">Владивостокская ТЭЦ-2</v>
      </c>
      <c r="AD45" s="2243"/>
      <c r="AE45" s="2243"/>
      <c r="AF45" s="2243"/>
      <c r="AG45" s="2243"/>
      <c r="AH45" s="2243"/>
      <c r="AI45" s="2243"/>
      <c r="AJ45" s="2244"/>
      <c r="AK45" s="1258" t="s">
        <v>406</v>
      </c>
      <c r="AM45" s="1624"/>
      <c r="AN45" s="1624" t="str">
        <f>IF(T45="","",T45)</f>
        <v xml:space="preserve">Источник тепловой энергии</v>
      </c>
      <c r="AO45" s="1624"/>
      <c r="AP45" s="1624"/>
      <c r="AQ45" s="1631">
        <v>21</v>
      </c>
    </row>
    <row r="46" s="1642" customFormat="1" ht="0" customHeight="1">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r="47" s="1642" customFormat="1" ht="0" customHeight="1">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r="48" ht="47.5" customHeight="1">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0.29999999999999999</v>
      </c>
      <c r="AD48" s="751"/>
      <c r="AE48" s="1257">
        <v>5708.7700000000004</v>
      </c>
      <c r="AF48" s="2602">
        <v>45855.412685185183</v>
      </c>
      <c r="AG48" s="1942" t="s">
        <v>19</v>
      </c>
      <c r="AH48" s="2675" t="s">
        <v>28</v>
      </c>
      <c r="AI48" s="1942" t="s">
        <v>66</v>
      </c>
      <c r="AJ48" s="1348"/>
      <c r="AK48" s="2253" t="s">
        <v>480</v>
      </c>
      <c r="AL48" s="1636">
        <f>STRCHECKDATE(#REF!)</f>
      </c>
      <c r="AM48" s="1624"/>
      <c r="AN48" s="1624" t="str">
        <f>IF(T48="","",T48)</f>
        <v xml:space="preserve">Лукьянов Сергей Петрович</v>
      </c>
      <c r="AO48" s="1624"/>
      <c r="AP48" s="1624"/>
      <c r="AQ48" s="1631">
        <v>21</v>
      </c>
    </row>
    <row r="49" ht="11.5" customHeight="1">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 xml:space="preserve">Добавить строку</v>
      </c>
      <c r="AO49" s="1624"/>
      <c r="AP49" s="1624"/>
      <c r="AQ49" s="1631">
        <v>11</v>
      </c>
    </row>
    <row r="50" s="1642" customFormat="1" ht="1.05" customHeight="1">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 xml:space="preserve">Добавить группу потребителей</v>
      </c>
      <c r="AO50" s="1624"/>
      <c r="AP50" s="1624"/>
      <c r="AQ50" s="1636">
        <v>1</v>
      </c>
    </row>
    <row r="51" s="1641" customFormat="1" ht="1.05" customHeight="1">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r="52" s="1642" customFormat="1" ht="1.05" customHeight="1">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 xml:space="preserve">Добавить источник для дифференциации</v>
      </c>
      <c r="AO52" s="1251"/>
      <c r="AP52" s="1251"/>
      <c r="AQ52" s="1642">
        <v>1</v>
      </c>
    </row>
    <row r="53" s="1642" customFormat="1" ht="1.05" customHeight="1">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 xml:space="preserve">Добавить централизованную систему для дифференциации</v>
      </c>
      <c r="AO53" s="1251"/>
      <c r="AP53" s="1251"/>
      <c r="AQ53" s="1642">
        <v>1</v>
      </c>
    </row>
    <row r="54" s="1642" customFormat="1" ht="1.05" customHeight="1">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 xml:space="preserve">Добавить территорию для дифференциации</v>
      </c>
      <c r="AO54" s="1624"/>
      <c r="AP54" s="1624"/>
      <c r="AQ54" s="1636">
        <v>1</v>
      </c>
    </row>
    <row r="55" s="1642" customFormat="1" ht="1.05" customHeight="1">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 xml:space="preserve">Добавить территорию для дифференциации</v>
      </c>
      <c r="AO55" s="1624"/>
      <c r="AP55" s="1624"/>
      <c r="AQ55" s="1636">
        <v>1</v>
      </c>
    </row>
    <row r="56" s="1642" customFormat="1" ht="1.05" customHeight="1">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 xml:space="preserve">Добавить наименование тарифа</v>
      </c>
      <c r="AO56" s="1251"/>
      <c r="AP56" s="1251"/>
      <c r="AQ56" s="1642">
        <v>1</v>
      </c>
    </row>
    <row r="57" ht="11.5" customHeight="1">
      <c r="M57" s="1631"/>
      <c r="N57" s="1631"/>
      <c r="O57" s="1635"/>
      <c r="P57" s="1366"/>
      <c r="Q57" s="1366"/>
      <c r="R57" s="1631"/>
      <c r="S57" s="1631"/>
      <c r="AL57" s="1631"/>
      <c r="AM57" s="1631"/>
      <c r="AN57" s="1631"/>
      <c r="AO57" s="1631"/>
      <c r="AP57" s="1631"/>
      <c r="AQ57" s="1631">
        <v>11</v>
      </c>
    </row>
    <row r="58" ht="19.949999999999999" customHeight="1">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r="59" ht="21" customHeight="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r="60" ht="14.65" customHeight="1">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r="61" ht="19.949999999999999" customHeight="1">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r="62" ht="16.800000000000001" customHeight="1">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r="63" ht="14.65" customHeight="1">
      <c r="O63" s="1635"/>
      <c r="AQ63" s="1631">
        <v>14</v>
      </c>
    </row>
    <row r="64" ht="22.5" hidden="1" customHeight="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autoFilter="0" deleteColumns="1" deleteRows="1" insertColumns="1" insertRows="1" sheet="1" sort="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5C00C3-0020-4D7C-B2C3-000B00CA00E9}"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DB0025-003A-4E73-9866-0045001C00CD}"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E30079-0019-43A3-B108-001E009C0066}"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2B007A-00A6-4B42-A627-00E600E700DF}"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730048-006E-4DA5-882F-00AB00850070}"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2F00D9-0008-47C8-8EB2-00E3008E008B}"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defaultRowHeight="14.25" customHeight="1"/>
  <cols>
    <col customWidth="1" hidden="1" min="1" max="1" style="1366" width="11.57421875"/>
    <col customWidth="1" hidden="1" min="2" max="2" style="1366" width="11.00390625"/>
    <col hidden="1" min="3" max="3" style="1366" width="10.57421875"/>
    <col customWidth="1" hidden="1" min="4" max="4" style="1366" width="12.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1776" width="3.7109375"/>
    <col customWidth="1" hidden="1" min="17" max="17" style="1371" width="3.7109375"/>
    <col customWidth="1" min="18" max="18" style="344" width="3.00390625"/>
    <col customWidth="1" min="19" max="19" style="2407" width="12.00390625"/>
    <col customWidth="1" min="20" max="20" style="1635" width="31.00390625"/>
    <col customWidth="1" min="21" max="21" style="1635" width="0.140625"/>
    <col customWidth="1" hidden="1" min="22" max="25" style="1635" width="21.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3.7109375"/>
    <col customWidth="1" min="31" max="32" style="1635" width="3.00390625"/>
    <col customWidth="1" min="33" max="33" style="1635" width="24.00390625"/>
    <col customWidth="1" min="34" max="34" style="1635" width="3.7109375"/>
    <col customWidth="1" min="35" max="36" style="1635" width="3.00390625"/>
    <col customWidth="1" min="37" max="37" style="1635" width="24.00390625"/>
    <col customWidth="1" min="38" max="38" style="1635" width="3.7109375"/>
    <col customWidth="1" min="39" max="40" style="1635" width="3.00390625"/>
    <col customWidth="1" min="41" max="41" style="1635" width="18.00390625"/>
    <col customWidth="1" min="42" max="42" style="1635" width="3.7109375"/>
    <col customWidth="1" min="43" max="44" style="1635" width="3.00390625"/>
    <col customWidth="1" min="45" max="45" style="1635" width="18.00390625"/>
    <col customWidth="1" min="46" max="49" style="1635" width="21.00390625"/>
    <col customWidth="1" min="50" max="50" style="1635" width="11.00390625"/>
    <col customWidth="1" min="51" max="51" style="1635" width="3.7109375"/>
    <col customWidth="1" min="52" max="52" style="1635" width="11.00390625"/>
    <col customWidth="1" hidden="1" min="53" max="53" style="1635" width="8.57421875"/>
    <col customWidth="1" min="54" max="54" style="1635" width="4.00390625"/>
    <col customWidth="1" min="55" max="55" style="1635" width="115.00390625"/>
    <col customWidth="1" min="56" max="60" style="1642" width="10.00390625"/>
    <col hidden="1" min="61" max="61" style="1635" width="10.57421875"/>
  </cols>
  <sheetData>
    <row r="1" ht="22.5" hidden="1" customHeight="1">
      <c r="W1" s="327"/>
      <c r="Y1" s="327"/>
      <c r="Z1" s="327"/>
      <c r="AW1" s="327"/>
      <c r="AX1" s="327"/>
      <c r="BI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 xml:space="preserve">Наименование тарифа</v>
      </c>
      <c r="BG2" s="500"/>
      <c r="BH2" s="500"/>
      <c r="BI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 xml:space="preserve">Территория действия тарифа</v>
      </c>
      <c r="BG3" s="500"/>
      <c r="BH3" s="500"/>
      <c r="BI3" s="1155">
        <v>0</v>
      </c>
    </row>
    <row r="4" ht="42" hidden="1" customHeight="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 xml:space="preserve">Наименование централизованной системы холодного водоснабжения</v>
      </c>
      <c r="BG4" s="500"/>
      <c r="BH4" s="500"/>
      <c r="BI4" s="1155">
        <v>0</v>
      </c>
    </row>
    <row r="5" s="1642" customFormat="1" ht="14.25" hidden="1" customHeight="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r="6" s="1642" customFormat="1" ht="14.25" hidden="1" customHeight="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r="7" s="1642" customFormat="1" ht="14.25" hidden="1" customHeight="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r="8" ht="11.25" hidden="1" customHeight="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r="9" ht="11.25" hidden="1" customHeight="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r="10" ht="11.25" hidden="1" customHeight="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r="11" ht="11.25" hidden="1" customHeight="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r="12" ht="11.25" hidden="1" customHeight="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r="13" ht="11.25" hidden="1" customHeight="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 xml:space="preserve">Добавить строку</v>
      </c>
      <c r="BG13" s="500"/>
      <c r="BH13" s="500"/>
      <c r="BI13" s="1155">
        <v>0</v>
      </c>
    </row>
    <row r="14" s="1642" customFormat="1" ht="14.25" hidden="1" customHeight="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r="15" s="1642" customFormat="1" ht="14.25" hidden="1" customHeight="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r="16" s="1642" customFormat="1" ht="14.25" hidden="1" customHeight="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r="17" s="1642" customFormat="1" ht="14.25" hidden="1" customHeight="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 xml:space="preserve">Добавить централизованную систему для дифференциации</v>
      </c>
      <c r="BG17" s="789"/>
      <c r="BH17" s="789"/>
      <c r="BI17" s="518">
        <v>0</v>
      </c>
    </row>
    <row r="18" s="1642" customFormat="1" ht="14.25" hidden="1" customHeight="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 xml:space="preserve">Добавить территорию для дифференциации</v>
      </c>
      <c r="BG18" s="500"/>
      <c r="BH18" s="500"/>
      <c r="BI18" s="511">
        <v>0</v>
      </c>
    </row>
    <row r="19" ht="14.25" hidden="1" customHeight="1">
      <c r="AC19" s="327"/>
      <c r="BA19" s="327"/>
      <c r="BI19" s="1155">
        <v>0</v>
      </c>
    </row>
    <row r="20" ht="14.25" hidden="1" customHeight="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r="21" ht="14.25" hidden="1" customHeight="1">
      <c r="BD21" s="496"/>
      <c r="BE21" s="496"/>
      <c r="BF21" s="496"/>
      <c r="BG21" s="496"/>
      <c r="BH21" s="496"/>
      <c r="BI21" s="1155">
        <v>0</v>
      </c>
    </row>
    <row r="22" ht="14.25" hidden="1" customHeight="1">
      <c r="O22" s="1367" t="s">
        <v>418</v>
      </c>
      <c r="Z22" s="1345"/>
      <c r="AB22" s="1345"/>
      <c r="AC22" s="327"/>
      <c r="AX22" s="1345"/>
      <c r="AZ22" s="1345"/>
      <c r="BA22" s="327"/>
      <c r="BD22" s="496"/>
      <c r="BE22" s="496"/>
      <c r="BF22" s="496"/>
      <c r="BG22" s="496"/>
      <c r="BH22" s="496"/>
      <c r="BI22" s="1155">
        <v>0</v>
      </c>
    </row>
    <row r="23" ht="14.25" hidden="1" customHeight="1">
      <c r="AC23" s="327"/>
      <c r="BA23" s="327"/>
      <c r="BD23" s="496"/>
      <c r="BE23" s="496"/>
      <c r="BF23" s="496"/>
      <c r="BG23" s="496"/>
      <c r="BH23" s="496"/>
      <c r="BI23" s="1155">
        <v>0</v>
      </c>
    </row>
    <row r="24" s="1509" customFormat="1" ht="14.25" hidden="1" customHeight="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r="25" ht="14.25" hidden="1" customHeight="1">
      <c r="O25" s="1364"/>
      <c r="BD25" s="496"/>
      <c r="BE25" s="496"/>
      <c r="BF25" s="496"/>
      <c r="BG25" s="496"/>
      <c r="BH25" s="496"/>
      <c r="BI25" s="1155">
        <v>0</v>
      </c>
    </row>
    <row r="26" ht="14.25" hidden="1" customHeight="1">
      <c r="O26" s="1364"/>
      <c r="BD26" s="496"/>
      <c r="BE26" s="496"/>
      <c r="BF26" s="496"/>
      <c r="BG26" s="496"/>
      <c r="BH26" s="496"/>
      <c r="BI26" s="1155">
        <v>0</v>
      </c>
    </row>
    <row r="27" ht="14.65" customHeight="1">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r="28" ht="14.65" customHeight="1">
      <c r="Q28" s="291"/>
      <c r="R28" s="376"/>
      <c r="S28" s="2248"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r="29" ht="14.65" customHeight="1">
      <c r="Q29" s="291"/>
      <c r="R29" s="376"/>
      <c r="S29" s="2249" t="str">
        <f>IF(org=0,"Не определено",org)</f>
        <v xml:space="preserve">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r="30" ht="14.25" hidden="1" customHeight="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r="31" s="1853" customFormat="1" ht="25.5" hidden="1" customHeight="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45841</v>
      </c>
      <c r="W32" s="2264"/>
      <c r="X32" s="2264"/>
      <c r="Y32" s="2264"/>
      <c r="Z32" s="2264"/>
      <c r="AA32" s="2264"/>
      <c r="AB32" s="2264"/>
      <c r="AC32" s="326"/>
      <c r="AD32" s="2264" t="str">
        <f>IF(TITLE_DATE_PR_CHANGE="",IF(TITLE_DATE_PR="","",TITLE_DATE_PR),TITLE_DATE_PR_CHANGE)</f>
        <v>45841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27-3420</v>
      </c>
      <c r="W33" s="2251"/>
      <c r="X33" s="2251"/>
      <c r="Y33" s="2251"/>
      <c r="Z33" s="2251"/>
      <c r="AA33" s="2251"/>
      <c r="AB33" s="2251"/>
      <c r="AC33" s="326"/>
      <c r="AD33" s="2251" t="str">
        <f>IF(TITLE_NUMBER_PR_CHANGE="",IF(TITLE_NUMBER_PR="","",TITLE_NUMBER_PR),TITLE_NUMBER_PR_CHANGE)</f>
        <v>27-3420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r="34" s="1853" customFormat="1" ht="18.75" hidden="1" customHeight="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r="35" ht="14.25" customHeight="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r="36" s="1853" customFormat="1" ht="18.75" customHeight="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45841</v>
      </c>
      <c r="W36" s="2264"/>
      <c r="X36" s="2264"/>
      <c r="Y36" s="2264"/>
      <c r="Z36" s="2264"/>
      <c r="AA36" s="2264"/>
      <c r="AB36" s="2264"/>
      <c r="AC36" s="326"/>
      <c r="AD36" s="2264" t="str">
        <f>IF(TITLE_DATE_PR_CHANGE="",IF(TITLE_DATE_PR="","",TITLE_DATE_PR),TITLE_DATE_PR_CHANGE)</f>
        <v>45841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r="37" s="1853" customFormat="1" ht="18.75" customHeight="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27-3420</v>
      </c>
      <c r="W37" s="2251"/>
      <c r="X37" s="2251"/>
      <c r="Y37" s="2251"/>
      <c r="Z37" s="2251"/>
      <c r="AA37" s="2251"/>
      <c r="AB37" s="2251"/>
      <c r="AC37" s="326"/>
      <c r="AD37" s="2251" t="str">
        <f>IF(TITLE_NUMBER_PR_CHANGE="",IF(TITLE_NUMBER_PR="","",TITLE_NUMBER_PR),TITLE_NUMBER_PR_CHANGE)</f>
        <v>27-3420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r="38" s="1853" customFormat="1" ht="0" customHeight="1">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r="39" ht="14.65" customHeight="1">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r="40" ht="14.65" customHeight="1">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r="41" ht="14.65" customHeight="1">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r="42" ht="35.649999999999999" customHeight="1">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r="43" ht="14.65" customHeight="1">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r="44" ht="14.65" customHeight="1">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r="45" s="1641" customFormat="1" ht="11.25" hidden="1" customHeight="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r="46" ht="22" customHeight="1">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 xml:space="preserve">Наименование тарифа</v>
      </c>
      <c r="BG46" s="500"/>
      <c r="BH46" s="500"/>
      <c r="BI46" s="1155">
        <v>21</v>
      </c>
    </row>
    <row r="47" ht="22" customHeight="1">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 xml:space="preserve">Территория действия тарифа</v>
      </c>
      <c r="BG47" s="500"/>
      <c r="BH47" s="500"/>
      <c r="BI47" s="1155">
        <v>21</v>
      </c>
    </row>
    <row r="48" ht="43.049999999999997" customHeight="1">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 xml:space="preserve">Наименование централизованной системы холодного водоснабжения</v>
      </c>
      <c r="BG48" s="500"/>
      <c r="BH48" s="500"/>
      <c r="BI48" s="1155">
        <v>41</v>
      </c>
    </row>
    <row r="49" s="1642" customFormat="1" ht="0" customHeight="1">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r="50" s="1642" customFormat="1" ht="0" customHeight="1">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r="51" s="1642" customFormat="1" ht="0" customHeight="1">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r="52" ht="11.5" customHeight="1">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r="53" ht="11.5" customHeight="1">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r="54" ht="11.5" customHeight="1">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r="55" ht="11.5" customHeight="1">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r="56" ht="11.5" customHeight="1">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r="57" ht="11.5" customHeight="1">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 xml:space="preserve">Добавить строку</v>
      </c>
      <c r="BG57" s="500"/>
      <c r="BH57" s="500"/>
      <c r="BI57" s="1155">
        <v>11</v>
      </c>
    </row>
    <row r="58" s="1642" customFormat="1" ht="0" customHeight="1">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r="59" s="1642" customFormat="1" ht="0" customHeight="1">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r="60" s="1642" customFormat="1" ht="0" customHeight="1">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r="61" s="1642" customFormat="1" ht="0" customHeight="1">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xml:space="preserve">Добавить централизованную систему для дифференциации</v>
      </c>
      <c r="BG61" s="789"/>
      <c r="BH61" s="789"/>
      <c r="BI61" s="518">
        <v>0</v>
      </c>
    </row>
    <row r="62" s="1642" customFormat="1" ht="0" customHeight="1">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 xml:space="preserve">Добавить территорию для дифференциации</v>
      </c>
      <c r="BG62" s="500"/>
      <c r="BH62" s="500"/>
      <c r="BI62" s="511">
        <v>0</v>
      </c>
    </row>
    <row r="63" s="1642" customFormat="1" ht="0" customHeight="1">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 xml:space="preserve">Добавить наименование тарифа</v>
      </c>
      <c r="BG63" s="789"/>
      <c r="BH63" s="789"/>
      <c r="BI63" s="518">
        <v>0</v>
      </c>
    </row>
    <row r="64" ht="11.5" customHeight="1">
      <c r="M64" s="1160"/>
      <c r="N64" s="1160"/>
      <c r="O64" s="537"/>
      <c r="P64" s="1160"/>
      <c r="Q64" s="1160"/>
      <c r="R64" s="1155"/>
      <c r="S64" s="1155"/>
      <c r="BD64" s="1155"/>
      <c r="BE64" s="1155"/>
      <c r="BF64" s="1155"/>
      <c r="BG64" s="1155"/>
      <c r="BH64" s="1155"/>
      <c r="BI64" s="1155">
        <v>11</v>
      </c>
    </row>
    <row r="65" ht="19.949999999999999" customHeight="1">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r="66" ht="14.65" customHeight="1">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r="67" ht="19.949999999999999" customHeight="1">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r="68" ht="14.65" customHeight="1">
      <c r="O68" s="537"/>
      <c r="BI68" s="1155">
        <v>14</v>
      </c>
    </row>
    <row r="69" ht="14.25" hidden="1" customHeight="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autoFilter="0" deleteColumns="1" deleteRows="1" formatColumns="0" formatRows="0" insertColumns="1" insertRows="1" sheet="1" sort="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0002A-007A-4C11-9EAF-000000F800A4}"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2600CE-00AC-47B6-ADB4-003200100061}"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3004A-005B-44E8-8773-0013007A003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900E1-004B-4135-97F8-0072002D00E9}"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BC0045-004A-415B-88EE-002000E10043}"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 xml:space="preserve">Наименование централизованной системы водоотведения</v>
      </c>
      <c r="AO4" s="500"/>
      <c r="AP4" s="500"/>
      <c r="AQ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78"/>
      <c r="M19" s="1362"/>
      <c r="N19" s="1362"/>
      <c r="O19" s="1362"/>
      <c r="P19" s="1362"/>
      <c r="Q19" s="1371"/>
      <c r="R19" s="1371"/>
      <c r="S19" s="729"/>
      <c r="AB19" s="1366"/>
      <c r="AI19" s="1366"/>
      <c r="AL19" s="511"/>
      <c r="AM19" s="511"/>
      <c r="AN19" s="511"/>
      <c r="AO19" s="511"/>
      <c r="AP19" s="511"/>
      <c r="AQ19" s="1160">
        <v>0</v>
      </c>
    </row>
    <row r="20" s="1366" customFormat="1" ht="12" hidden="1" customHeight="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326"/>
      <c r="AC28" s="2264" t="str">
        <f>IF(TITLE_DATE_PR_CHANGE="",IF(TITLE_DATE_PR="","",TITLE_DATE_PR),TITLE_DATE_PR_CHANGE)</f>
        <v>45841</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326"/>
      <c r="AC29" s="2251" t="str">
        <f>IF(TITLE_NUMBER_PR_CHANGE="",IF(TITLE_NUMBER_PR="","",TITLE_NUMBER_PR),TITLE_NUMBER_PR_CHANGE)</f>
        <v>27-3420</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326"/>
      <c r="AC32" s="2264" t="str">
        <f>IF(TITLE_DATE_PR_CHANGE="",IF(TITLE_DATE_PR="","",TITLE_DATE_PR),TITLE_DATE_PR_CHANGE)</f>
        <v>45841</v>
      </c>
      <c r="AD32" s="2264"/>
      <c r="AE32" s="2264"/>
      <c r="AF32" s="2264"/>
      <c r="AG32" s="2264"/>
      <c r="AH32" s="2264"/>
      <c r="AI32" s="326"/>
      <c r="AJ32" s="326"/>
      <c r="AK32" s="280"/>
      <c r="AL32" s="368"/>
      <c r="AM32" s="368"/>
      <c r="AN32" s="368"/>
      <c r="AO32" s="368"/>
      <c r="AP32" s="368"/>
      <c r="AQ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326"/>
      <c r="AC33" s="2251" t="str">
        <f>IF(TITLE_NUMBER_PR_CHANGE="",IF(TITLE_NUMBER_PR="","",TITLE_NUMBER_PR),TITLE_NUMBER_PR_CHANGE)</f>
        <v>27-3420</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r="37" ht="14.65" customHeight="1">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r="38" ht="35.649999999999999" customHeight="1">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r="39" ht="90.299999999999997" customHeight="1">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r="40" s="1641" customFormat="1" ht="11.25" hidden="1" customHeight="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r="41" ht="24" customHeight="1">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 xml:space="preserve">Территория действия тарифа</v>
      </c>
      <c r="AO42" s="500"/>
      <c r="AP42" s="500"/>
      <c r="AQ42" s="1155">
        <v>23</v>
      </c>
    </row>
    <row r="43" ht="24" customHeight="1">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 xml:space="preserve">Наименование централизованной системы водоотведения</v>
      </c>
      <c r="AO43" s="500"/>
      <c r="AP43" s="500"/>
      <c r="AQ43" s="1155">
        <v>23</v>
      </c>
    </row>
    <row r="44" ht="24" customHeight="1">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60038-002E-4B24-A833-005F0077005B}"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00004-0078-4CA6-9637-002D004B00A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0500B4-0023-4CC1-A823-0042007600A5}"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A001C-009E-491F-B39E-005900D50004}"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 xml:space="preserve">Наименование централизованной системы водоотведения</v>
      </c>
      <c r="AO4" s="500"/>
      <c r="AP4" s="500"/>
      <c r="AQ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78"/>
      <c r="M19" s="1362"/>
      <c r="N19" s="1362"/>
      <c r="O19" s="1362"/>
      <c r="P19" s="1362"/>
      <c r="Q19" s="1371"/>
      <c r="R19" s="1371"/>
      <c r="S19" s="729"/>
      <c r="AB19" s="1366"/>
      <c r="AI19" s="1366"/>
      <c r="AL19" s="511"/>
      <c r="AM19" s="511"/>
      <c r="AN19" s="511"/>
      <c r="AO19" s="511"/>
      <c r="AP19" s="511"/>
      <c r="AQ19" s="1160">
        <v>0</v>
      </c>
    </row>
    <row r="20" s="1366" customFormat="1" ht="12" hidden="1" customHeight="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326"/>
      <c r="AC28" s="2264" t="str">
        <f>IF(TITLE_DATE_PR_CHANGE="",IF(TITLE_DATE_PR="","",TITLE_DATE_PR),TITLE_DATE_PR_CHANGE)</f>
        <v>45841</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326"/>
      <c r="AC29" s="2251" t="str">
        <f>IF(TITLE_NUMBER_PR_CHANGE="",IF(TITLE_NUMBER_PR="","",TITLE_NUMBER_PR),TITLE_NUMBER_PR_CHANGE)</f>
        <v>27-3420</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326"/>
      <c r="AC32" s="2264" t="str">
        <f>IF(TITLE_DATE_PR_CHANGE="",IF(TITLE_DATE_PR="","",TITLE_DATE_PR),TITLE_DATE_PR_CHANGE)</f>
        <v>45841</v>
      </c>
      <c r="AD32" s="2264"/>
      <c r="AE32" s="2264"/>
      <c r="AF32" s="2264"/>
      <c r="AG32" s="2264"/>
      <c r="AH32" s="2264"/>
      <c r="AI32" s="326"/>
      <c r="AJ32" s="326"/>
      <c r="AK32" s="280"/>
      <c r="AL32" s="368"/>
      <c r="AM32" s="368"/>
      <c r="AN32" s="368"/>
      <c r="AO32" s="368"/>
      <c r="AP32" s="368"/>
      <c r="AQ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326"/>
      <c r="AC33" s="2251" t="str">
        <f>IF(TITLE_NUMBER_PR_CHANGE="",IF(TITLE_NUMBER_PR="","",TITLE_NUMBER_PR),TITLE_NUMBER_PR_CHANGE)</f>
        <v>27-3420</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r="37" ht="14.65" customHeight="1">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r="38" ht="35.649999999999999" customHeight="1">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r="39" ht="90.299999999999997" customHeight="1">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r="41" ht="24" customHeight="1">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 xml:space="preserve">Территория действия тарифа</v>
      </c>
      <c r="AO42" s="500"/>
      <c r="AP42" s="500"/>
      <c r="AQ42" s="1155">
        <v>23</v>
      </c>
    </row>
    <row r="43" ht="24" customHeight="1">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 xml:space="preserve">Наименование централизованной системы водоотведения</v>
      </c>
      <c r="AO43" s="500"/>
      <c r="AP43" s="500"/>
      <c r="AQ43" s="1155">
        <v>23</v>
      </c>
    </row>
    <row r="44" ht="24" customHeight="1">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1" deleteRows="1" formatColumns="0" formatRows="0" insertColumns="1" insertRows="1" sheet="1" sort="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20090-00C4-40AA-A99E-008C007C001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B0045-00E6-4735-9F74-00E200BD000F}"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F0023-006A-44AA-88CD-00B60087005C}"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3100D9-002B-4C1B-B6CD-000F007C003F}"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defaultRowHeight="14.25" customHeight="1"/>
  <cols>
    <col customWidth="1" hidden="1" min="1" max="1" style="1366" width="11.57421875"/>
    <col customWidth="1" hidden="1" min="2" max="2" style="1366" width="11.00390625"/>
    <col hidden="1" min="3" max="3" style="1366" width="10.57421875"/>
    <col customWidth="1" hidden="1" min="4" max="4" style="1366" width="12.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1776" width="3.7109375"/>
    <col customWidth="1" hidden="1" min="17" max="17" style="1371" width="3.7109375"/>
    <col customWidth="1" min="18" max="18" style="344" width="3.00390625"/>
    <col customWidth="1" min="19" max="19" style="2407" width="12.00390625"/>
    <col customWidth="1" min="20" max="20" style="1635" width="31.00390625"/>
    <col customWidth="1" min="21" max="21" style="1635" width="0.140625"/>
    <col customWidth="1" hidden="1" min="22" max="25" style="1635" width="21.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3.7109375"/>
    <col customWidth="1" min="31" max="32" style="1635" width="3.00390625"/>
    <col customWidth="1" min="33" max="33" style="1635" width="24.00390625"/>
    <col customWidth="1" min="34" max="34" style="1635" width="3.7109375"/>
    <col customWidth="1" min="35" max="36" style="1635" width="3.00390625"/>
    <col customWidth="1" min="37" max="37" style="1635" width="24.00390625"/>
    <col customWidth="1" min="38" max="38" style="1635" width="3.7109375"/>
    <col customWidth="1" min="39" max="40" style="1635" width="3.00390625"/>
    <col customWidth="1" min="41" max="41" style="1635" width="18.00390625"/>
    <col customWidth="1" min="42" max="42" style="1635" width="3.7109375"/>
    <col customWidth="1" min="43" max="44" style="1635" width="3.00390625"/>
    <col customWidth="1" min="45" max="45" style="1635" width="18.00390625"/>
    <col customWidth="1" min="46" max="49" style="1635" width="21.00390625"/>
    <col customWidth="1" min="50" max="50" style="1635" width="11.00390625"/>
    <col customWidth="1" min="51" max="51" style="1635" width="3.7109375"/>
    <col customWidth="1" min="52" max="52" style="1635" width="11.00390625"/>
    <col customWidth="1" hidden="1" min="53" max="53" style="1635" width="8.57421875"/>
    <col customWidth="1" min="54" max="54" style="1635" width="4.00390625"/>
    <col customWidth="1" min="55" max="55" style="1635" width="115.00390625"/>
    <col customWidth="1" min="56" max="60" style="1642" width="10.00390625"/>
    <col hidden="1" min="61" max="61" style="1635" width="10.57421875"/>
  </cols>
  <sheetData>
    <row r="1" ht="22.5" hidden="1" customHeight="1">
      <c r="W1" s="327"/>
      <c r="Y1" s="327"/>
      <c r="Z1" s="327"/>
      <c r="AW1" s="327"/>
      <c r="AX1" s="327"/>
      <c r="BI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 xml:space="preserve">Наименование тарифа</v>
      </c>
      <c r="BG2" s="500"/>
      <c r="BH2" s="500"/>
      <c r="BI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 xml:space="preserve">Территория действия тарифа</v>
      </c>
      <c r="BG3" s="500"/>
      <c r="BH3" s="500"/>
      <c r="BI3" s="1155">
        <v>0</v>
      </c>
    </row>
    <row r="4" ht="33.75" hidden="1" customHeight="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 xml:space="preserve">Наименование централизованной системы водоотведения</v>
      </c>
      <c r="BG4" s="500"/>
      <c r="BH4" s="500"/>
      <c r="BI4" s="1155">
        <v>0</v>
      </c>
    </row>
    <row r="5" s="1642" customFormat="1" ht="14.25" hidden="1" customHeight="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r="6" s="1642" customFormat="1" ht="14.25" hidden="1" customHeight="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r="7" s="1642" customFormat="1" ht="14.25" hidden="1" customHeight="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r="8" ht="11.25" hidden="1" customHeight="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r="9" ht="11.25" hidden="1" customHeight="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r="10" ht="11.25" hidden="1" customHeight="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r="11" ht="11.25" hidden="1" customHeight="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r="12" ht="11.25" hidden="1" customHeight="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r="13" ht="11.25" hidden="1" customHeight="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 xml:space="preserve">Добавить строку</v>
      </c>
      <c r="BG13" s="500"/>
      <c r="BH13" s="500"/>
      <c r="BI13" s="1155">
        <v>0</v>
      </c>
    </row>
    <row r="14" s="1642" customFormat="1" ht="14.25" hidden="1" customHeight="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r="15" s="1642" customFormat="1" ht="14.25" hidden="1" customHeight="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r="16" s="1642" customFormat="1" ht="14.25" hidden="1" customHeight="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r="17" s="1642" customFormat="1" ht="14.25" hidden="1" customHeight="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 xml:space="preserve">Добавить централизованную систему для дифференциации</v>
      </c>
      <c r="BG17" s="789"/>
      <c r="BH17" s="789"/>
      <c r="BI17" s="518">
        <v>0</v>
      </c>
    </row>
    <row r="18" s="1642" customFormat="1" ht="14.25" hidden="1" customHeight="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 xml:space="preserve">Добавить территорию для дифференциации</v>
      </c>
      <c r="BG18" s="500"/>
      <c r="BH18" s="500"/>
      <c r="BI18" s="511">
        <v>0</v>
      </c>
    </row>
    <row r="19" ht="14.25" hidden="1" customHeight="1">
      <c r="AC19" s="327"/>
      <c r="BA19" s="327"/>
      <c r="BI19" s="1155">
        <v>0</v>
      </c>
    </row>
    <row r="20" ht="14.25" hidden="1" customHeight="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r="21" ht="14.25" hidden="1" customHeight="1">
      <c r="BD21" s="496"/>
      <c r="BE21" s="496"/>
      <c r="BF21" s="496"/>
      <c r="BG21" s="496"/>
      <c r="BH21" s="496"/>
      <c r="BI21" s="1155">
        <v>0</v>
      </c>
    </row>
    <row r="22" ht="14.25" hidden="1" customHeight="1">
      <c r="O22" s="1367" t="s">
        <v>418</v>
      </c>
      <c r="Z22" s="1345"/>
      <c r="AB22" s="1345"/>
      <c r="AC22" s="327"/>
      <c r="AX22" s="1345"/>
      <c r="AZ22" s="1345"/>
      <c r="BA22" s="327"/>
      <c r="BD22" s="496"/>
      <c r="BE22" s="496"/>
      <c r="BF22" s="496"/>
      <c r="BG22" s="496"/>
      <c r="BH22" s="496"/>
      <c r="BI22" s="1155">
        <v>0</v>
      </c>
    </row>
    <row r="23" ht="14.25" hidden="1" customHeight="1">
      <c r="AC23" s="327"/>
      <c r="BA23" s="327"/>
      <c r="BD23" s="496"/>
      <c r="BE23" s="496"/>
      <c r="BF23" s="496"/>
      <c r="BG23" s="496"/>
      <c r="BH23" s="496"/>
      <c r="BI23" s="1155">
        <v>0</v>
      </c>
    </row>
    <row r="24" s="1509" customFormat="1" ht="14.25" hidden="1" customHeight="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r="25" ht="14.25" hidden="1" customHeight="1">
      <c r="O25" s="1364"/>
      <c r="BD25" s="496"/>
      <c r="BE25" s="496"/>
      <c r="BF25" s="496"/>
      <c r="BG25" s="496"/>
      <c r="BH25" s="496"/>
      <c r="BI25" s="1155">
        <v>0</v>
      </c>
    </row>
    <row r="26" ht="14.25" hidden="1" customHeight="1">
      <c r="O26" s="1364"/>
      <c r="BD26" s="496"/>
      <c r="BE26" s="496"/>
      <c r="BF26" s="496"/>
      <c r="BG26" s="496"/>
      <c r="BH26" s="496"/>
      <c r="BI26" s="1155">
        <v>0</v>
      </c>
    </row>
    <row r="27" ht="14.65" customHeight="1">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r="28" ht="14.65" customHeight="1">
      <c r="Q28" s="291"/>
      <c r="R28" s="376"/>
      <c r="S28" s="2248"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r="29" ht="14.65" customHeight="1">
      <c r="Q29" s="291"/>
      <c r="R29" s="376"/>
      <c r="S29" s="2249" t="str">
        <f>IF(org=0,"Не определено",org)</f>
        <v xml:space="preserve">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r="30" ht="14.25" hidden="1" customHeight="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r="31" s="1853" customFormat="1" ht="25.5" hidden="1" customHeight="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45841</v>
      </c>
      <c r="W32" s="2264"/>
      <c r="X32" s="2264"/>
      <c r="Y32" s="2264"/>
      <c r="Z32" s="2264"/>
      <c r="AA32" s="2264"/>
      <c r="AB32" s="2264"/>
      <c r="AC32" s="326"/>
      <c r="AD32" s="2264" t="str">
        <f>IF(TITLE_DATE_PR_CHANGE="",IF(TITLE_DATE_PR="","",TITLE_DATE_PR),TITLE_DATE_PR_CHANGE)</f>
        <v>45841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27-3420</v>
      </c>
      <c r="W33" s="2251"/>
      <c r="X33" s="2251"/>
      <c r="Y33" s="2251"/>
      <c r="Z33" s="2251"/>
      <c r="AA33" s="2251"/>
      <c r="AB33" s="2251"/>
      <c r="AC33" s="326"/>
      <c r="AD33" s="2251" t="str">
        <f>IF(TITLE_NUMBER_PR_CHANGE="",IF(TITLE_NUMBER_PR="","",TITLE_NUMBER_PR),TITLE_NUMBER_PR_CHANGE)</f>
        <v>27-3420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r="34" s="1853" customFormat="1" ht="18.75" hidden="1" customHeight="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r="35" ht="14.25" customHeight="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r="36" s="1853" customFormat="1" ht="18.75" customHeight="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45841</v>
      </c>
      <c r="W36" s="2264"/>
      <c r="X36" s="2264"/>
      <c r="Y36" s="2264"/>
      <c r="Z36" s="2264"/>
      <c r="AA36" s="2264"/>
      <c r="AB36" s="2264"/>
      <c r="AC36" s="326"/>
      <c r="AD36" s="2264" t="str">
        <f>IF(TITLE_DATE_PR_CHANGE="",IF(TITLE_DATE_PR="","",TITLE_DATE_PR),TITLE_DATE_PR_CHANGE)</f>
        <v>45841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r="37" s="1853" customFormat="1" ht="18.75" customHeight="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27-3420</v>
      </c>
      <c r="W37" s="2251"/>
      <c r="X37" s="2251"/>
      <c r="Y37" s="2251"/>
      <c r="Z37" s="2251"/>
      <c r="AA37" s="2251"/>
      <c r="AB37" s="2251"/>
      <c r="AC37" s="326"/>
      <c r="AD37" s="2251" t="str">
        <f>IF(TITLE_NUMBER_PR_CHANGE="",IF(TITLE_NUMBER_PR="","",TITLE_NUMBER_PR),TITLE_NUMBER_PR_CHANGE)</f>
        <v>27-3420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r="38" s="1853" customFormat="1" ht="0" customHeight="1">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r="39" ht="14.65" customHeight="1">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r="40" ht="14.65" customHeight="1">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r="41" ht="14.65" customHeight="1">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r="42" ht="35.649999999999999" customHeight="1">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r="43" ht="14.65" customHeight="1">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r="44" ht="14.65" customHeight="1">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r="45" s="1641" customFormat="1" ht="11.25" hidden="1" customHeight="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r="46" ht="22" customHeight="1">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 xml:space="preserve">Наименование тарифа</v>
      </c>
      <c r="BG46" s="500"/>
      <c r="BH46" s="500"/>
      <c r="BI46" s="1155">
        <v>21</v>
      </c>
    </row>
    <row r="47" ht="22" customHeight="1">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 xml:space="preserve">Территория действия тарифа</v>
      </c>
      <c r="BG47" s="500"/>
      <c r="BH47" s="500"/>
      <c r="BI47" s="1155">
        <v>21</v>
      </c>
    </row>
    <row r="48" ht="35.649999999999999" customHeight="1">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 xml:space="preserve">Наименование централизованной системы водоотведения</v>
      </c>
      <c r="BG48" s="500"/>
      <c r="BH48" s="500"/>
      <c r="BI48" s="1155">
        <v>34</v>
      </c>
    </row>
    <row r="49" s="1642" customFormat="1" ht="0" customHeight="1">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r="50" s="1642" customFormat="1" ht="0" customHeight="1">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r="51" s="1642" customFormat="1" ht="0" customHeight="1">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r="52" ht="11.5" customHeight="1">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r="53" ht="11.5" customHeight="1">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r="54" ht="11.5" customHeight="1">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r="55" ht="11.5" customHeight="1">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r="56" ht="11.5" customHeight="1">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r="57" ht="11.5" customHeight="1">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 xml:space="preserve">Добавить строку</v>
      </c>
      <c r="BG57" s="500"/>
      <c r="BH57" s="500"/>
      <c r="BI57" s="1155">
        <v>11</v>
      </c>
    </row>
    <row r="58" s="1642" customFormat="1" ht="0" customHeight="1">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r="59" s="1642" customFormat="1" ht="0" customHeight="1">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r="60" s="1642" customFormat="1" ht="0" customHeight="1">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r="61" s="1642" customFormat="1" ht="0" customHeight="1">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xml:space="preserve">Добавить централизованную систему для дифференциации</v>
      </c>
      <c r="BG61" s="789"/>
      <c r="BH61" s="789"/>
      <c r="BI61" s="518">
        <v>0</v>
      </c>
    </row>
    <row r="62" s="1642" customFormat="1" ht="0" customHeight="1">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 xml:space="preserve">Добавить территорию для дифференциации</v>
      </c>
      <c r="BG62" s="500"/>
      <c r="BH62" s="500"/>
      <c r="BI62" s="511">
        <v>0</v>
      </c>
    </row>
    <row r="63" s="1642" customFormat="1" ht="0" customHeight="1">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 xml:space="preserve">Добавить наименование тарифа</v>
      </c>
      <c r="BG63" s="789"/>
      <c r="BH63" s="789"/>
      <c r="BI63" s="518">
        <v>0</v>
      </c>
    </row>
    <row r="64" ht="11.5" customHeight="1">
      <c r="M64" s="1160"/>
      <c r="N64" s="1160"/>
      <c r="O64" s="537"/>
      <c r="P64" s="1160"/>
      <c r="Q64" s="1160"/>
      <c r="R64" s="1155"/>
      <c r="S64" s="1155"/>
      <c r="BD64" s="1155"/>
      <c r="BE64" s="1155"/>
      <c r="BF64" s="1155"/>
      <c r="BG64" s="1155"/>
      <c r="BH64" s="1155"/>
      <c r="BI64" s="1155">
        <v>11</v>
      </c>
    </row>
    <row r="65" ht="14.65" customHeight="1">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r="66" ht="14.65" customHeight="1">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r="67" ht="14.65" customHeight="1">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r="68" ht="14.65" customHeight="1">
      <c r="O68" s="537"/>
      <c r="BI68" s="1155">
        <v>14</v>
      </c>
    </row>
    <row r="69" ht="14.25" hidden="1" customHeight="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autoFilter="0" deleteColumns="1" deleteRows="1" formatColumns="0" formatRows="0" insertColumns="1" insertRows="1" sheet="1" sort="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3800A3-00FB-4A29-A42C-006B006500A7}"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C900C9-0033-4D6C-B619-00EE008600B8}"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90014-000A-4EE9-ADE9-00E7007F00BB}"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600D2-0061-454F-BAD8-00880023008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F10029-00EB-4138-BE12-0048003D00C7}"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defaultRowHeight="14.25" customHeight="1"/>
  <cols>
    <col customWidth="1" hidden="1" min="1" max="1" style="1635" width="8.00390625"/>
    <col customWidth="1" hidden="1" min="2" max="2" style="1366" width="6.00390625"/>
    <col customWidth="1" min="3" max="3" style="1635" width="3.00390625"/>
    <col customWidth="1" min="4" max="4" style="1842" width="3.00390625"/>
    <col customWidth="1" min="5" max="5" style="1635" width="6.00390625"/>
    <col customWidth="1" hidden="1" min="6" max="6" style="1635" width="2.7109375"/>
    <col customWidth="1" min="7" max="7" style="1635" width="46.7109375"/>
    <col customWidth="1" min="8" max="8" style="1635" width="42.00390625"/>
    <col customWidth="1" min="9" max="9" style="1635" width="14.00390625"/>
    <col customWidth="1" min="10" max="10" style="1624" width="3.00390625"/>
    <col hidden="1" min="11" max="13" style="1624" width="9.140625"/>
    <col customWidth="1" hidden="1" min="14" max="14" style="1624" width="25.7109375"/>
    <col customWidth="1" hidden="1" min="15" max="15" style="1624" width="14.421875"/>
    <col hidden="1" min="16" max="19" style="225" width="9.140625"/>
    <col hidden="1" min="20" max="27" style="1635" width="9.140625"/>
    <col customWidth="1" min="28" max="28" style="1635" width="8.00390625"/>
    <col hidden="1" min="29" max="29" style="1635" width="9.140625"/>
  </cols>
  <sheetData>
    <row r="1" s="1642" customFormat="1" ht="5.25" hidden="1" customHeight="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r="2" s="1412" customFormat="1" ht="11.25" customHeight="1">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r="3" s="1819" customFormat="1" ht="3" customHeight="1">
      <c r="A3" s="758"/>
      <c r="B3" s="417"/>
      <c r="C3" s="758"/>
      <c r="D3" s="164"/>
      <c r="E3" s="103"/>
      <c r="F3" s="509"/>
      <c r="G3" s="103"/>
      <c r="H3" s="103"/>
      <c r="I3" s="166"/>
      <c r="J3" s="247"/>
      <c r="K3" s="155"/>
      <c r="L3" s="155"/>
      <c r="M3" s="155"/>
      <c r="N3" s="226"/>
      <c r="O3" s="155"/>
      <c r="P3" s="225"/>
      <c r="Q3" s="225"/>
      <c r="R3" s="225"/>
      <c r="S3" s="225"/>
      <c r="AC3" s="116">
        <v>3</v>
      </c>
    </row>
    <row r="4" s="1819" customFormat="1" ht="27.300000000000001" customHeight="1">
      <c r="A4" s="758"/>
      <c r="B4" s="417"/>
      <c r="C4" s="758"/>
      <c r="D4" s="164"/>
      <c r="E4" s="2100" t="str">
        <f>NameTemplatesInListMO</f>
        <v xml:space="preserve">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r="5" s="1819" customFormat="1" ht="3" customHeight="1">
      <c r="A5" s="758"/>
      <c r="B5" s="417"/>
      <c r="C5" s="758"/>
      <c r="D5" s="164"/>
      <c r="E5" s="103"/>
      <c r="F5" s="509"/>
      <c r="G5" s="167"/>
      <c r="H5" s="167"/>
      <c r="I5" s="168"/>
      <c r="J5" s="155"/>
      <c r="K5" s="155"/>
      <c r="L5" s="155"/>
      <c r="M5" s="155"/>
      <c r="N5" s="226"/>
      <c r="O5" s="155"/>
      <c r="P5" s="225"/>
      <c r="Q5" s="225"/>
      <c r="R5" s="225"/>
      <c r="S5" s="225"/>
      <c r="AC5" s="116">
        <v>3</v>
      </c>
    </row>
    <row r="6" s="1819" customFormat="1" ht="20.25" hidden="1" customHeight="1">
      <c r="A6" s="837"/>
      <c r="B6" s="833"/>
      <c r="C6" s="169"/>
      <c r="D6" s="164"/>
      <c r="E6" s="779"/>
      <c r="F6" s="779"/>
      <c r="G6" s="167"/>
      <c r="H6" s="170"/>
      <c r="I6" s="170"/>
      <c r="J6" s="155"/>
      <c r="K6" s="155"/>
      <c r="L6" s="155"/>
      <c r="M6" s="155"/>
      <c r="N6" s="226"/>
      <c r="O6" s="155"/>
      <c r="P6" s="225"/>
      <c r="Q6" s="225"/>
      <c r="R6" s="225"/>
      <c r="S6" s="225"/>
      <c r="AC6" s="116">
        <v>0</v>
      </c>
    </row>
    <row r="7" ht="25.5" hidden="1" customHeight="1">
      <c r="AC7" s="83">
        <v>0</v>
      </c>
    </row>
    <row r="8" s="1819" customFormat="1" ht="14.65" customHeight="1">
      <c r="A8" s="758"/>
      <c r="B8" s="417"/>
      <c r="C8" s="758"/>
      <c r="D8" s="164"/>
      <c r="E8" s="2101" t="s">
        <v>86</v>
      </c>
      <c r="F8" s="2102"/>
      <c r="G8" s="2103"/>
      <c r="H8" s="2104" t="s">
        <v>87</v>
      </c>
      <c r="I8" s="2104"/>
      <c r="J8" s="155"/>
      <c r="K8" s="155"/>
      <c r="L8" s="155"/>
      <c r="M8" s="155"/>
      <c r="N8" s="226"/>
      <c r="O8" s="155"/>
      <c r="P8" s="225"/>
      <c r="Q8" s="225"/>
      <c r="R8" s="225"/>
      <c r="S8" s="225"/>
      <c r="AC8" s="116">
        <v>14</v>
      </c>
    </row>
    <row r="9" s="1819" customFormat="1" ht="21" customHeight="1">
      <c r="A9" s="758"/>
      <c r="B9" s="417"/>
      <c r="C9" s="758"/>
      <c r="D9" s="164"/>
      <c r="E9" s="777" t="s">
        <v>88</v>
      </c>
      <c r="F9" s="777"/>
      <c r="G9" s="172" t="s">
        <v>89</v>
      </c>
      <c r="H9" s="172" t="s">
        <v>89</v>
      </c>
      <c r="I9" s="172" t="s">
        <v>85</v>
      </c>
      <c r="J9" s="155"/>
      <c r="K9" s="155"/>
      <c r="L9" s="155"/>
      <c r="M9" s="155"/>
      <c r="N9" s="226"/>
      <c r="O9" s="155"/>
      <c r="P9" s="225"/>
      <c r="Q9" s="225"/>
      <c r="R9" s="225"/>
      <c r="S9" s="225"/>
      <c r="AC9" s="116">
        <v>20</v>
      </c>
    </row>
    <row r="10" ht="11.5" customHeight="1">
      <c r="D10" s="176"/>
      <c r="E10" s="778" t="s">
        <v>90</v>
      </c>
      <c r="F10" s="778"/>
      <c r="G10" s="223" t="s">
        <v>91</v>
      </c>
      <c r="H10" s="223" t="s">
        <v>92</v>
      </c>
      <c r="I10" s="223" t="s">
        <v>93</v>
      </c>
      <c r="J10" s="186"/>
      <c r="K10" s="186"/>
      <c r="L10" s="186"/>
      <c r="M10" s="186"/>
      <c r="N10" s="171"/>
      <c r="O10" s="186"/>
      <c r="P10" s="224"/>
      <c r="Q10" s="224"/>
      <c r="R10" s="224"/>
      <c r="S10" s="224"/>
      <c r="AC10" s="83">
        <v>11</v>
      </c>
    </row>
    <row r="11" s="1819" customFormat="1" ht="1.05" customHeight="1">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r="12" s="1819" customFormat="1" ht="15" customHeight="1">
      <c r="A12" s="2099">
        <v>1</v>
      </c>
      <c r="B12" s="417"/>
      <c r="C12" s="758"/>
      <c r="D12" s="782"/>
      <c r="E12" s="219">
        <f>A12</f>
        <v>1</v>
      </c>
      <c r="F12" s="802" t="s">
        <v>98</v>
      </c>
      <c r="G12" s="540" t="str">
        <f>"Территория "&amp;E12</f>
        <v xml:space="preserve">Территория 1</v>
      </c>
      <c r="H12" s="792"/>
      <c r="I12" s="792"/>
      <c r="J12" s="789"/>
      <c r="K12" s="500"/>
      <c r="L12" s="500"/>
      <c r="M12" s="500"/>
      <c r="N12" s="226"/>
      <c r="O12" s="500"/>
      <c r="P12" s="225"/>
      <c r="Q12" s="225"/>
      <c r="R12" s="225"/>
      <c r="S12" s="225"/>
      <c r="AC12" s="507">
        <v>14</v>
      </c>
    </row>
    <row r="13" s="1850" customFormat="1" ht="15.75" customHeight="1">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 xml:space="preserve">Владивостокский городской округ(05701000)</v>
      </c>
      <c r="P13" s="417"/>
      <c r="Q13" s="417"/>
      <c r="R13" s="420"/>
      <c r="S13" s="417"/>
      <c r="T13" s="417"/>
      <c r="U13" s="417"/>
      <c r="V13" s="422"/>
      <c r="W13" s="422"/>
      <c r="X13" s="419"/>
      <c r="Y13" s="419"/>
      <c r="Z13" s="419"/>
      <c r="AA13" s="419"/>
      <c r="AB13" s="419"/>
      <c r="AC13" s="423">
        <v>15</v>
      </c>
    </row>
    <row r="14" s="1850" customFormat="1" ht="15.75" customHeight="1">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r="15" s="1819" customFormat="1" ht="14.65" customHeight="1">
      <c r="A15" s="758"/>
      <c r="B15" s="417"/>
      <c r="C15" s="758"/>
      <c r="D15" s="782"/>
      <c r="E15" s="794"/>
      <c r="F15" s="178"/>
      <c r="G15" s="416" t="s">
        <v>102</v>
      </c>
      <c r="H15" s="178"/>
      <c r="I15" s="179"/>
      <c r="J15" s="249"/>
      <c r="K15" s="155"/>
      <c r="L15" s="155"/>
      <c r="M15" s="155"/>
      <c r="N15" s="226" t="s">
        <v>103</v>
      </c>
      <c r="O15" s="155"/>
      <c r="P15" s="225"/>
      <c r="Q15" s="225"/>
      <c r="R15" s="225"/>
      <c r="S15" s="225"/>
      <c r="AC15" s="116">
        <v>14</v>
      </c>
    </row>
    <row r="16" s="1819" customFormat="1" ht="22" customHeight="1">
      <c r="A16" s="758"/>
      <c r="B16" s="417"/>
      <c r="C16" s="758"/>
      <c r="D16" s="165"/>
      <c r="E16" s="180"/>
      <c r="F16" s="180"/>
      <c r="G16" s="180"/>
      <c r="H16" s="180"/>
      <c r="I16" s="180"/>
      <c r="J16" s="155"/>
      <c r="K16" s="155"/>
      <c r="L16" s="155"/>
      <c r="M16" s="155"/>
      <c r="N16" s="226"/>
      <c r="O16" s="155"/>
      <c r="P16" s="225"/>
      <c r="Q16" s="225"/>
      <c r="R16" s="225"/>
      <c r="S16" s="225"/>
      <c r="AC16" s="116">
        <v>21</v>
      </c>
    </row>
    <row r="17" s="1819" customFormat="1" ht="14.65" customHeight="1">
      <c r="A17" s="758"/>
      <c r="B17" s="417"/>
      <c r="C17" s="758"/>
      <c r="D17" s="165"/>
      <c r="E17" s="83"/>
      <c r="F17" s="758"/>
      <c r="G17" s="83"/>
      <c r="H17" s="83"/>
      <c r="I17" s="83"/>
      <c r="J17" s="155"/>
      <c r="K17" s="155"/>
      <c r="L17" s="155"/>
      <c r="M17" s="155"/>
      <c r="N17" s="226"/>
      <c r="O17" s="155"/>
      <c r="P17" s="225"/>
      <c r="Q17" s="225"/>
      <c r="R17" s="225"/>
      <c r="S17" s="225"/>
      <c r="AC17" s="116">
        <v>14</v>
      </c>
    </row>
    <row r="18" s="1819" customFormat="1" ht="1.05" customHeight="1">
      <c r="A18" s="758"/>
      <c r="B18" s="417"/>
      <c r="C18" s="758"/>
      <c r="D18" s="165"/>
      <c r="E18" s="83"/>
      <c r="F18" s="758"/>
      <c r="G18" s="83"/>
      <c r="H18" s="83"/>
      <c r="I18" s="83"/>
      <c r="J18" s="155"/>
      <c r="K18" s="155"/>
      <c r="L18" s="155"/>
      <c r="M18" s="155"/>
      <c r="N18" s="226"/>
      <c r="O18" s="155"/>
      <c r="P18" s="225"/>
      <c r="Q18" s="225"/>
      <c r="R18" s="225"/>
      <c r="S18" s="225"/>
      <c r="AC18" s="116">
        <v>1</v>
      </c>
    </row>
    <row r="19" s="1064" customFormat="1" ht="10.5" customHeight="1">
      <c r="B19" s="834"/>
      <c r="D19" s="182"/>
      <c r="J19" s="155"/>
      <c r="K19" s="155"/>
      <c r="L19" s="155"/>
      <c r="M19" s="155"/>
      <c r="N19" s="226"/>
      <c r="O19" s="155"/>
      <c r="P19" s="225"/>
      <c r="Q19" s="225"/>
      <c r="R19" s="225"/>
      <c r="S19" s="225"/>
      <c r="AC19" s="181">
        <v>10</v>
      </c>
    </row>
    <row r="20" s="1064" customFormat="1" ht="10.5" customHeight="1">
      <c r="B20" s="834"/>
      <c r="D20" s="182"/>
      <c r="J20" s="155"/>
      <c r="K20" s="155"/>
      <c r="L20" s="155"/>
      <c r="M20" s="155"/>
      <c r="N20" s="226"/>
      <c r="O20" s="155"/>
      <c r="P20" s="225"/>
      <c r="Q20" s="225"/>
      <c r="R20" s="225"/>
      <c r="S20" s="225"/>
      <c r="AC20" s="181">
        <v>10</v>
      </c>
    </row>
    <row r="21" ht="14.65" customHeight="1">
      <c r="AC21" s="83">
        <v>14</v>
      </c>
    </row>
    <row r="22" ht="14.65" customHeight="1">
      <c r="AC22" s="83">
        <v>14</v>
      </c>
    </row>
    <row r="23" ht="14.65" customHeight="1">
      <c r="AC23" s="83">
        <v>14</v>
      </c>
    </row>
    <row r="24" ht="14.65" customHeight="1">
      <c r="H24" s="64"/>
      <c r="AC24" s="83">
        <v>14</v>
      </c>
    </row>
    <row r="25" ht="14.65" customHeight="1">
      <c r="AC25" s="83">
        <v>14</v>
      </c>
    </row>
    <row r="26" ht="14.65" customHeight="1">
      <c r="AC26" s="83">
        <v>14</v>
      </c>
    </row>
    <row r="27" ht="14.65" customHeight="1">
      <c r="AC27" s="83">
        <v>14</v>
      </c>
    </row>
    <row r="28" ht="14.65" customHeight="1">
      <c r="J28" s="83"/>
      <c r="K28" s="83"/>
      <c r="L28" s="83"/>
      <c r="AC28" s="83">
        <v>14</v>
      </c>
    </row>
    <row r="29" ht="22.5" hidden="1" customHeight="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autoFilter="0" deleteColumns="1" deleteRows="1" formatColumns="0" formatRows="0" insertColumns="1" insertRows="1" sheet="1" sort="1"/>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F30038-00E3-49FC-9361-00EE00200004}"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8" style="1635" width="19.7109375"/>
    <col customWidth="1" hidden="1" min="29" max="29" style="1635" width="11.7109375"/>
    <col customWidth="1" hidden="1" min="30" max="30" style="1635" width="3.7109375"/>
    <col customWidth="1" hidden="1" min="31" max="31" style="1635" width="11.7109375"/>
    <col customWidth="1" hidden="1" min="32" max="32" style="1635" width="8.57421875"/>
    <col customWidth="1" min="33" max="33" style="1635" width="19.7109375"/>
    <col customWidth="1" min="34" max="39" style="1635" width="19.00390625"/>
    <col customWidth="1" min="40" max="40" style="1635" width="11.00390625"/>
    <col customWidth="1" min="41" max="41" style="1635" width="3.7109375"/>
    <col customWidth="1" min="42" max="42" style="1635" width="11.00390625"/>
    <col customWidth="1" hidden="1" min="43" max="43" style="1635" width="8.57421875"/>
    <col customWidth="1" min="44" max="44" style="1635" width="4.00390625"/>
    <col customWidth="1" min="45" max="45" style="1635" width="115.00390625"/>
    <col customWidth="1" min="46" max="50" style="1642" width="10.00390625"/>
    <col hidden="1" min="51" max="51" style="1635" width="10.57421875"/>
  </cols>
  <sheetData>
    <row r="1" ht="22.5" hidden="1" customHeight="1">
      <c r="AC1" s="327"/>
      <c r="AN1" s="327"/>
      <c r="AY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 xml:space="preserve">Наименование тарифа</v>
      </c>
      <c r="AW2" s="500"/>
      <c r="AX2" s="500"/>
      <c r="AY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 xml:space="preserve">Территория действия тарифа</v>
      </c>
      <c r="AW3" s="500"/>
      <c r="AX3" s="500"/>
      <c r="AY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 xml:space="preserve">Наименование централизованной системы горячего водоснабжения</v>
      </c>
      <c r="AW4" s="500"/>
      <c r="AX4" s="500"/>
      <c r="AY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 xml:space="preserve">Наименование признака дифференциации</v>
      </c>
      <c r="AW5" s="500"/>
      <c r="AX5" s="500"/>
      <c r="AY5" s="1155">
        <v>0</v>
      </c>
    </row>
    <row r="6" ht="23.25" hidden="1" customHeight="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 xml:space="preserve">Группа потребителей</v>
      </c>
      <c r="AW6" s="500"/>
      <c r="AX6" s="500"/>
      <c r="AY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 xml:space="preserve">Добавить значение признака дифференциации</v>
      </c>
      <c r="AW9" s="500"/>
      <c r="AX9" s="500"/>
      <c r="AY9" s="1155">
        <v>0</v>
      </c>
    </row>
    <row r="10" ht="21" hidden="1" customHeight="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 xml:space="preserve">Добавить группу потребителей</v>
      </c>
      <c r="AW10" s="500"/>
      <c r="AX10" s="500"/>
      <c r="AY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 xml:space="preserve">Добавить наименование признака дифференциации</v>
      </c>
      <c r="AW11" s="500"/>
      <c r="AX11" s="500"/>
      <c r="AY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 xml:space="preserve">Добавить централизованную систему для дифференциации</v>
      </c>
      <c r="AW12" s="789"/>
      <c r="AX12" s="789"/>
      <c r="AY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 xml:space="preserve">Добавить территорию для дифференциации</v>
      </c>
      <c r="AW13" s="500"/>
      <c r="AX13" s="500"/>
      <c r="AY13" s="511">
        <v>0</v>
      </c>
    </row>
    <row r="14" ht="14.25" hidden="1" customHeight="1">
      <c r="AF14" s="327"/>
      <c r="AQ14" s="327"/>
      <c r="AY14" s="1155">
        <v>0</v>
      </c>
    </row>
    <row r="15" ht="14.25" hidden="1" customHeight="1">
      <c r="AG15" s="1360"/>
      <c r="AH15" s="1360"/>
      <c r="AI15" s="1360"/>
      <c r="AJ15" s="1360"/>
      <c r="AK15" s="1360"/>
      <c r="AL15" s="1360"/>
      <c r="AM15" s="1360"/>
      <c r="AN15" s="2267"/>
      <c r="AO15" s="2268" t="s">
        <v>66</v>
      </c>
      <c r="AP15" s="2267"/>
      <c r="AQ15" s="2268" t="s">
        <v>66</v>
      </c>
      <c r="AY15" s="1155">
        <v>0</v>
      </c>
    </row>
    <row r="16" ht="14.25" hidden="1" customHeight="1">
      <c r="AG16" s="1360"/>
      <c r="AH16" s="1360"/>
      <c r="AI16" s="1360"/>
      <c r="AJ16" s="1360"/>
      <c r="AK16" s="1360"/>
      <c r="AL16" s="1360"/>
      <c r="AM16" s="1360"/>
      <c r="AN16" s="2268"/>
      <c r="AO16" s="2268"/>
      <c r="AP16" s="2268"/>
      <c r="AQ16" s="2268"/>
      <c r="AY16" s="1155">
        <v>0</v>
      </c>
    </row>
    <row r="17" ht="14.25" hidden="1" customHeight="1">
      <c r="AQ17" s="327"/>
      <c r="AY17" s="1155">
        <v>0</v>
      </c>
    </row>
    <row r="18" s="1366" customFormat="1" ht="22.5" hidden="1" customHeight="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r="19" s="1366" customFormat="1" ht="14.25" hidden="1" customHeight="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r="20" s="1366" customFormat="1" ht="12" hidden="1" customHeight="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r="21" ht="14.25" hidden="1" customHeight="1">
      <c r="O21" s="1364"/>
      <c r="AY21" s="1155">
        <v>0</v>
      </c>
    </row>
    <row r="22" ht="14.25" hidden="1" customHeight="1">
      <c r="O22" s="1364"/>
      <c r="AY22" s="1155">
        <v>0</v>
      </c>
    </row>
    <row r="23" ht="14.65" customHeight="1">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r="24" ht="26.25" customHeight="1">
      <c r="Q24" s="376"/>
      <c r="R24" s="376"/>
      <c r="S24" s="2248"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2264"/>
      <c r="AC28" s="2264"/>
      <c r="AD28" s="2264"/>
      <c r="AE28" s="2264"/>
      <c r="AF28" s="326"/>
      <c r="AG28" s="2264" t="str">
        <f>IF(TITLE_DATE_PR_CHANGE="",IF(TITLE_DATE_PR="","",TITLE_DATE_PR),TITLE_DATE_PR_CHANGE)</f>
        <v>45841</v>
      </c>
      <c r="AH28" s="2264"/>
      <c r="AI28" s="2264"/>
      <c r="AJ28" s="2264"/>
      <c r="AK28" s="2264"/>
      <c r="AL28" s="2264"/>
      <c r="AM28" s="2264"/>
      <c r="AN28" s="2264"/>
      <c r="AO28" s="2264"/>
      <c r="AP28" s="2264"/>
      <c r="AQ28" s="326"/>
      <c r="AR28" s="326"/>
      <c r="AS28" s="280"/>
      <c r="AT28" s="368"/>
      <c r="AU28" s="368"/>
      <c r="AV28" s="368"/>
      <c r="AW28" s="368"/>
      <c r="AX28" s="368"/>
      <c r="AY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2251"/>
      <c r="AC29" s="2251"/>
      <c r="AD29" s="2251"/>
      <c r="AE29" s="2251"/>
      <c r="AF29" s="326"/>
      <c r="AG29" s="2251" t="str">
        <f>IF(TITLE_NUMBER_PR_CHANGE="",IF(TITLE_NUMBER_PR="","",TITLE_NUMBER_PR),TITLE_NUMBER_PR_CHANGE)</f>
        <v>27-3420</v>
      </c>
      <c r="AH29" s="2251"/>
      <c r="AI29" s="2251"/>
      <c r="AJ29" s="2251"/>
      <c r="AK29" s="2251"/>
      <c r="AL29" s="2251"/>
      <c r="AM29" s="2251"/>
      <c r="AN29" s="2251"/>
      <c r="AO29" s="2251"/>
      <c r="AP29" s="2251"/>
      <c r="AQ29" s="326"/>
      <c r="AR29" s="326"/>
      <c r="AS29" s="280"/>
      <c r="AT29" s="368"/>
      <c r="AU29" s="368"/>
      <c r="AV29" s="368"/>
      <c r="AW29" s="368"/>
      <c r="AX29" s="368"/>
      <c r="AY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2264"/>
      <c r="AC32" s="2264"/>
      <c r="AD32" s="2264"/>
      <c r="AE32" s="2264"/>
      <c r="AF32" s="326"/>
      <c r="AG32" s="2264" t="str">
        <f>IF(TITLE_DATE_PR_CHANGE="",IF(TITLE_DATE_PR="","",TITLE_DATE_PR),TITLE_DATE_PR_CHANGE)</f>
        <v>45841</v>
      </c>
      <c r="AH32" s="2264"/>
      <c r="AI32" s="2264"/>
      <c r="AJ32" s="2264"/>
      <c r="AK32" s="2264"/>
      <c r="AL32" s="2264"/>
      <c r="AM32" s="2264"/>
      <c r="AN32" s="2264"/>
      <c r="AO32" s="2264"/>
      <c r="AP32" s="2264"/>
      <c r="AQ32" s="326"/>
      <c r="AR32" s="326"/>
      <c r="AS32" s="280"/>
      <c r="AT32" s="368"/>
      <c r="AU32" s="368"/>
      <c r="AV32" s="368"/>
      <c r="AW32" s="368"/>
      <c r="AX32" s="368"/>
      <c r="AY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2251"/>
      <c r="AC33" s="2251"/>
      <c r="AD33" s="2251"/>
      <c r="AE33" s="2251"/>
      <c r="AF33" s="326"/>
      <c r="AG33" s="2251" t="str">
        <f>IF(TITLE_NUMBER_PR_CHANGE="",IF(TITLE_NUMBER_PR="","",TITLE_NUMBER_PR),TITLE_NUMBER_PR_CHANGE)</f>
        <v>27-3420</v>
      </c>
      <c r="AH33" s="2251"/>
      <c r="AI33" s="2251"/>
      <c r="AJ33" s="2251"/>
      <c r="AK33" s="2251"/>
      <c r="AL33" s="2251"/>
      <c r="AM33" s="2251"/>
      <c r="AN33" s="2251"/>
      <c r="AO33" s="2251"/>
      <c r="AP33" s="2251"/>
      <c r="AQ33" s="326"/>
      <c r="AR33" s="326"/>
      <c r="AS33" s="280"/>
      <c r="AT33" s="368"/>
      <c r="AU33" s="368"/>
      <c r="AV33" s="368"/>
      <c r="AW33" s="368"/>
      <c r="AX33" s="368"/>
      <c r="AY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r="37" ht="14.65" customHeight="1">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r="38" ht="19.949999999999999" customHeight="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r="39" s="1635" customFormat="1" ht="19.949999999999999" customHeight="1">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r="40" ht="61.950000000000003" customHeight="1">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r="41" s="1641" customFormat="1" ht="11.25" hidden="1" customHeight="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r="42" ht="24" customHeight="1">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 xml:space="preserve">Наименование тарифа</v>
      </c>
      <c r="AW42" s="500"/>
      <c r="AX42" s="500"/>
      <c r="AY42" s="1155">
        <v>23</v>
      </c>
    </row>
    <row r="43" ht="24" customHeight="1">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 xml:space="preserve">Территория действия тарифа</v>
      </c>
      <c r="AW43" s="500"/>
      <c r="AX43" s="500"/>
      <c r="AY43" s="1155">
        <v>23</v>
      </c>
    </row>
    <row r="44" ht="24" customHeight="1">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 xml:space="preserve">Наименование централизованной системы горячего водоснабжения</v>
      </c>
      <c r="AW44" s="500"/>
      <c r="AX44" s="500"/>
      <c r="AY44" s="1155">
        <v>23</v>
      </c>
    </row>
    <row r="45" ht="24" customHeight="1">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 xml:space="preserve">Наименование признака дифференциации</v>
      </c>
      <c r="AW45" s="500"/>
      <c r="AX45" s="500"/>
      <c r="AY45" s="1155">
        <v>23</v>
      </c>
    </row>
    <row r="46" ht="24" customHeight="1">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 xml:space="preserve">Группа потребителей</v>
      </c>
      <c r="AW46" s="500"/>
      <c r="AX46" s="500"/>
      <c r="AY46" s="1155">
        <v>23</v>
      </c>
    </row>
    <row r="47" ht="24" customHeight="1">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r="48" ht="0" customHeight="1">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r="49" ht="21" customHeight="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 xml:space="preserve">Добавить значение признака дифференциации</v>
      </c>
      <c r="AW49" s="500"/>
      <c r="AX49" s="500"/>
      <c r="AY49" s="1155">
        <v>20</v>
      </c>
    </row>
    <row r="50" ht="22" customHeight="1">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 xml:space="preserve">Добавить группу потребителей</v>
      </c>
      <c r="AW50" s="500"/>
      <c r="AX50" s="500"/>
      <c r="AY50" s="1155">
        <v>21</v>
      </c>
    </row>
    <row r="51" ht="22" customHeight="1">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 xml:space="preserve">Добавить наименование признака дифференциации</v>
      </c>
      <c r="AW51" s="500"/>
      <c r="AX51" s="500"/>
      <c r="AY51" s="1155">
        <v>21</v>
      </c>
    </row>
    <row r="52" s="1642" customFormat="1" ht="0" customHeight="1">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 xml:space="preserve">Добавить централизованную систему для дифференциации</v>
      </c>
      <c r="AW52" s="789"/>
      <c r="AX52" s="789"/>
      <c r="AY52" s="518">
        <v>0</v>
      </c>
    </row>
    <row r="53" s="1642" customFormat="1" ht="0" customHeight="1">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 xml:space="preserve">Добавить территорию для дифференциации</v>
      </c>
      <c r="AW53" s="500"/>
      <c r="AX53" s="500"/>
      <c r="AY53" s="511">
        <v>0</v>
      </c>
    </row>
    <row r="54" s="1642" customFormat="1" ht="0" customHeight="1">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 xml:space="preserve">Добавить наименование тарифа</v>
      </c>
      <c r="AW54" s="789"/>
      <c r="AX54" s="789"/>
      <c r="AY54" s="518">
        <v>0</v>
      </c>
    </row>
    <row r="55" ht="11.5" customHeight="1">
      <c r="M55" s="1160"/>
      <c r="N55" s="1160"/>
      <c r="O55" s="537"/>
      <c r="P55" s="1155"/>
      <c r="Q55" s="1155"/>
      <c r="R55" s="1155"/>
      <c r="S55" s="1155"/>
      <c r="AT55" s="1155"/>
      <c r="AU55" s="1155"/>
      <c r="AV55" s="1155"/>
      <c r="AW55" s="1155"/>
      <c r="AX55" s="1155"/>
      <c r="AY55" s="1155">
        <v>11</v>
      </c>
    </row>
    <row r="56" ht="14.65" customHeight="1">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r="57" ht="14.65" customHeight="1">
      <c r="O57" s="537"/>
      <c r="AY57" s="1155">
        <v>14</v>
      </c>
    </row>
    <row r="58" ht="14.65" customHeight="1">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r="59" ht="22.5" hidden="1" customHeight="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autoFilter="0" deleteColumns="1" deleteRows="1" formatColumns="0" formatRows="0" insertColumns="1" insertRows="1" sheet="1" sort="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500A7-00A8-484A-804A-00DF00170071}"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1E0039-007F-4898-8ED1-006B008E0027}"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EA00E8-0092-4F23-AAA3-00C000C100A3}"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8D00F9-0003-441C-81EB-00DA003000D0}"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8" style="1635" width="19.7109375"/>
    <col customWidth="1" hidden="1" min="29" max="29" style="1635" width="11.7109375"/>
    <col customWidth="1" hidden="1" min="30" max="30" style="1635" width="3.7109375"/>
    <col customWidth="1" hidden="1" min="31" max="31" style="1635" width="11.7109375"/>
    <col customWidth="1" hidden="1" min="32" max="32" style="1635" width="8.57421875"/>
    <col customWidth="1" min="33" max="33" style="1635" width="19.7109375"/>
    <col customWidth="1" min="34" max="39" style="1635" width="19.00390625"/>
    <col customWidth="1" min="40" max="40" style="1635" width="11.00390625"/>
    <col customWidth="1" min="41" max="41" style="1635" width="3.7109375"/>
    <col customWidth="1" min="42" max="42" style="1635" width="11.00390625"/>
    <col customWidth="1" hidden="1" min="43" max="43" style="1635" width="8.57421875"/>
    <col customWidth="1" min="44" max="44" style="1635" width="4.00390625"/>
    <col customWidth="1" min="45" max="45" style="1635" width="115.00390625"/>
    <col customWidth="1" min="46" max="50" style="1642" width="10.00390625"/>
    <col hidden="1" min="51" max="51" style="1635" width="10.57421875"/>
  </cols>
  <sheetData>
    <row r="1" ht="22.5" hidden="1" customHeight="1">
      <c r="AB1" s="327"/>
      <c r="AC1" s="327"/>
      <c r="AM1" s="327"/>
      <c r="AN1" s="327"/>
      <c r="AY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 xml:space="preserve">Наименование тарифа</v>
      </c>
      <c r="AW2" s="500"/>
      <c r="AX2" s="500"/>
      <c r="AY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 xml:space="preserve">Территория действия тарифа</v>
      </c>
      <c r="AW3" s="500"/>
      <c r="AX3" s="500"/>
      <c r="AY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 xml:space="preserve">Наименование централизованной системы горячего водоснабжения</v>
      </c>
      <c r="AW4" s="500"/>
      <c r="AX4" s="500"/>
      <c r="AY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 xml:space="preserve">Наименование признака дифференциации</v>
      </c>
      <c r="AW5" s="500"/>
      <c r="AX5" s="500"/>
      <c r="AY5" s="1155">
        <v>0</v>
      </c>
    </row>
    <row r="6" ht="23.25" hidden="1" customHeight="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 xml:space="preserve">Группа потребителей</v>
      </c>
      <c r="AW6" s="500"/>
      <c r="AX6" s="500"/>
      <c r="AY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 xml:space="preserve">Добавить значение признака дифференциации</v>
      </c>
      <c r="AW9" s="500"/>
      <c r="AX9" s="500"/>
      <c r="AY9" s="1155">
        <v>0</v>
      </c>
    </row>
    <row r="10" ht="21" hidden="1" customHeight="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 xml:space="preserve">Добавить группу потребителей</v>
      </c>
      <c r="AW10" s="500"/>
      <c r="AX10" s="500"/>
      <c r="AY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 xml:space="preserve">Добавить наименование признака дифференциации</v>
      </c>
      <c r="AW11" s="500"/>
      <c r="AX11" s="500"/>
      <c r="AY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 xml:space="preserve">Добавить централизованную систему для дифференциации</v>
      </c>
      <c r="AW12" s="789"/>
      <c r="AX12" s="789"/>
      <c r="AY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 xml:space="preserve">Добавить территорию для дифференциации</v>
      </c>
      <c r="AW13" s="500"/>
      <c r="AX13" s="500"/>
      <c r="AY13" s="511">
        <v>0</v>
      </c>
    </row>
    <row r="14" ht="14.25" hidden="1" customHeight="1">
      <c r="AF14" s="327"/>
      <c r="AQ14" s="327"/>
      <c r="AY14" s="1155">
        <v>0</v>
      </c>
    </row>
    <row r="15" ht="14.25" hidden="1" customHeight="1">
      <c r="AG15" s="1360"/>
      <c r="AH15" s="1360"/>
      <c r="AI15" s="1360"/>
      <c r="AJ15" s="1360"/>
      <c r="AK15" s="1360"/>
      <c r="AL15" s="1360"/>
      <c r="AM15" s="1361"/>
      <c r="AN15" s="2267"/>
      <c r="AO15" s="2268" t="s">
        <v>66</v>
      </c>
      <c r="AP15" s="2267"/>
      <c r="AQ15" s="2268" t="s">
        <v>66</v>
      </c>
      <c r="AY15" s="1155">
        <v>0</v>
      </c>
    </row>
    <row r="16" ht="14.25" hidden="1" customHeight="1">
      <c r="AG16" s="1360"/>
      <c r="AH16" s="1360"/>
      <c r="AI16" s="1360"/>
      <c r="AJ16" s="1360"/>
      <c r="AK16" s="1360"/>
      <c r="AL16" s="1360"/>
      <c r="AM16" s="328" t="str">
        <f>AN15&amp;"-"&amp;AP15</f>
        <v>-</v>
      </c>
      <c r="AN16" s="2268"/>
      <c r="AO16" s="2268"/>
      <c r="AP16" s="2268"/>
      <c r="AQ16" s="2268"/>
      <c r="AY16" s="1155">
        <v>0</v>
      </c>
    </row>
    <row r="17" ht="14.25" hidden="1" customHeight="1">
      <c r="AQ17" s="327"/>
      <c r="AY17" s="1155">
        <v>0</v>
      </c>
    </row>
    <row r="18" s="1366" customFormat="1" ht="22.5" hidden="1" customHeight="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r="19" s="1366" customFormat="1" ht="14.25" hidden="1" customHeight="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r="20" s="1366" customFormat="1" ht="12" hidden="1" customHeight="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r="21" ht="14.25" hidden="1" customHeight="1">
      <c r="O21" s="1364"/>
      <c r="AY21" s="1155">
        <v>0</v>
      </c>
    </row>
    <row r="22" ht="14.25" hidden="1" customHeight="1">
      <c r="O22" s="1364"/>
      <c r="AY22" s="1155">
        <v>0</v>
      </c>
    </row>
    <row r="23" ht="14.65" customHeight="1">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r="24" ht="26.25" customHeight="1">
      <c r="Q24" s="376"/>
      <c r="R24" s="376"/>
      <c r="S24" s="2248"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r="25" ht="14.65" customHeight="1">
      <c r="Q25" s="376"/>
      <c r="R25" s="376"/>
      <c r="S25" s="2249" t="str">
        <f>IF(org=0,"Не определено",org)</f>
        <v xml:space="preserve">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45841</v>
      </c>
      <c r="W28" s="2264"/>
      <c r="X28" s="2264"/>
      <c r="Y28" s="2264"/>
      <c r="Z28" s="2264"/>
      <c r="AA28" s="2264"/>
      <c r="AB28" s="2264"/>
      <c r="AC28" s="2264"/>
      <c r="AD28" s="2264"/>
      <c r="AE28" s="2264"/>
      <c r="AF28" s="326"/>
      <c r="AG28" s="2264" t="str">
        <f>IF(TITLE_DATE_PR_CHANGE="",IF(TITLE_DATE_PR="","",TITLE_DATE_PR),TITLE_DATE_PR_CHANGE)</f>
        <v>45841</v>
      </c>
      <c r="AH28" s="2264"/>
      <c r="AI28" s="2264"/>
      <c r="AJ28" s="2264"/>
      <c r="AK28" s="2264"/>
      <c r="AL28" s="2264"/>
      <c r="AM28" s="2264"/>
      <c r="AN28" s="2264"/>
      <c r="AO28" s="2264"/>
      <c r="AP28" s="2264"/>
      <c r="AQ28" s="326"/>
      <c r="AR28" s="326"/>
      <c r="AS28" s="280"/>
      <c r="AT28" s="368"/>
      <c r="AU28" s="368"/>
      <c r="AV28" s="368"/>
      <c r="AW28" s="368"/>
      <c r="AX28" s="368"/>
      <c r="AY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27-3420</v>
      </c>
      <c r="W29" s="2251"/>
      <c r="X29" s="2251"/>
      <c r="Y29" s="2251"/>
      <c r="Z29" s="2251"/>
      <c r="AA29" s="2251"/>
      <c r="AB29" s="2251"/>
      <c r="AC29" s="2251"/>
      <c r="AD29" s="2251"/>
      <c r="AE29" s="2251"/>
      <c r="AF29" s="326"/>
      <c r="AG29" s="2251" t="str">
        <f>IF(TITLE_NUMBER_PR_CHANGE="",IF(TITLE_NUMBER_PR="","",TITLE_NUMBER_PR),TITLE_NUMBER_PR_CHANGE)</f>
        <v>27-3420</v>
      </c>
      <c r="AH29" s="2251"/>
      <c r="AI29" s="2251"/>
      <c r="AJ29" s="2251"/>
      <c r="AK29" s="2251"/>
      <c r="AL29" s="2251"/>
      <c r="AM29" s="2251"/>
      <c r="AN29" s="2251"/>
      <c r="AO29" s="2251"/>
      <c r="AP29" s="2251"/>
      <c r="AQ29" s="326"/>
      <c r="AR29" s="326"/>
      <c r="AS29" s="280"/>
      <c r="AT29" s="368"/>
      <c r="AU29" s="368"/>
      <c r="AV29" s="368"/>
      <c r="AW29" s="368"/>
      <c r="AX29" s="368"/>
      <c r="AY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r="31" ht="14.25" customHeight="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r="32" s="1853" customFormat="1" ht="18.75" customHeight="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45841</v>
      </c>
      <c r="W32" s="2264"/>
      <c r="X32" s="2264"/>
      <c r="Y32" s="2264"/>
      <c r="Z32" s="2264"/>
      <c r="AA32" s="2264"/>
      <c r="AB32" s="2264"/>
      <c r="AC32" s="2264"/>
      <c r="AD32" s="2264"/>
      <c r="AE32" s="2264"/>
      <c r="AF32" s="326"/>
      <c r="AG32" s="2264" t="str">
        <f>IF(TITLE_DATE_PR_CHANGE="",IF(TITLE_DATE_PR="","",TITLE_DATE_PR),TITLE_DATE_PR_CHANGE)</f>
        <v>45841</v>
      </c>
      <c r="AH32" s="2264"/>
      <c r="AI32" s="2264"/>
      <c r="AJ32" s="2264"/>
      <c r="AK32" s="2264"/>
      <c r="AL32" s="2264"/>
      <c r="AM32" s="2264"/>
      <c r="AN32" s="2264"/>
      <c r="AO32" s="2264"/>
      <c r="AP32" s="2264"/>
      <c r="AQ32" s="326"/>
      <c r="AR32" s="326"/>
      <c r="AS32" s="280"/>
      <c r="AT32" s="368"/>
      <c r="AU32" s="368"/>
      <c r="AV32" s="368"/>
      <c r="AW32" s="368"/>
      <c r="AX32" s="368"/>
      <c r="AY32" s="418">
        <v>0</v>
      </c>
    </row>
    <row r="33" s="1853" customFormat="1" ht="18.75" customHeight="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27-3420</v>
      </c>
      <c r="W33" s="2251"/>
      <c r="X33" s="2251"/>
      <c r="Y33" s="2251"/>
      <c r="Z33" s="2251"/>
      <c r="AA33" s="2251"/>
      <c r="AB33" s="2251"/>
      <c r="AC33" s="2251"/>
      <c r="AD33" s="2251"/>
      <c r="AE33" s="2251"/>
      <c r="AF33" s="326"/>
      <c r="AG33" s="2251" t="str">
        <f>IF(TITLE_NUMBER_PR_CHANGE="",IF(TITLE_NUMBER_PR="","",TITLE_NUMBER_PR),TITLE_NUMBER_PR_CHANGE)</f>
        <v>27-3420</v>
      </c>
      <c r="AH33" s="2251"/>
      <c r="AI33" s="2251"/>
      <c r="AJ33" s="2251"/>
      <c r="AK33" s="2251"/>
      <c r="AL33" s="2251"/>
      <c r="AM33" s="2251"/>
      <c r="AN33" s="2251"/>
      <c r="AO33" s="2251"/>
      <c r="AP33" s="2251"/>
      <c r="AQ33" s="326"/>
      <c r="AR33" s="326"/>
      <c r="AS33" s="280"/>
      <c r="AT33" s="368"/>
      <c r="AU33" s="368"/>
      <c r="AV33" s="368"/>
      <c r="AW33" s="368"/>
      <c r="AX33" s="368"/>
      <c r="AY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r="36" ht="14.65" customHeight="1">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r="37" ht="14.65" customHeight="1">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r="38" s="1635" customFormat="1" ht="19.949999999999999" customHeight="1">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r="39" ht="19.949999999999999" customHeight="1">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r="40" ht="61.950000000000003" customHeight="1">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r="41" s="1641" customFormat="1" ht="11.25" hidden="1" customHeight="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r="42" ht="24" customHeight="1">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 xml:space="preserve">Наименование тарифа</v>
      </c>
      <c r="AW42" s="500"/>
      <c r="AX42" s="500"/>
      <c r="AY42" s="1155">
        <v>23</v>
      </c>
    </row>
    <row r="43" ht="24" customHeight="1">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 xml:space="preserve">Территория действия тарифа</v>
      </c>
      <c r="AW43" s="500"/>
      <c r="AX43" s="500"/>
      <c r="AY43" s="1155">
        <v>23</v>
      </c>
    </row>
    <row r="44" ht="24" customHeight="1">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 xml:space="preserve">Наименование централизованной системы горячего водоснабжения</v>
      </c>
      <c r="AW44" s="500"/>
      <c r="AX44" s="500"/>
      <c r="AY44" s="1155">
        <v>23</v>
      </c>
    </row>
    <row r="45" ht="24" customHeight="1">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 xml:space="preserve">Наименование признака дифференциации</v>
      </c>
      <c r="AW45" s="500"/>
      <c r="AX45" s="500"/>
      <c r="AY45" s="1155">
        <v>23</v>
      </c>
    </row>
    <row r="46" ht="24" customHeight="1">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 xml:space="preserve">Группа потребителей</v>
      </c>
      <c r="AW46" s="500"/>
      <c r="AX46" s="500"/>
      <c r="AY46" s="1155">
        <v>23</v>
      </c>
    </row>
    <row r="47" ht="24" customHeight="1">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r="48" ht="0" customHeight="1">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r="49" ht="21" customHeight="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 xml:space="preserve">Добавить значение признака дифференциации</v>
      </c>
      <c r="AW49" s="500"/>
      <c r="AX49" s="500"/>
      <c r="AY49" s="1155">
        <v>20</v>
      </c>
    </row>
    <row r="50" ht="22" customHeight="1">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 xml:space="preserve">Добавить группу потребителей</v>
      </c>
      <c r="AW50" s="500"/>
      <c r="AX50" s="500"/>
      <c r="AY50" s="1155">
        <v>21</v>
      </c>
    </row>
    <row r="51" ht="22" customHeight="1">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 xml:space="preserve">Добавить наименование признака дифференциации</v>
      </c>
      <c r="AW51" s="500"/>
      <c r="AX51" s="500"/>
      <c r="AY51" s="1155">
        <v>21</v>
      </c>
    </row>
    <row r="52" s="1642" customFormat="1" ht="0" customHeight="1">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 xml:space="preserve">Добавить централизованную систему для дифференциации</v>
      </c>
      <c r="AW52" s="789"/>
      <c r="AX52" s="789"/>
      <c r="AY52" s="518">
        <v>0</v>
      </c>
    </row>
    <row r="53" s="1642" customFormat="1" ht="0" customHeight="1">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 xml:space="preserve">Добавить территорию для дифференциации</v>
      </c>
      <c r="AW53" s="500"/>
      <c r="AX53" s="500"/>
      <c r="AY53" s="511">
        <v>0</v>
      </c>
    </row>
    <row r="54" s="1642" customFormat="1" ht="0" customHeight="1">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 xml:space="preserve">Добавить наименование тарифа</v>
      </c>
      <c r="AW54" s="789"/>
      <c r="AX54" s="789"/>
      <c r="AY54" s="518">
        <v>0</v>
      </c>
    </row>
    <row r="55" ht="11.5" customHeight="1">
      <c r="M55" s="1160"/>
      <c r="N55" s="1160"/>
      <c r="O55" s="537"/>
      <c r="P55" s="1155"/>
      <c r="Q55" s="1155"/>
      <c r="R55" s="1155"/>
      <c r="S55" s="1155"/>
      <c r="AT55" s="1155"/>
      <c r="AU55" s="1155"/>
      <c r="AV55" s="1155"/>
      <c r="AW55" s="1155"/>
      <c r="AX55" s="1155"/>
      <c r="AY55" s="1155">
        <v>11</v>
      </c>
    </row>
    <row r="56" ht="14.65" customHeight="1">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r="57" ht="14.65" customHeight="1">
      <c r="O57" s="537"/>
      <c r="AY57" s="1155">
        <v>14</v>
      </c>
    </row>
    <row r="58" ht="14.65" customHeight="1">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r="59" ht="22.5" hidden="1" customHeight="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autoFilter="0" deleteColumns="1" deleteRows="1" formatColumns="0" formatRows="0" insertColumns="1" insertRows="1" sheet="1" sort="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7006A-0012-4380-9043-006B00D8001A}"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F80057-00F1-4F55-AA59-00B800D500A0}"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7900C0-00D2-49A9-911B-00EA001700B3}"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B800AC-007B-479E-80A2-0082009A0003}"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defaultRowHeight="14.25" customHeight="1"/>
  <cols>
    <col customWidth="1" hidden="1" min="1" max="1" style="1366" width="11.57421875"/>
    <col customWidth="1" hidden="1" min="2" max="2" style="1366" width="11.00390625"/>
    <col hidden="1" min="3" max="3" style="1366" width="10.57421875"/>
    <col customWidth="1" hidden="1" min="4" max="4" style="1366" width="12.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1776" width="3.7109375"/>
    <col customWidth="1" hidden="1" min="17" max="17" style="1371" width="3.7109375"/>
    <col customWidth="1" min="18" max="18" style="344" width="3.00390625"/>
    <col customWidth="1" min="19" max="19" style="2407" width="12.00390625"/>
    <col customWidth="1" min="20" max="20" style="1635" width="31.00390625"/>
    <col customWidth="1" min="21" max="21" style="1635" width="0.140625"/>
    <col customWidth="1" hidden="1" min="22" max="25" style="1635" width="21.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3.7109375"/>
    <col customWidth="1" min="31" max="32" style="1635" width="3.00390625"/>
    <col customWidth="1" min="33" max="33" style="1635" width="24.00390625"/>
    <col customWidth="1" min="34" max="34" style="1635" width="3.7109375"/>
    <col customWidth="1" min="35" max="36" style="1635" width="3.00390625"/>
    <col customWidth="1" min="37" max="37" style="1635" width="24.00390625"/>
    <col customWidth="1" min="38" max="38" style="1635" width="3.7109375"/>
    <col customWidth="1" min="39" max="40" style="1635" width="3.00390625"/>
    <col customWidth="1" min="41" max="41" style="1635" width="18.00390625"/>
    <col customWidth="1" min="42" max="42" style="1635" width="3.7109375"/>
    <col customWidth="1" min="43" max="44" style="1635" width="3.00390625"/>
    <col customWidth="1" min="45" max="45" style="1635" width="18.00390625"/>
    <col customWidth="1" min="46" max="49" style="1635" width="21.00390625"/>
    <col customWidth="1" min="50" max="50" style="1635" width="11.00390625"/>
    <col customWidth="1" min="51" max="51" style="1635" width="3.7109375"/>
    <col customWidth="1" min="52" max="52" style="1635" width="11.00390625"/>
    <col customWidth="1" hidden="1" min="53" max="53" style="1635" width="8.57421875"/>
    <col customWidth="1" min="54" max="54" style="1635" width="4.00390625"/>
    <col customWidth="1" min="55" max="55" style="1635" width="115.00390625"/>
    <col customWidth="1" min="56" max="60" style="1642" width="10.00390625"/>
    <col hidden="1" min="61" max="61" style="1635" width="10.57421875"/>
  </cols>
  <sheetData>
    <row r="1" ht="22.5" hidden="1" customHeight="1">
      <c r="W1" s="327"/>
      <c r="Y1" s="327"/>
      <c r="Z1" s="327"/>
      <c r="AW1" s="327"/>
      <c r="AX1" s="327"/>
      <c r="BI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 xml:space="preserve">Наименование тарифа</v>
      </c>
      <c r="BG2" s="500"/>
      <c r="BH2" s="500"/>
      <c r="BI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 xml:space="preserve">Территория действия тарифа</v>
      </c>
      <c r="BG3" s="500"/>
      <c r="BH3" s="500"/>
      <c r="BI3" s="1155">
        <v>0</v>
      </c>
    </row>
    <row r="4" ht="33.75" hidden="1" customHeight="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 xml:space="preserve">Наименование централизованной системы горячего водоснабжения</v>
      </c>
      <c r="BG4" s="500"/>
      <c r="BH4" s="500"/>
      <c r="BI4" s="1155">
        <v>0</v>
      </c>
    </row>
    <row r="5" s="1642" customFormat="1" ht="14.25" hidden="1" customHeight="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r="6" s="1642" customFormat="1" ht="14.25" hidden="1" customHeight="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r="7" s="1642" customFormat="1" ht="14.25" hidden="1" customHeight="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r="8" ht="11.25" hidden="1" customHeight="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r="9" ht="11.25" hidden="1" customHeight="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r="10" ht="11.25" hidden="1" customHeight="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r="11" ht="11.25" hidden="1" customHeight="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r="12" ht="11.25" hidden="1" customHeight="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r="13" ht="11.25" hidden="1" customHeight="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 xml:space="preserve">Добавить строку</v>
      </c>
      <c r="BG13" s="500"/>
      <c r="BH13" s="500"/>
      <c r="BI13" s="1155">
        <v>0</v>
      </c>
    </row>
    <row r="14" s="1642" customFormat="1" ht="14.25" hidden="1" customHeight="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r="15" s="1642" customFormat="1" ht="14.25" hidden="1" customHeight="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r="16" s="1642" customFormat="1" ht="14.25" hidden="1" customHeight="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r="17" s="1642" customFormat="1" ht="14.25" hidden="1" customHeight="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 xml:space="preserve">Добавить централизованную систему для дифференциации</v>
      </c>
      <c r="BG17" s="789"/>
      <c r="BH17" s="789"/>
      <c r="BI17" s="518">
        <v>0</v>
      </c>
    </row>
    <row r="18" s="1642" customFormat="1" ht="14.25" hidden="1" customHeight="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 xml:space="preserve">Добавить территорию для дифференциации</v>
      </c>
      <c r="BG18" s="500"/>
      <c r="BH18" s="500"/>
      <c r="BI18" s="511">
        <v>0</v>
      </c>
    </row>
    <row r="19" ht="14.25" hidden="1" customHeight="1">
      <c r="AC19" s="327"/>
      <c r="BA19" s="327"/>
      <c r="BI19" s="1155">
        <v>0</v>
      </c>
    </row>
    <row r="20" ht="14.25" hidden="1" customHeight="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r="21" ht="14.25" hidden="1" customHeight="1">
      <c r="BD21" s="496"/>
      <c r="BE21" s="496"/>
      <c r="BF21" s="496"/>
      <c r="BG21" s="496"/>
      <c r="BH21" s="496"/>
      <c r="BI21" s="1155">
        <v>0</v>
      </c>
    </row>
    <row r="22" ht="14.25" hidden="1" customHeight="1">
      <c r="O22" s="1367" t="s">
        <v>418</v>
      </c>
      <c r="Z22" s="1345"/>
      <c r="AB22" s="1345"/>
      <c r="AC22" s="327"/>
      <c r="AX22" s="1345"/>
      <c r="AZ22" s="1345"/>
      <c r="BA22" s="327"/>
      <c r="BD22" s="496"/>
      <c r="BE22" s="496"/>
      <c r="BF22" s="496"/>
      <c r="BG22" s="496"/>
      <c r="BH22" s="496"/>
      <c r="BI22" s="1155">
        <v>0</v>
      </c>
    </row>
    <row r="23" ht="14.25" hidden="1" customHeight="1">
      <c r="AC23" s="327"/>
      <c r="BA23" s="327"/>
      <c r="BD23" s="496"/>
      <c r="BE23" s="496"/>
      <c r="BF23" s="496"/>
      <c r="BG23" s="496"/>
      <c r="BH23" s="496"/>
      <c r="BI23" s="1155">
        <v>0</v>
      </c>
    </row>
    <row r="24" s="1509" customFormat="1" ht="14.25" hidden="1" customHeight="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r="25" ht="14.25" hidden="1" customHeight="1">
      <c r="O25" s="1364"/>
      <c r="BD25" s="496"/>
      <c r="BE25" s="496"/>
      <c r="BF25" s="496"/>
      <c r="BG25" s="496"/>
      <c r="BH25" s="496"/>
      <c r="BI25" s="1155">
        <v>0</v>
      </c>
    </row>
    <row r="26" ht="14.25" hidden="1" customHeight="1">
      <c r="O26" s="1364"/>
      <c r="BD26" s="496"/>
      <c r="BE26" s="496"/>
      <c r="BF26" s="496"/>
      <c r="BG26" s="496"/>
      <c r="BH26" s="496"/>
      <c r="BI26" s="1155">
        <v>0</v>
      </c>
    </row>
    <row r="27" ht="14.65" customHeight="1">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r="28" ht="14.65" customHeight="1">
      <c r="Q28" s="291"/>
      <c r="R28" s="376"/>
      <c r="S28" s="2248"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r="29" ht="14.65" customHeight="1">
      <c r="Q29" s="291"/>
      <c r="R29" s="376"/>
      <c r="S29" s="2249" t="str">
        <f>IF(org=0,"Не определено",org)</f>
        <v xml:space="preserve">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r="30" ht="14.25" hidden="1" customHeight="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r="31" s="1853" customFormat="1" ht="25.5" hidden="1" customHeight="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45841</v>
      </c>
      <c r="W32" s="2264"/>
      <c r="X32" s="2264"/>
      <c r="Y32" s="2264"/>
      <c r="Z32" s="2264"/>
      <c r="AA32" s="2264"/>
      <c r="AB32" s="2264"/>
      <c r="AC32" s="326"/>
      <c r="AD32" s="2264" t="str">
        <f>IF(TITLE_DATE_PR_CHANGE="",IF(TITLE_DATE_PR="","",TITLE_DATE_PR),TITLE_DATE_PR_CHANGE)</f>
        <v>45841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27-3420</v>
      </c>
      <c r="W33" s="2251"/>
      <c r="X33" s="2251"/>
      <c r="Y33" s="2251"/>
      <c r="Z33" s="2251"/>
      <c r="AA33" s="2251"/>
      <c r="AB33" s="2251"/>
      <c r="AC33" s="326"/>
      <c r="AD33" s="2251" t="str">
        <f>IF(TITLE_NUMBER_PR_CHANGE="",IF(TITLE_NUMBER_PR="","",TITLE_NUMBER_PR),TITLE_NUMBER_PR_CHANGE)</f>
        <v>27-3420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r="34" s="1853" customFormat="1" ht="18.75" hidden="1" customHeight="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r="35" ht="14.25" customHeight="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r="36" s="1853" customFormat="1" ht="18.75" customHeight="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45841</v>
      </c>
      <c r="W36" s="2264"/>
      <c r="X36" s="2264"/>
      <c r="Y36" s="2264"/>
      <c r="Z36" s="2264"/>
      <c r="AA36" s="2264"/>
      <c r="AB36" s="2264"/>
      <c r="AC36" s="326"/>
      <c r="AD36" s="2264" t="str">
        <f>IF(TITLE_DATE_PR_CHANGE="",IF(TITLE_DATE_PR="","",TITLE_DATE_PR),TITLE_DATE_PR_CHANGE)</f>
        <v>45841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r="37" s="1853" customFormat="1" ht="18.75" customHeight="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27-3420</v>
      </c>
      <c r="W37" s="2251"/>
      <c r="X37" s="2251"/>
      <c r="Y37" s="2251"/>
      <c r="Z37" s="2251"/>
      <c r="AA37" s="2251"/>
      <c r="AB37" s="2251"/>
      <c r="AC37" s="326"/>
      <c r="AD37" s="2251" t="str">
        <f>IF(TITLE_NUMBER_PR_CHANGE="",IF(TITLE_NUMBER_PR="","",TITLE_NUMBER_PR),TITLE_NUMBER_PR_CHANGE)</f>
        <v>27-3420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r="38" s="1853" customFormat="1" ht="0" customHeight="1">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r="39" ht="14.65" customHeight="1">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r="40" ht="14.65" customHeight="1">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r="41" ht="14.65" customHeight="1">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r="42" ht="35.649999999999999" customHeight="1">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r="43" ht="14.65" customHeight="1">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r="44" ht="14.65" customHeight="1">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r="45" s="1641" customFormat="1" ht="0" customHeight="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r="46" ht="22" customHeight="1">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 xml:space="preserve">Наименование тарифа</v>
      </c>
      <c r="BG46" s="500"/>
      <c r="BH46" s="500"/>
      <c r="BI46" s="1155">
        <v>21</v>
      </c>
    </row>
    <row r="47" ht="22" customHeight="1">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 xml:space="preserve">Территория действия тарифа</v>
      </c>
      <c r="BG47" s="500"/>
      <c r="BH47" s="500"/>
      <c r="BI47" s="1155">
        <v>21</v>
      </c>
    </row>
    <row r="48" ht="35.649999999999999" customHeight="1">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 xml:space="preserve">Наименование централизованной системы горячего водоснабжения</v>
      </c>
      <c r="BG48" s="500"/>
      <c r="BH48" s="500"/>
      <c r="BI48" s="1155">
        <v>34</v>
      </c>
    </row>
    <row r="49" s="1642" customFormat="1" ht="0" customHeight="1">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r="50" s="1642" customFormat="1" ht="0" customHeight="1">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r="51" s="1642" customFormat="1" ht="0" customHeight="1">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r="52" ht="11.5" customHeight="1">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r="53" ht="11.5" customHeight="1">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r="54" ht="11.5" customHeight="1">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r="55" ht="11.5" customHeight="1">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r="56" ht="11.5" customHeight="1">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r="57" ht="11.5" customHeight="1">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 xml:space="preserve">Добавить строку</v>
      </c>
      <c r="BG57" s="500"/>
      <c r="BH57" s="500"/>
      <c r="BI57" s="1155">
        <v>11</v>
      </c>
    </row>
    <row r="58" s="1642" customFormat="1" ht="0" customHeight="1">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r="59" s="1642" customFormat="1" ht="0" customHeight="1">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r="60" s="1642" customFormat="1" ht="0" customHeight="1">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r="61" s="1642" customFormat="1" ht="0" customHeight="1">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xml:space="preserve">Добавить централизованную систему для дифференциации</v>
      </c>
      <c r="BG61" s="789"/>
      <c r="BH61" s="789"/>
      <c r="BI61" s="518">
        <v>0</v>
      </c>
    </row>
    <row r="62" s="1642" customFormat="1" ht="0" customHeight="1">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 xml:space="preserve">Добавить территорию для дифференциации</v>
      </c>
      <c r="BG62" s="500"/>
      <c r="BH62" s="500"/>
      <c r="BI62" s="511">
        <v>0</v>
      </c>
    </row>
    <row r="63" s="1642" customFormat="1" ht="0" customHeight="1">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 xml:space="preserve">Добавить наименование тарифа</v>
      </c>
      <c r="BG63" s="789"/>
      <c r="BH63" s="789"/>
      <c r="BI63" s="518">
        <v>0</v>
      </c>
    </row>
    <row r="64" ht="11.5" customHeight="1">
      <c r="M64" s="1160"/>
      <c r="N64" s="1160"/>
      <c r="O64" s="537"/>
      <c r="P64" s="1160"/>
      <c r="Q64" s="1160"/>
      <c r="R64" s="1155"/>
      <c r="S64" s="1155"/>
      <c r="BD64" s="1155"/>
      <c r="BE64" s="1155"/>
      <c r="BF64" s="1155"/>
      <c r="BG64" s="1155"/>
      <c r="BH64" s="1155"/>
      <c r="BI64" s="1155">
        <v>11</v>
      </c>
    </row>
    <row r="65" ht="19.949999999999999" customHeight="1">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r="66" ht="14.65" customHeight="1">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r="67" ht="19.949999999999999" customHeight="1">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r="68" ht="14.65" customHeight="1">
      <c r="O68" s="537"/>
      <c r="BI68" s="1155">
        <v>14</v>
      </c>
    </row>
    <row r="69" ht="14.25" hidden="1" customHeight="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autoFilter="0" deleteColumns="1" deleteRows="1" formatColumns="0" formatRows="0" insertColumns="1" insertRows="1" sheet="1" sort="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CB007C-0088-452A-B356-001D00180054}"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800AA-005A-4225-97AE-00030034005D}"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6A0094-006E-4D67-9FFA-00AE00940071}"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6005F-0035-4392-A180-008900160009}"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20043-0036-4705-8302-00BA007D004D}"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defaultRowHeight="11.25" customHeight="1"/>
  <cols>
    <col customWidth="1" hidden="1" min="1" max="1" style="987" width="10.7109375"/>
    <col customWidth="1" hidden="1" min="2" max="2" style="1366" width="16.8515625"/>
    <col customWidth="1" hidden="1" min="3" max="3" style="1642" width="5.57421875"/>
    <col customWidth="1" min="4" max="4" style="1635" width="3.00390625"/>
    <col customWidth="1" min="5" max="5" style="1635" width="7.00390625"/>
    <col customWidth="1" min="6" max="6" style="1635" width="54.00390625"/>
    <col customWidth="1" min="7" max="7" style="1635" width="10.00390625"/>
    <col customWidth="1" hidden="1" min="8" max="8" style="1635" width="40.7109375"/>
    <col customWidth="1" min="9" max="9" style="1635" width="40.7109375"/>
    <col customWidth="1" min="10" max="10" style="1635" width="102.00390625"/>
    <col customWidth="1" min="11" max="11" style="1366" width="9.00390625"/>
    <col customWidth="1" min="12" max="12" style="1642" width="5.00390625"/>
    <col customWidth="1" min="13" max="13" style="1642" width="3.00390625"/>
    <col customWidth="1" min="14" max="17" style="1366" width="3.00390625"/>
    <col customWidth="1" min="18" max="18" style="1642" width="10.00390625"/>
    <col customWidth="1" min="19" max="19" style="1366" width="34.00390625"/>
    <col customWidth="1" min="20" max="20" style="1366" width="9.00390625"/>
    <col customWidth="1" min="21" max="21" style="736" width="8.00390625"/>
    <col customWidth="1" min="22" max="26" style="1366" width="8.00390625"/>
    <col customWidth="1" min="27" max="31" style="1632" width="8.00390625"/>
    <col hidden="1" min="32" max="32" style="1635" width="9.140625"/>
  </cols>
  <sheetData>
    <row r="1" ht="22.5" hidden="1" customHeight="1">
      <c r="AF1" s="1631" t="s">
        <v>14</v>
      </c>
    </row>
    <row r="2" ht="23.25" hidden="1" customHeight="1">
      <c r="B2" s="2099"/>
      <c r="C2" s="1167" t="s">
        <v>548</v>
      </c>
      <c r="D2" s="1638"/>
      <c r="E2" s="546">
        <f>B2</f>
        <v>0</v>
      </c>
      <c r="F2" s="547"/>
      <c r="G2" s="1646" t="s">
        <v>549</v>
      </c>
      <c r="H2" s="1646" t="s">
        <v>549</v>
      </c>
      <c r="I2" s="1646" t="s">
        <v>549</v>
      </c>
      <c r="J2" s="289" t="s">
        <v>550</v>
      </c>
      <c r="K2" s="543"/>
      <c r="AF2" s="1631">
        <v>0</v>
      </c>
    </row>
    <row r="3" s="1642" customFormat="1" ht="0.75" hidden="1" customHeight="1">
      <c r="B3" s="2099"/>
      <c r="C3" s="1167"/>
      <c r="D3" s="548"/>
      <c r="E3" s="549"/>
      <c r="F3" s="550" t="s">
        <v>551</v>
      </c>
      <c r="G3" s="551"/>
      <c r="H3" s="551">
        <f>H4*H5+H7</f>
        <v>0</v>
      </c>
      <c r="I3" s="551">
        <f>I4*I5+I6</f>
        <v>0</v>
      </c>
      <c r="J3" s="552"/>
      <c r="AF3" s="1636">
        <v>0</v>
      </c>
    </row>
    <row r="4" ht="23.25" hidden="1" customHeight="1">
      <c r="B4" s="2099"/>
      <c r="C4" s="1167"/>
      <c r="D4" s="1638"/>
      <c r="E4" s="546" t="str">
        <f>B2&amp;".1"</f>
        <v>.1</v>
      </c>
      <c r="F4" s="553" t="s">
        <v>552</v>
      </c>
      <c r="G4" s="554"/>
      <c r="H4" s="541"/>
      <c r="I4" s="541"/>
      <c r="J4" s="289" t="s">
        <v>553</v>
      </c>
      <c r="K4" s="543"/>
      <c r="AF4" s="1631">
        <v>0</v>
      </c>
    </row>
    <row r="5" ht="18.75" hidden="1" customHeight="1">
      <c r="B5" s="2099"/>
      <c r="C5" s="1167"/>
      <c r="D5" s="1638"/>
      <c r="E5" s="546" t="str">
        <f>B2&amp;".2"</f>
        <v>.2</v>
      </c>
      <c r="F5" s="553" t="s">
        <v>554</v>
      </c>
      <c r="G5" s="1646" t="s">
        <v>555</v>
      </c>
      <c r="H5" s="541"/>
      <c r="I5" s="541"/>
      <c r="J5" s="289"/>
      <c r="K5" s="543"/>
      <c r="AF5" s="1631">
        <v>0</v>
      </c>
    </row>
    <row r="6" ht="18.75" hidden="1" customHeight="1">
      <c r="B6" s="2099"/>
      <c r="C6" s="1167"/>
      <c r="D6" s="1638"/>
      <c r="E6" s="546" t="str">
        <f>B2&amp;".3"</f>
        <v>.3</v>
      </c>
      <c r="F6" s="553" t="s">
        <v>556</v>
      </c>
      <c r="G6" s="1646" t="s">
        <v>555</v>
      </c>
      <c r="H6" s="541"/>
      <c r="I6" s="541"/>
      <c r="J6" s="289"/>
      <c r="K6" s="543"/>
      <c r="AF6" s="1631">
        <v>0</v>
      </c>
    </row>
    <row r="7" ht="18.75" hidden="1" customHeight="1">
      <c r="B7" s="2099"/>
      <c r="C7" s="1167"/>
      <c r="D7" s="1638"/>
      <c r="E7" s="546" t="str">
        <f>B2&amp;".4"</f>
        <v>.4</v>
      </c>
      <c r="F7" s="553" t="s">
        <v>557</v>
      </c>
      <c r="G7" s="1646" t="s">
        <v>549</v>
      </c>
      <c r="H7" s="555"/>
      <c r="I7" s="555"/>
      <c r="J7" s="289"/>
      <c r="K7" s="543"/>
      <c r="AF7" s="1631">
        <v>0</v>
      </c>
    </row>
    <row r="8" s="1366" customFormat="1" ht="11.25" hidden="1" customHeight="1">
      <c r="A8" s="987"/>
      <c r="C8" s="1636"/>
      <c r="D8" s="537"/>
      <c r="H8" s="1160">
        <v>4</v>
      </c>
      <c r="I8" s="1160">
        <v>4</v>
      </c>
      <c r="L8" s="1636"/>
      <c r="M8" s="1636"/>
      <c r="R8" s="1636"/>
      <c r="AF8" s="1160">
        <v>0</v>
      </c>
    </row>
    <row r="9" s="1366" customFormat="1" ht="22.5" hidden="1" customHeight="1">
      <c r="A9" s="987"/>
      <c r="C9" s="1636"/>
      <c r="D9" s="538"/>
      <c r="E9" s="1648"/>
      <c r="F9" s="540"/>
      <c r="G9" s="1646" t="s">
        <v>555</v>
      </c>
      <c r="H9" s="541"/>
      <c r="I9" s="541"/>
      <c r="J9" s="542" t="s">
        <v>558</v>
      </c>
      <c r="K9" s="543"/>
      <c r="L9" s="1636"/>
      <c r="M9" s="1636"/>
      <c r="R9" s="1636"/>
      <c r="U9" s="544"/>
      <c r="AA9" s="1632"/>
      <c r="AB9" s="1632"/>
      <c r="AC9" s="1632"/>
      <c r="AD9" s="1632"/>
      <c r="AE9" s="1632"/>
      <c r="AF9" s="1160">
        <v>0</v>
      </c>
    </row>
    <row r="10" ht="11.25" hidden="1" customHeight="1">
      <c r="AF10" s="1631">
        <v>0</v>
      </c>
    </row>
    <row r="11" ht="18.75" hidden="1" customHeight="1">
      <c r="D11" s="1638"/>
      <c r="E11" s="546"/>
      <c r="F11" s="540"/>
      <c r="G11" s="1646" t="s">
        <v>559</v>
      </c>
      <c r="H11" s="541"/>
      <c r="I11" s="541"/>
      <c r="J11" s="289" t="s">
        <v>560</v>
      </c>
      <c r="K11" s="543"/>
      <c r="AF11" s="1631">
        <v>0</v>
      </c>
    </row>
    <row r="12" ht="11.25" hidden="1" customHeight="1">
      <c r="AF12" s="1631">
        <v>0</v>
      </c>
    </row>
    <row r="13" ht="22.5" hidden="1" customHeight="1">
      <c r="D13" s="1638"/>
      <c r="E13" s="546"/>
      <c r="F13" s="540"/>
      <c r="G13" s="969" t="s">
        <v>561</v>
      </c>
      <c r="H13" s="545"/>
      <c r="I13" s="545"/>
      <c r="J13" s="745" t="s">
        <v>562</v>
      </c>
      <c r="K13" s="543"/>
      <c r="AF13" s="1631">
        <v>0</v>
      </c>
    </row>
    <row r="14" ht="11.25" hidden="1" customHeight="1">
      <c r="AF14" s="1631">
        <v>0</v>
      </c>
    </row>
    <row r="15" ht="22.5" hidden="1" customHeight="1">
      <c r="D15" s="1638"/>
      <c r="E15" s="546"/>
      <c r="F15" s="540"/>
      <c r="G15" s="1646" t="s">
        <v>563</v>
      </c>
      <c r="H15" s="545"/>
      <c r="I15" s="545"/>
      <c r="J15" s="289" t="s">
        <v>564</v>
      </c>
      <c r="K15" s="543"/>
      <c r="AF15" s="1631">
        <v>0</v>
      </c>
    </row>
    <row r="16" ht="11.25" hidden="1" customHeight="1">
      <c r="AF16" s="1631">
        <v>0</v>
      </c>
    </row>
    <row r="17" ht="22.5" hidden="1" customHeight="1">
      <c r="D17" s="1638"/>
      <c r="E17" s="546"/>
      <c r="F17" s="540"/>
      <c r="G17" s="1646" t="s">
        <v>565</v>
      </c>
      <c r="H17" s="545"/>
      <c r="I17" s="545"/>
      <c r="J17" s="289" t="s">
        <v>566</v>
      </c>
      <c r="K17" s="543"/>
      <c r="AF17" s="1631">
        <v>0</v>
      </c>
    </row>
    <row r="18" ht="11.25" hidden="1" customHeight="1">
      <c r="AF18" s="1631">
        <v>0</v>
      </c>
    </row>
    <row r="19" s="1632" customFormat="1" ht="11.25" hidden="1" customHeight="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r="20" ht="11.5" customHeight="1">
      <c r="AF20" s="1631">
        <v>11</v>
      </c>
    </row>
    <row r="21" ht="25.199999999999999" customHeight="1">
      <c r="E21" s="2248"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r="22" ht="25.199999999999999" customHeight="1">
      <c r="E22" s="2249" t="str">
        <f>IF(org=0,"Не определено",org)</f>
        <v xml:space="preserve">АО "ДГК"</v>
      </c>
      <c r="F22" s="2249"/>
      <c r="G22" s="2249"/>
      <c r="H22" s="2249"/>
      <c r="I22" s="2249"/>
      <c r="AF22" s="1631">
        <v>24</v>
      </c>
    </row>
    <row r="23" ht="11.5" customHeight="1">
      <c r="E23" s="1135"/>
      <c r="F23" s="1135"/>
      <c r="G23" s="1135"/>
      <c r="H23" s="1135"/>
      <c r="I23" s="1135"/>
      <c r="AF23" s="1631">
        <v>11</v>
      </c>
    </row>
    <row r="24" s="1642" customFormat="1" ht="1.05" customHeight="1">
      <c r="A24" s="1167"/>
      <c r="D24" s="1642"/>
      <c r="H24" s="889"/>
      <c r="I24" s="889" t="s">
        <v>116</v>
      </c>
      <c r="AF24" s="1636">
        <v>1</v>
      </c>
    </row>
    <row r="25" ht="11.5" customHeight="1">
      <c r="E25" s="711"/>
      <c r="F25" s="2367" t="s">
        <v>104</v>
      </c>
      <c r="G25" s="2368"/>
      <c r="H25" s="1652" t="str">
        <f>IF(H24="","",INDEX(DIFFERENTIATION_UNMERGE_VD,MATCH(H24,DIFFERENTIATION_ID_DIFF,0)))</f>
        <v/>
      </c>
      <c r="I25" s="1652">
        <f>IF(I24="","",INDEX(DIFFERENTIATION_UNMERGE_VD,MATCH(I24,DIFFERENTIATION_ID_DIFF,0)))</f>
        <v>0</v>
      </c>
      <c r="J25" s="2127"/>
      <c r="AF25" s="1631">
        <v>11</v>
      </c>
    </row>
    <row r="26" ht="11.5" customHeight="1">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r="27" ht="11.5" customHeight="1">
      <c r="E27" s="711"/>
      <c r="F27" s="2367" t="s">
        <v>568</v>
      </c>
      <c r="G27" s="2368"/>
      <c r="H27" s="1652" t="str">
        <f>IF(H24="","",INDEX(DIFFERENTIATION_UNMERGE_SYSTEM,MATCH(H24,DIFFERENTIATION_ID_DIFF,0)))</f>
        <v/>
      </c>
      <c r="I27" s="1652" t="str">
        <f>IF(I24="","",INDEX(DIFFERENTIATION_UNMERGE_SYSTEM,MATCH(I24,DIFFERENTIATION_ID_DIFF,0)))</f>
        <v xml:space="preserve">без дифференциации</v>
      </c>
      <c r="J27" s="2127"/>
      <c r="AF27" s="1631">
        <v>11</v>
      </c>
    </row>
    <row r="28" ht="11.5" customHeight="1">
      <c r="E28" s="2369" t="s">
        <v>304</v>
      </c>
      <c r="F28" s="2370"/>
      <c r="G28" s="2370"/>
      <c r="H28" s="1645"/>
      <c r="I28" s="1645"/>
      <c r="J28" s="2127"/>
      <c r="AF28" s="1631">
        <v>11</v>
      </c>
    </row>
    <row r="29" ht="24" customHeight="1">
      <c r="E29" s="1646" t="s">
        <v>88</v>
      </c>
      <c r="F29" s="1653" t="s">
        <v>306</v>
      </c>
      <c r="G29" s="1653" t="s">
        <v>569</v>
      </c>
      <c r="H29" s="1653" t="s">
        <v>307</v>
      </c>
      <c r="I29" s="1653" t="s">
        <v>307</v>
      </c>
      <c r="J29" s="2127"/>
      <c r="AF29" s="1631">
        <v>23</v>
      </c>
    </row>
    <row r="30" ht="19.949999999999999" customHeight="1">
      <c r="D30" s="1638"/>
      <c r="E30" s="546">
        <f>FHD_NUM_P_1</f>
        <v>1</v>
      </c>
      <c r="F30" s="1880" t="str">
        <f>FHD_P_1</f>
        <v xml:space="preserve">Выручка от регулируемого вида деятельности с распределением по видам деятельности</v>
      </c>
      <c r="G30" s="1878" t="s">
        <v>555</v>
      </c>
      <c r="H30" s="557"/>
      <c r="I30" s="557"/>
      <c r="J30" s="289" t="str">
        <f>FHD_NOTE_P_1</f>
        <v xml:space="preserve">Указывается выручка от регулируемого вида деятельности с распределением по видам деятельности.</v>
      </c>
      <c r="K30" s="543"/>
      <c r="AF30" s="1631">
        <v>19</v>
      </c>
    </row>
    <row r="31" ht="11.5" customHeight="1">
      <c r="D31" s="1638"/>
      <c r="E31" s="546">
        <f>FHD_NUM_P_2</f>
        <v>2</v>
      </c>
      <c r="F31" s="1880" t="str">
        <f>FHD_P_2</f>
        <v xml:space="preserve">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 xml:space="preserve">Указывается суммарная себестоимость производимых товаров.</v>
      </c>
      <c r="K31" s="1636" t="s">
        <v>570</v>
      </c>
      <c r="AF31" s="1631">
        <v>11</v>
      </c>
    </row>
    <row r="32" ht="11.5" customHeight="1">
      <c r="D32" s="1638"/>
      <c r="E32" s="546" t="str">
        <f>FHD_NUM_P_3</f>
        <v>2.1</v>
      </c>
      <c r="F32" s="1524" t="str">
        <f>FHD_P_3</f>
        <v xml:space="preserve">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r="33" ht="11.25" customHeight="1">
      <c r="A33" s="2371" t="s">
        <v>571</v>
      </c>
      <c r="D33" s="1638"/>
      <c r="E33" s="546" t="str">
        <f>FHD_NUM_P_4</f>
        <v>2.2</v>
      </c>
      <c r="F33" s="1524"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 xml:space="preserve">Указываются суммарные расходы на приобретение топлива всех видов.</v>
      </c>
      <c r="K33" s="1636" t="str">
        <f>IF((LEN(E33)-LEN(SUBSTITUTE(E33,".","")))/LEN(".")=1,"p","")</f>
        <v>p</v>
      </c>
      <c r="AF33" s="1631">
        <v>0</v>
      </c>
    </row>
    <row r="34" s="1641" customFormat="1" ht="0.75" customHeight="1">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r="35" s="1641" customFormat="1" ht="0.75" customHeight="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r="36" s="1641" customFormat="1" ht="0.75" customHeight="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r="37" s="1641" customFormat="1" ht="0.75" customHeight="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r="38" s="1641" customFormat="1" ht="0.75" customHeight="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r="39" s="1641" customFormat="1" ht="0.75" customHeight="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r="40" s="1366" customFormat="1" ht="15" customHeight="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r="41" ht="11.25" hidden="1" customHeight="1">
      <c r="A41" s="2371" t="s">
        <v>573</v>
      </c>
      <c r="D41" s="1638"/>
      <c r="E41" s="546" t="str">
        <f>FHD_NUM_P_5</f>
        <v/>
      </c>
      <c r="F41" s="1524" t="str">
        <f>FHD_P_5</f>
        <v/>
      </c>
      <c r="G41" s="1878" t="s">
        <v>555</v>
      </c>
      <c r="H41" s="557"/>
      <c r="I41" s="557"/>
      <c r="J41" s="289" t="str">
        <f>FHD_NOTE_P_5</f>
        <v/>
      </c>
      <c r="K41" s="1636" t="str">
        <f>IF((LEN(E41)-LEN(SUBSTITUTE(E41,".","")))/LEN(".")=1,"p","")</f>
        <v/>
      </c>
      <c r="AF41" s="1631">
        <v>0</v>
      </c>
    </row>
    <row r="42" ht="11.25" hidden="1" customHeight="1">
      <c r="A42" s="2371"/>
      <c r="D42" s="1638"/>
      <c r="E42" s="546" t="str">
        <f>FHD_NUM_P_6</f>
        <v/>
      </c>
      <c r="F42" s="1524" t="str">
        <f>FHD_P_6</f>
        <v/>
      </c>
      <c r="G42" s="1878" t="s">
        <v>555</v>
      </c>
      <c r="H42" s="557"/>
      <c r="I42" s="557"/>
      <c r="J42" s="289" t="str">
        <f>FHD_NOTE_P_6</f>
        <v/>
      </c>
      <c r="K42" s="1636" t="str">
        <f>IF((LEN(E42)-LEN(SUBSTITUTE(E42,".","")))/LEN(".")=1,"p","")</f>
        <v/>
      </c>
      <c r="AF42" s="1631">
        <v>0</v>
      </c>
    </row>
    <row r="43" ht="11.25" hidden="1" customHeight="1">
      <c r="A43" s="2371"/>
      <c r="D43" s="1638"/>
      <c r="E43" s="546" t="str">
        <f>FHD_NUM_P_7</f>
        <v/>
      </c>
      <c r="F43" s="1524" t="str">
        <f>FHD_P_7</f>
        <v/>
      </c>
      <c r="G43" s="1878" t="s">
        <v>555</v>
      </c>
      <c r="H43" s="557"/>
      <c r="I43" s="557"/>
      <c r="J43" s="289" t="str">
        <f>FHD_NOTE_P_7</f>
        <v/>
      </c>
      <c r="K43" s="1636" t="str">
        <f>IF((LEN(E43)-LEN(SUBSTITUTE(E43,".","")))/LEN(".")=1,"p","")</f>
        <v/>
      </c>
      <c r="AF43" s="1631">
        <v>0</v>
      </c>
    </row>
    <row r="44" ht="11.5" customHeight="1">
      <c r="D44" s="1638"/>
      <c r="E44" s="546" t="str">
        <f>FHD_NUM_P_8</f>
        <v>2.3</v>
      </c>
      <c r="F44" s="1524" t="str">
        <f>FHD_P_8</f>
        <v xml:space="preserve">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r="45" ht="11.5" customHeight="1">
      <c r="D45" s="1638"/>
      <c r="E45" s="546" t="str">
        <f>FHD_NUM_P_9</f>
        <v>2.3.1</v>
      </c>
      <c r="F45" s="1650" t="str">
        <f>FHD_P_9</f>
        <v xml:space="preserve">Средневзвешенная стоимость 1 кВт.ч (с учетом мощности)</v>
      </c>
      <c r="G45" s="1878" t="s">
        <v>574</v>
      </c>
      <c r="H45" s="557"/>
      <c r="I45" s="557"/>
      <c r="J45" s="289" t="str">
        <f>FHD_NOTE_P_9</f>
        <v/>
      </c>
      <c r="K45" s="1636" t="str">
        <f>IF((LEN(E45)-LEN(SUBSTITUTE(E45,".","")))/LEN(".")=1,"p","")</f>
        <v/>
      </c>
      <c r="AF45" s="1631">
        <v>11</v>
      </c>
    </row>
    <row r="46" s="1366" customFormat="1" ht="11.5" customHeight="1">
      <c r="A46" s="987"/>
      <c r="C46" s="1636"/>
      <c r="D46" s="574"/>
      <c r="E46" s="546" t="str">
        <f>FHD_NUM_P_10</f>
        <v>2.3.2</v>
      </c>
      <c r="F46" s="1650" t="str">
        <f>FHD_P_10</f>
        <v xml:space="preserve">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r="47" s="1366" customFormat="1" ht="11.25" customHeight="1">
      <c r="A47" s="989" t="s">
        <v>576</v>
      </c>
      <c r="C47" s="1636"/>
      <c r="D47" s="575"/>
      <c r="E47" s="546" t="str">
        <f>FHD_NUM_P_11</f>
        <v>2.4</v>
      </c>
      <c r="F47" s="1524" t="str">
        <f>FHD_P_11</f>
        <v xml:space="preserve">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r="48" s="1366" customFormat="1" ht="18.75" customHeight="1">
      <c r="A48" s="989" t="s">
        <v>577</v>
      </c>
      <c r="C48" s="1636"/>
      <c r="D48" s="1638"/>
      <c r="E48" s="546" t="str">
        <f>FHD_NUM_P_12</f>
        <v>2.5</v>
      </c>
      <c r="F48" s="1524" t="str">
        <f>FHD_P_12</f>
        <v xml:space="preserve">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r="49" s="1365" customFormat="1" ht="11.5" customHeight="1">
      <c r="A49" s="988"/>
      <c r="C49" s="730"/>
      <c r="D49" s="673"/>
      <c r="E49" s="546" t="str">
        <f>FHD_NUM_P_13</f>
        <v>2.6</v>
      </c>
      <c r="F49" s="1524"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r="50" s="1365" customFormat="1" ht="11.5" customHeight="1">
      <c r="A50" s="988"/>
      <c r="C50" s="730"/>
      <c r="D50" s="673"/>
      <c r="E50" s="546" t="str">
        <f>FHD_NUM_P_14</f>
        <v>2.6.1</v>
      </c>
      <c r="F50" s="1650" t="str">
        <f>FHD_P_14</f>
        <v xml:space="preserve">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r="51" s="1365" customFormat="1" ht="11.5" customHeight="1">
      <c r="A51" s="988"/>
      <c r="C51" s="730"/>
      <c r="D51" s="673"/>
      <c r="E51" s="546" t="str">
        <f>FHD_NUM_P_15</f>
        <v>2.6.2</v>
      </c>
      <c r="F51" s="1650"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r="52" s="1366" customFormat="1" ht="11.5" customHeight="1">
      <c r="A52" s="987"/>
      <c r="C52" s="1636"/>
      <c r="D52" s="1638"/>
      <c r="E52" s="546" t="str">
        <f>FHD_NUM_P_16</f>
        <v>2.7</v>
      </c>
      <c r="F52" s="1524"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r="53" s="1366" customFormat="1" ht="11.5" customHeight="1">
      <c r="A53" s="987"/>
      <c r="C53" s="1636"/>
      <c r="D53" s="1638"/>
      <c r="E53" s="546" t="str">
        <f>FHD_NUM_P_17</f>
        <v>2.7.1</v>
      </c>
      <c r="F53" s="1650" t="str">
        <f>FHD_P_17</f>
        <v xml:space="preserve">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r="54" s="1366" customFormat="1" ht="11.5" customHeight="1">
      <c r="A54" s="987"/>
      <c r="C54" s="1636"/>
      <c r="D54" s="1638"/>
      <c r="E54" s="546" t="str">
        <f>FHD_NUM_P_18</f>
        <v>2.7.2</v>
      </c>
      <c r="F54" s="1650"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r="55" s="1366" customFormat="1" ht="11.5" customHeight="1">
      <c r="A55" s="987"/>
      <c r="C55" s="1636"/>
      <c r="D55" s="575"/>
      <c r="E55" s="546" t="str">
        <f>FHD_NUM_P_19</f>
        <v>2.8</v>
      </c>
      <c r="F55" s="1524" t="str">
        <f>FHD_P_19</f>
        <v xml:space="preserve">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r="56" s="1366" customFormat="1" ht="11.5" customHeight="1">
      <c r="A56" s="987"/>
      <c r="C56" s="1636"/>
      <c r="D56" s="575"/>
      <c r="E56" s="546" t="str">
        <f>FHD_NUM_P_20</f>
        <v>2.8.1</v>
      </c>
      <c r="F56" s="1650" t="str">
        <f>FHD_P_20</f>
        <v xml:space="preserve">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r="57" s="1366" customFormat="1" ht="11.5" customHeight="1">
      <c r="A57" s="987"/>
      <c r="C57" s="1636"/>
      <c r="D57" s="575"/>
      <c r="E57" s="546" t="str">
        <f>FHD_NUM_P_21</f>
        <v>2.8.2</v>
      </c>
      <c r="F57" s="1650" t="str">
        <f>FHD_P_21</f>
        <v xml:space="preserve">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r="58" s="1366" customFormat="1" ht="11.5" customHeight="1">
      <c r="A58" s="987"/>
      <c r="C58" s="1636"/>
      <c r="D58" s="1638"/>
      <c r="E58" s="546" t="str">
        <f>FHD_NUM_P_22</f>
        <v>2.9</v>
      </c>
      <c r="F58" s="1524" t="str">
        <f>FHD_P_22</f>
        <v xml:space="preserve">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r="59" s="1366" customFormat="1" ht="11.5" customHeight="1">
      <c r="A59" s="987"/>
      <c r="C59" s="1636"/>
      <c r="D59" s="575"/>
      <c r="E59" s="546" t="str">
        <f>FHD_NUM_P_23</f>
        <v>2.10</v>
      </c>
      <c r="F59" s="1524" t="str">
        <f>FHD_P_23</f>
        <v xml:space="preserve">Общепроизводственные расходы, в том числе:</v>
      </c>
      <c r="G59" s="1878" t="s">
        <v>555</v>
      </c>
      <c r="H59" s="557"/>
      <c r="I59" s="557"/>
      <c r="J59" s="289" t="str">
        <f>FHD_NOTE_P_23</f>
        <v xml:space="preserve">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r="60" s="1366" customFormat="1" ht="11.5" customHeight="1">
      <c r="A60" s="987"/>
      <c r="C60" s="1636"/>
      <c r="D60" s="575"/>
      <c r="E60" s="546" t="str">
        <f>FHD_NUM_P_24</f>
        <v>2.10.1</v>
      </c>
      <c r="F60" s="1650" t="str">
        <f>FHD_P_24</f>
        <v xml:space="preserve">Расходы на текущий ремонт</v>
      </c>
      <c r="G60" s="1878" t="s">
        <v>555</v>
      </c>
      <c r="H60" s="557"/>
      <c r="I60" s="557"/>
      <c r="J60" s="289" t="str">
        <f>FHD_NOTE_P_24</f>
        <v xml:space="preserve">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r="61" s="1366" customFormat="1" ht="11.5" customHeight="1">
      <c r="A61" s="987"/>
      <c r="C61" s="1636"/>
      <c r="D61" s="575"/>
      <c r="E61" s="546" t="str">
        <f>FHD_NUM_P_25</f>
        <v>2.10.2</v>
      </c>
      <c r="F61" s="1650" t="str">
        <f>FHD_P_25</f>
        <v xml:space="preserve">Расходы на капитальный ремонт</v>
      </c>
      <c r="G61" s="1878" t="s">
        <v>555</v>
      </c>
      <c r="H61" s="557"/>
      <c r="I61" s="557"/>
      <c r="J61" s="289" t="str">
        <f>FHD_NOTE_P_25</f>
        <v xml:space="preserve">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r="62" s="1366" customFormat="1" ht="11.5" customHeight="1">
      <c r="A62" s="987"/>
      <c r="C62" s="1636"/>
      <c r="D62" s="1638"/>
      <c r="E62" s="546" t="str">
        <f>FHD_NUM_P_26</f>
        <v>2.11</v>
      </c>
      <c r="F62" s="1524" t="str">
        <f>FHD_P_26</f>
        <v xml:space="preserve">Общехозяйственные расходы, в том числе:</v>
      </c>
      <c r="G62" s="1878" t="s">
        <v>555</v>
      </c>
      <c r="H62" s="557"/>
      <c r="I62" s="557"/>
      <c r="J62" s="289" t="str">
        <f>FHD_NOTE_P_26</f>
        <v xml:space="preserve">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r="63" s="1366" customFormat="1" ht="11.5" customHeight="1">
      <c r="A63" s="987"/>
      <c r="C63" s="1636"/>
      <c r="D63" s="1638"/>
      <c r="E63" s="546" t="str">
        <f>FHD_NUM_P_27</f>
        <v>2.11.1</v>
      </c>
      <c r="F63" s="1650" t="str">
        <f>FHD_P_27</f>
        <v xml:space="preserve">Расходы на текущий ремонт</v>
      </c>
      <c r="G63" s="1878" t="s">
        <v>555</v>
      </c>
      <c r="H63" s="557"/>
      <c r="I63" s="557"/>
      <c r="J63" s="289" t="str">
        <f>FHD_NOTE_P_27</f>
        <v xml:space="preserve">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r="64" s="1366" customFormat="1" ht="11.5" customHeight="1">
      <c r="A64" s="987"/>
      <c r="C64" s="1636"/>
      <c r="D64" s="1638"/>
      <c r="E64" s="546" t="str">
        <f>FHD_NUM_P_28</f>
        <v>2.11.2</v>
      </c>
      <c r="F64" s="1650" t="str">
        <f>FHD_P_28</f>
        <v xml:space="preserve">Расходы на капитальный ремонт</v>
      </c>
      <c r="G64" s="1878" t="s">
        <v>555</v>
      </c>
      <c r="H64" s="557"/>
      <c r="I64" s="557"/>
      <c r="J64" s="289" t="str">
        <f>FHD_NOTE_P_28</f>
        <v xml:space="preserve">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r="65" s="1366" customFormat="1" ht="11.5" customHeight="1">
      <c r="A65" s="987"/>
      <c r="C65" s="1636"/>
      <c r="D65" s="1638"/>
      <c r="E65" s="546" t="str">
        <f>FHD_NUM_P_29</f>
        <v>2.12</v>
      </c>
      <c r="F65" s="1524" t="str">
        <f>FHD_P_29</f>
        <v xml:space="preserve">Расходы на капитальный и текущий ремонт основных средств</v>
      </c>
      <c r="G65" s="1878" t="s">
        <v>555</v>
      </c>
      <c r="H65" s="557"/>
      <c r="I65" s="557"/>
      <c r="J65" s="289"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r="66" s="1366" customFormat="1" ht="11.5" customHeight="1">
      <c r="A66" s="987"/>
      <c r="C66" s="1636"/>
      <c r="D66" s="1638"/>
      <c r="E66" s="546" t="str">
        <f>FHD_NUM_P_30</f>
        <v>2.12.1</v>
      </c>
      <c r="F66" s="1650"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r="67" s="1366" customFormat="1" ht="23.25" hidden="1" customHeight="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r="68" s="1366" customFormat="1" ht="47.25" hidden="1" customHeight="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r="69" s="1366" customFormat="1" ht="11.5" customHeight="1">
      <c r="A69" s="987"/>
      <c r="C69" s="1636"/>
      <c r="D69" s="1638"/>
      <c r="E69" s="546" t="str">
        <f>FHD_NUM_P_33</f>
        <v>2.13</v>
      </c>
      <c r="F69" s="1524"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r="70" s="1642" customFormat="1" ht="1.05" customHeight="1">
      <c r="A70" s="1167"/>
      <c r="D70" s="548"/>
      <c r="E70" s="1013" t="str">
        <f>E69&amp;".0"</f>
        <v>2.13.0</v>
      </c>
      <c r="F70" s="991"/>
      <c r="G70" s="1013"/>
      <c r="H70" s="992"/>
      <c r="I70" s="992"/>
      <c r="J70" s="993"/>
      <c r="K70" s="1636" t="str">
        <f>IF((LEN(E70)-LEN(SUBSTITUTE(E70,".","")))/LEN(".")=1,"p","")</f>
        <v/>
      </c>
      <c r="AF70" s="1636">
        <v>1</v>
      </c>
    </row>
    <row r="71" s="1366" customFormat="1" ht="14.65" customHeight="1">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r="72" s="1366" customFormat="1" ht="18.75" customHeight="1">
      <c r="A72" s="989" t="s">
        <v>581</v>
      </c>
      <c r="C72" s="1636"/>
      <c r="D72" s="1638"/>
      <c r="E72" s="546" t="str">
        <f>FHD_NUM_P_34</f>
        <v>3</v>
      </c>
      <c r="F72" s="1880" t="str">
        <f>FHD_P_34</f>
        <v xml:space="preserve">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r="73" s="1366" customFormat="1" ht="19.949999999999999" customHeight="1">
      <c r="A73" s="987"/>
      <c r="C73" s="1636"/>
      <c r="D73" s="575"/>
      <c r="E73" s="546" t="str">
        <f>FHD_NUM_P_35</f>
        <v>4</v>
      </c>
      <c r="F73" s="1880" t="str">
        <f>FHD_P_35</f>
        <v xml:space="preserve">Чистая прибыль, полученная от регулируемого вида деятельности, в том числе:</v>
      </c>
      <c r="G73" s="1878" t="s">
        <v>555</v>
      </c>
      <c r="H73" s="557"/>
      <c r="I73" s="557"/>
      <c r="J73" s="289" t="str">
        <f>FHD_NOTE_P_35</f>
        <v xml:space="preserve">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r="74" s="1366" customFormat="1" ht="19.949999999999999" customHeight="1">
      <c r="A74" s="987"/>
      <c r="C74" s="1636"/>
      <c r="D74" s="1638"/>
      <c r="E74" s="546" t="str">
        <f>FHD_NUM_P_36</f>
        <v>4.1</v>
      </c>
      <c r="F74" s="1524"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r="75" s="1366" customFormat="1" ht="19.949999999999999" customHeight="1">
      <c r="A75" s="987"/>
      <c r="C75" s="1636"/>
      <c r="D75" s="1638"/>
      <c r="E75" s="546" t="str">
        <f>FHD_NUM_P_37</f>
        <v>5</v>
      </c>
      <c r="F75" s="1880" t="str">
        <f>FHD_P_37</f>
        <v xml:space="preserve">Изменение стоимости основных фондов, в том числе:</v>
      </c>
      <c r="G75" s="1878" t="s">
        <v>555</v>
      </c>
      <c r="H75" s="557"/>
      <c r="I75" s="557"/>
      <c r="J75" s="289" t="str">
        <f>FHD_NOTE_P_37</f>
        <v xml:space="preserve">Указывается общее изменение стоимости основных фондов.</v>
      </c>
      <c r="K75" s="543"/>
      <c r="L75" s="1636"/>
      <c r="M75" s="1636"/>
      <c r="R75" s="1636"/>
      <c r="U75" s="544"/>
      <c r="AA75" s="1632"/>
      <c r="AB75" s="1632"/>
      <c r="AC75" s="1632"/>
      <c r="AD75" s="1632"/>
      <c r="AE75" s="1632"/>
      <c r="AF75" s="1160">
        <v>19</v>
      </c>
    </row>
    <row r="76" s="1366" customFormat="1" ht="19.949999999999999" customHeight="1">
      <c r="A76" s="987"/>
      <c r="C76" s="1636"/>
      <c r="D76" s="1638"/>
      <c r="E76" s="546" t="str">
        <f>FHD_NUM_P_38</f>
        <v>5.1</v>
      </c>
      <c r="F76" s="1524" t="str">
        <f>FHD_P_38</f>
        <v xml:space="preserve">Изменение стоимости основных фондов за счет:</v>
      </c>
      <c r="G76" s="1878" t="s">
        <v>555</v>
      </c>
      <c r="H76" s="557"/>
      <c r="I76" s="557"/>
      <c r="J76" s="289" t="str">
        <f>FHD_NOTE_P_38</f>
        <v xml:space="preserve">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r="77" s="1366" customFormat="1" ht="19.949999999999999" customHeight="1">
      <c r="A77" s="987"/>
      <c r="C77" s="1636"/>
      <c r="D77" s="1638"/>
      <c r="E77" s="546" t="str">
        <f>FHD_NUM_P_39</f>
        <v>5.1.1</v>
      </c>
      <c r="F77" s="1650" t="str">
        <f>FHD_P_39</f>
        <v xml:space="preserve">Изменения стоимости основных фондов за счет их ввода в эксплуатацию</v>
      </c>
      <c r="G77" s="2072" t="s">
        <v>555</v>
      </c>
      <c r="H77" s="557"/>
      <c r="I77" s="557"/>
      <c r="J77" s="289" t="str">
        <f>FHD_NOTE_P_39</f>
        <v xml:space="preserve">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r="78" s="1366" customFormat="1" ht="19.949999999999999" customHeight="1">
      <c r="A78" s="987"/>
      <c r="C78" s="1636"/>
      <c r="D78" s="1638"/>
      <c r="E78" s="546" t="str">
        <f>FHD_NUM_P_40</f>
        <v>5.1.2</v>
      </c>
      <c r="F78" s="2076" t="str">
        <f>FHD_P_40</f>
        <v xml:space="preserve">Изменения стоимости основных фондов за счет их вывода в эксплуатацию</v>
      </c>
      <c r="G78" s="2071" t="s">
        <v>555</v>
      </c>
      <c r="H78" s="976"/>
      <c r="I78" s="557"/>
      <c r="J78" s="289" t="str">
        <f>FHD_NOTE_P_40</f>
        <v xml:space="preserve">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r="79" s="1366" customFormat="1" ht="19.949999999999999" customHeight="1">
      <c r="A79" s="987"/>
      <c r="C79" s="1636"/>
      <c r="D79" s="1638"/>
      <c r="E79" s="546" t="str">
        <f>FHD_NUM_P_41</f>
        <v>5.2</v>
      </c>
      <c r="F79" s="2075" t="str">
        <f>FHD_P_41</f>
        <v xml:space="preserve">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r="80" s="1366" customFormat="1" ht="19.949999999999999" hidden="1" customHeight="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r="81" s="1366" customFormat="1" ht="19.949999999999999" customHeight="1">
      <c r="A81" s="987"/>
      <c r="C81" s="1636"/>
      <c r="D81" s="1638"/>
      <c r="E81" s="546" t="str">
        <f>FHD_NUM_P_43</f>
        <v>6</v>
      </c>
      <c r="F81" s="1880" t="str">
        <f>FHD_P_43</f>
        <v xml:space="preserve">Годовая бухгалтерская (финансовая) отчетность, включая бухгалтерский баланс и приложения к нему</v>
      </c>
      <c r="G81" s="2074" t="s">
        <v>310</v>
      </c>
      <c r="H81" s="1055"/>
      <c r="I81" s="818"/>
      <c r="J81" s="289"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r="82" s="1366" customFormat="1" ht="18.75" hidden="1" customHeight="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r="83" s="1366" customFormat="1" ht="18.75" hidden="1" customHeight="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r="84" s="1366" customFormat="1" ht="18.75" hidden="1" customHeight="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r="85" s="1366" customFormat="1" ht="18.75" hidden="1" customHeight="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r="86" s="1635" customFormat="1" ht="18.75" hidden="1" customHeight="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r="87" s="1635" customFormat="1" ht="18.75" hidden="1" customHeight="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r="88" s="1635" customFormat="1" ht="18.75" hidden="1" customHeight="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r="89" s="1635" customFormat="1" ht="18.75" hidden="1" customHeight="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r="90" s="1635" customFormat="1" ht="18.75" hidden="1" customHeight="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r="91" s="1366" customFormat="1" ht="18.75" hidden="1" customHeight="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r="92" s="1366" customFormat="1" ht="18.75" hidden="1" customHeight="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r="93" s="1366" customFormat="1" ht="18.75" hidden="1" customHeight="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r="94" s="1366" customFormat="1" ht="18.75" hidden="1" customHeight="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r="95" s="1635" customFormat="1" ht="18.75" hidden="1" customHeight="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r="96" ht="18.75" hidden="1" customHeight="1">
      <c r="A96" s="2371" t="s">
        <v>587</v>
      </c>
      <c r="D96" s="1638"/>
      <c r="E96" s="546" t="str">
        <f>FHD_NUM_P_58</f>
        <v/>
      </c>
      <c r="F96" s="1880" t="str">
        <f>FHD_P_58</f>
        <v/>
      </c>
      <c r="G96" s="1881" t="s">
        <v>584</v>
      </c>
      <c r="H96" s="977"/>
      <c r="I96" s="577"/>
      <c r="J96" s="289" t="str">
        <f>FHD_NOTE_P_58</f>
        <v/>
      </c>
      <c r="K96" s="543"/>
      <c r="AF96" s="1631">
        <v>0</v>
      </c>
    </row>
    <row r="97" ht="18.75" hidden="1" customHeight="1">
      <c r="A97" s="2371"/>
      <c r="D97" s="1638"/>
      <c r="E97" s="546" t="str">
        <f>FHD_NUM_P_59</f>
        <v/>
      </c>
      <c r="F97" s="1880" t="str">
        <f>FHD_P_59</f>
        <v/>
      </c>
      <c r="G97" s="1881" t="s">
        <v>584</v>
      </c>
      <c r="H97" s="977"/>
      <c r="I97" s="577"/>
      <c r="J97" s="289" t="str">
        <f>FHD_NOTE_P_59</f>
        <v/>
      </c>
      <c r="K97" s="543"/>
      <c r="AF97" s="1631">
        <v>0</v>
      </c>
    </row>
    <row r="98" ht="18.75" hidden="1" customHeight="1">
      <c r="A98" s="2371"/>
      <c r="D98" s="1638"/>
      <c r="E98" s="546" t="str">
        <f>FHD_NUM_P_60</f>
        <v/>
      </c>
      <c r="F98" s="1880" t="str">
        <f>FHD_P_60</f>
        <v/>
      </c>
      <c r="G98" s="1881" t="s">
        <v>584</v>
      </c>
      <c r="H98" s="977"/>
      <c r="I98" s="577"/>
      <c r="J98" s="289" t="str">
        <f>FHD_NOTE_P_60</f>
        <v/>
      </c>
      <c r="K98" s="543"/>
      <c r="AF98" s="1631">
        <v>0</v>
      </c>
    </row>
    <row r="99" s="1366" customFormat="1" ht="18.75" customHeight="1">
      <c r="A99" s="2371" t="s">
        <v>588</v>
      </c>
      <c r="C99" s="1636"/>
      <c r="D99" s="1638"/>
      <c r="E99" s="546" t="str">
        <f>FHD_NUM_P_61</f>
        <v>7</v>
      </c>
      <c r="F99" s="1880"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r="100" s="1642" customFormat="1" ht="0.75" customHeight="1">
      <c r="A100" s="2371"/>
      <c r="D100" s="548"/>
      <c r="E100" s="1013" t="str">
        <f>E99&amp;".0"</f>
        <v>7.0</v>
      </c>
      <c r="F100" s="994"/>
      <c r="G100" s="995"/>
      <c r="H100" s="992"/>
      <c r="I100" s="992"/>
      <c r="J100" s="996"/>
      <c r="AF100" s="1636">
        <v>0</v>
      </c>
    </row>
    <row r="101" ht="15" customHeight="1">
      <c r="A101" s="2371"/>
      <c r="D101" s="1633"/>
      <c r="E101" s="971"/>
      <c r="F101" s="972" t="s">
        <v>589</v>
      </c>
      <c r="G101" s="572"/>
      <c r="H101" s="573"/>
      <c r="I101" s="573"/>
      <c r="J101" s="1004" t="s">
        <v>590</v>
      </c>
      <c r="K101" s="543"/>
      <c r="AF101" s="1631">
        <v>0</v>
      </c>
    </row>
    <row r="102" s="1366" customFormat="1" ht="18.75" customHeight="1">
      <c r="A102" s="2371"/>
      <c r="C102" s="1636"/>
      <c r="D102" s="1638"/>
      <c r="E102" s="546" t="str">
        <f>FHD_NUM_P_62</f>
        <v>8</v>
      </c>
      <c r="F102" s="1880" t="str">
        <f>FHD_P_62</f>
        <v xml:space="preserve">Тепловая нагрузка по договорам, заключенным в рамках осуществления регулируемых видов деятельности</v>
      </c>
      <c r="G102" s="1877" t="s">
        <v>559</v>
      </c>
      <c r="H102" s="557"/>
      <c r="I102" s="557"/>
      <c r="J102" s="289"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r="103" s="1366" customFormat="1" ht="18.75" customHeight="1">
      <c r="A103" s="2371"/>
      <c r="C103" s="1636"/>
      <c r="D103" s="1638"/>
      <c r="E103" s="546" t="str">
        <f>FHD_NUM_P_63</f>
        <v>9</v>
      </c>
      <c r="F103" s="1880" t="str">
        <f>FHD_P_63</f>
        <v xml:space="preserve">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r="104" s="1366" customFormat="1" ht="18.75" customHeight="1">
      <c r="A104" s="2371"/>
      <c r="C104" s="1636" t="s">
        <v>591</v>
      </c>
      <c r="D104" s="1638"/>
      <c r="E104" s="546" t="str">
        <f>FHD_NUM_P_64</f>
        <v>9.1</v>
      </c>
      <c r="F104" s="1880" t="str">
        <f>FHD_P_64</f>
        <v xml:space="preserve">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 xml:space="preserve">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r="105" s="1366" customFormat="1" ht="18.75" customHeight="1">
      <c r="A105" s="2371"/>
      <c r="C105" s="1636"/>
      <c r="D105" s="1638"/>
      <c r="E105" s="546" t="str">
        <f>FHD_NUM_P_65</f>
        <v>10</v>
      </c>
      <c r="F105" s="1880"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r="106" s="1366" customFormat="1" ht="18.75" customHeight="1">
      <c r="A106" s="2371"/>
      <c r="C106" s="1636"/>
      <c r="D106" s="1638"/>
      <c r="E106" s="546" t="str">
        <f>FHD_NUM_P_66</f>
        <v>10.1</v>
      </c>
      <c r="F106" s="1524" t="str">
        <f>FHD_P_66</f>
        <v xml:space="preserve">По приборам учёта</v>
      </c>
      <c r="G106" s="1877" t="s">
        <v>586</v>
      </c>
      <c r="H106" s="577"/>
      <c r="I106" s="577"/>
      <c r="J106" s="289" t="str">
        <f>FHD_NOTE_P_66</f>
        <v/>
      </c>
      <c r="K106" s="543"/>
      <c r="L106" s="1636"/>
      <c r="M106" s="1636"/>
      <c r="R106" s="1636"/>
      <c r="U106" s="544"/>
      <c r="AA106" s="1632"/>
      <c r="AB106" s="1632"/>
      <c r="AC106" s="1632"/>
      <c r="AD106" s="1632"/>
      <c r="AE106" s="1632"/>
      <c r="AF106" s="1160">
        <v>0</v>
      </c>
    </row>
    <row r="107" s="1366" customFormat="1" ht="18.75" customHeight="1">
      <c r="A107" s="2371"/>
      <c r="C107" s="1636"/>
      <c r="D107" s="1638"/>
      <c r="E107" s="546" t="str">
        <f>FHD_NUM_P_67</f>
        <v>10.1.1</v>
      </c>
      <c r="F107" s="1650"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r="108" s="1366" customFormat="1" ht="18.75" customHeight="1">
      <c r="A108" s="2371"/>
      <c r="C108" s="1636"/>
      <c r="D108" s="1638"/>
      <c r="E108" s="546" t="str">
        <f>FHD_NUM_P_68</f>
        <v>10.2</v>
      </c>
      <c r="F108" s="1524" t="str">
        <f>FHD_P_68</f>
        <v xml:space="preserve">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r="109" s="1366" customFormat="1" ht="18.75" customHeight="1">
      <c r="A109" s="2371"/>
      <c r="C109" s="1636"/>
      <c r="D109" s="1638"/>
      <c r="E109" s="546" t="str">
        <f>FHD_NUM_P_69</f>
        <v>10.3</v>
      </c>
      <c r="F109" s="1524" t="str">
        <f>FHD_P_69</f>
        <v xml:space="preserve">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r="110" s="1366" customFormat="1" ht="22.5" customHeight="1">
      <c r="A110" s="2371"/>
      <c r="C110" s="1636"/>
      <c r="D110" s="1638"/>
      <c r="E110" s="546" t="str">
        <f>FHD_NUM_P_70</f>
        <v>11</v>
      </c>
      <c r="F110" s="1880"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r="111" s="1366" customFormat="1" ht="22.5" customHeight="1">
      <c r="A111" s="2371"/>
      <c r="C111" s="1636"/>
      <c r="D111" s="1638"/>
      <c r="E111" s="546" t="str">
        <f>FHD_NUM_P_71</f>
        <v>12</v>
      </c>
      <c r="F111" s="1880" t="str">
        <f>FHD_P_71</f>
        <v xml:space="preserve">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r="112" ht="19.949999999999999" customHeight="1">
      <c r="D112" s="1638"/>
      <c r="E112" s="546" t="str">
        <f>FHD_NUM_P_72</f>
        <v>13</v>
      </c>
      <c r="F112" s="1880" t="str">
        <f>FHD_P_72</f>
        <v xml:space="preserve">Среднесписочная численность основного производственного персонала</v>
      </c>
      <c r="G112" s="1876" t="s">
        <v>593</v>
      </c>
      <c r="H112" s="577"/>
      <c r="I112" s="577"/>
      <c r="J112" s="289" t="str">
        <f>FHD_NOTE_P_72</f>
        <v/>
      </c>
      <c r="K112" s="543"/>
      <c r="AF112" s="1631">
        <v>19</v>
      </c>
    </row>
    <row r="113" ht="18.75" customHeight="1">
      <c r="A113" s="989" t="s">
        <v>594</v>
      </c>
      <c r="D113" s="1638"/>
      <c r="E113" s="546" t="str">
        <f>FHD_NUM_P_73</f>
        <v>14</v>
      </c>
      <c r="F113" s="1880" t="str">
        <f>FHD_P_73</f>
        <v xml:space="preserve">Среднесписочная численность административно-управленческого персонала</v>
      </c>
      <c r="G113" s="970" t="s">
        <v>593</v>
      </c>
      <c r="H113" s="968"/>
      <c r="I113" s="968"/>
      <c r="J113" s="289" t="str">
        <f>FHD_NOTE_P_73</f>
        <v/>
      </c>
      <c r="K113" s="543"/>
      <c r="AF113" s="1631">
        <v>0</v>
      </c>
    </row>
    <row r="114" ht="33.75" hidden="1" customHeight="1">
      <c r="A114" s="989" t="s">
        <v>595</v>
      </c>
      <c r="D114" s="1638"/>
      <c r="E114" s="546" t="str">
        <f>FHD_NUM_P_74</f>
        <v/>
      </c>
      <c r="F114" s="1880" t="str">
        <f>FHD_P_74</f>
        <v/>
      </c>
      <c r="G114" s="1876" t="s">
        <v>596</v>
      </c>
      <c r="H114" s="577"/>
      <c r="I114" s="577"/>
      <c r="J114" s="289" t="str">
        <f>FHD_NOTE_P_74</f>
        <v/>
      </c>
      <c r="K114" s="543"/>
      <c r="AF114" s="1631">
        <v>0</v>
      </c>
    </row>
    <row r="115" s="1635" customFormat="1" ht="18.75" hidden="1" customHeight="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r="116" s="1635" customFormat="1" ht="18.75" hidden="1" customHeight="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r="117" s="1635" customFormat="1" ht="18.75" hidden="1" customHeight="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r="118" s="1642" customFormat="1" ht="0.75" hidden="1" customHeight="1">
      <c r="A118" s="2373"/>
      <c r="D118" s="548"/>
      <c r="E118" s="1013" t="str">
        <f>E117&amp;".0"</f>
        <v>.0</v>
      </c>
      <c r="F118" s="997"/>
      <c r="G118" s="1651"/>
      <c r="H118" s="992"/>
      <c r="I118" s="992"/>
      <c r="J118" s="996"/>
      <c r="AF118" s="1636">
        <v>0</v>
      </c>
    </row>
    <row r="119" s="1635" customFormat="1" ht="15" hidden="1" customHeight="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r="120" ht="22.5" customHeight="1">
      <c r="A120" s="2371" t="s">
        <v>600</v>
      </c>
      <c r="D120" s="1638"/>
      <c r="E120" s="546" t="str">
        <f>FHD_NUM_P_78</f>
        <v>15</v>
      </c>
      <c r="F120" s="1880"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r="121" s="1642" customFormat="1" ht="0.75" customHeight="1">
      <c r="A121" s="2371"/>
      <c r="D121" s="548"/>
      <c r="E121" s="1013" t="str">
        <f>E120&amp;".0"</f>
        <v>15.0</v>
      </c>
      <c r="F121" s="997"/>
      <c r="G121" s="1651"/>
      <c r="H121" s="992"/>
      <c r="I121" s="992"/>
      <c r="J121" s="996"/>
      <c r="AF121" s="1636">
        <v>0</v>
      </c>
    </row>
    <row r="122" ht="15" customHeight="1">
      <c r="A122" s="2371"/>
      <c r="D122" s="1633"/>
      <c r="E122" s="570"/>
      <c r="F122" s="1168" t="s">
        <v>589</v>
      </c>
      <c r="G122" s="572"/>
      <c r="H122" s="573"/>
      <c r="I122" s="573"/>
      <c r="J122" s="1004" t="s">
        <v>601</v>
      </c>
      <c r="K122" s="543"/>
      <c r="AF122" s="1631">
        <v>0</v>
      </c>
    </row>
    <row r="123" ht="22.5" customHeight="1">
      <c r="A123" s="2371"/>
      <c r="D123" s="1638"/>
      <c r="E123" s="546" t="str">
        <f>FHD_NUM_P_79</f>
        <v>16</v>
      </c>
      <c r="F123" s="1880"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r="124" s="1642" customFormat="1" ht="0.75" customHeight="1">
      <c r="A124" s="2371"/>
      <c r="D124" s="548"/>
      <c r="E124" s="1013" t="str">
        <f>E123&amp;".0"</f>
        <v>16.0</v>
      </c>
      <c r="F124" s="998"/>
      <c r="G124" s="1651"/>
      <c r="H124" s="992"/>
      <c r="I124" s="992"/>
      <c r="J124" s="996"/>
      <c r="AF124" s="1636">
        <v>0</v>
      </c>
    </row>
    <row r="125" ht="15" customHeight="1">
      <c r="A125" s="2371"/>
      <c r="D125" s="1633"/>
      <c r="E125" s="570"/>
      <c r="F125" s="1168" t="s">
        <v>589</v>
      </c>
      <c r="G125" s="572"/>
      <c r="H125" s="573"/>
      <c r="I125" s="573"/>
      <c r="J125" s="1004" t="s">
        <v>602</v>
      </c>
      <c r="K125" s="543"/>
      <c r="AF125" s="1631">
        <v>0</v>
      </c>
    </row>
    <row r="126" ht="22.5" customHeight="1">
      <c r="A126" s="2371"/>
      <c r="D126" s="1638"/>
      <c r="E126" s="546" t="str">
        <f>FHD_NUM_P_80</f>
        <v>17</v>
      </c>
      <c r="F126" s="1880"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r="127" ht="18.75" customHeight="1">
      <c r="A127" s="2371"/>
      <c r="D127" s="1638"/>
      <c r="E127" s="546" t="str">
        <f>FHD_NUM_P_81</f>
        <v>18</v>
      </c>
      <c r="F127" s="1880"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r="128" ht="18.75" customHeight="1">
      <c r="A128" s="2371"/>
      <c r="C128" s="1636" t="s">
        <v>591</v>
      </c>
      <c r="D128" s="1638"/>
      <c r="E128" s="546" t="str">
        <f>FHD_NUM_P_82</f>
        <v>19</v>
      </c>
      <c r="F128" s="1880"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 xml:space="preserve">Указывается ссылка на документ, предварительно загруженный в хранилище файлов ФГИС ЕИАС.</v>
      </c>
      <c r="K128" s="543"/>
      <c r="AF128" s="1631">
        <v>0</v>
      </c>
    </row>
    <row r="129" ht="18.75" customHeight="1">
      <c r="A129" s="2371"/>
      <c r="C129" s="1636" t="s">
        <v>591</v>
      </c>
      <c r="D129" s="1638"/>
      <c r="E129" s="546" t="str">
        <f>FHD_NUM_P_83</f>
        <v>19.1</v>
      </c>
      <c r="F129" s="1524" t="str">
        <f>FHD_P_83</f>
        <v xml:space="preserve">Информация о показателях физического износа объектов теплоснабжения</v>
      </c>
      <c r="G129" s="1878" t="s">
        <v>310</v>
      </c>
      <c r="H129" s="401"/>
      <c r="I129" s="401"/>
      <c r="J129" s="289" t="str">
        <f>FHD_NOTE_P_83</f>
        <v xml:space="preserve">Указывается ссылка на документ, предварительно загруженный в хранилище файлов ФГИС ЕИАС.</v>
      </c>
      <c r="K129" s="543"/>
      <c r="AF129" s="1631">
        <v>0</v>
      </c>
    </row>
    <row r="130" ht="18.75" customHeight="1">
      <c r="A130" s="2371"/>
      <c r="C130" s="1636" t="s">
        <v>591</v>
      </c>
      <c r="D130" s="1638"/>
      <c r="E130" s="546" t="str">
        <f>FHD_NUM_P_84</f>
        <v>19.2</v>
      </c>
      <c r="F130" s="1524" t="str">
        <f>FHD_P_84</f>
        <v xml:space="preserve">Информация о показателях энергетической эффективности объектов теплоснабжения</v>
      </c>
      <c r="G130" s="1878" t="s">
        <v>310</v>
      </c>
      <c r="H130" s="401"/>
      <c r="I130" s="401"/>
      <c r="J130" s="289" t="str">
        <f>FHD_NOTE_P_84</f>
        <v xml:space="preserve">Указывается ссылка на документ, предварительно загруженный в хранилище файлов ФГИС ЕИАС.</v>
      </c>
      <c r="K130" s="543"/>
      <c r="AF130" s="1631">
        <v>0</v>
      </c>
    </row>
    <row r="131" ht="11.5" customHeight="1">
      <c r="D131" s="1638"/>
      <c r="AF131" s="1631">
        <v>11</v>
      </c>
    </row>
    <row r="132" ht="13.5" customHeight="1">
      <c r="D132" s="1638"/>
      <c r="E132" s="336"/>
      <c r="F132" s="369"/>
      <c r="G132" s="369"/>
      <c r="H132" s="369"/>
      <c r="I132" s="1647"/>
      <c r="J132" s="581"/>
      <c r="AF132" s="1631">
        <v>13</v>
      </c>
    </row>
    <row r="133" s="1641" customFormat="1" ht="11.5" customHeight="1">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r="134" s="1641" customFormat="1" ht="11.5" customHeight="1">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r="135" s="1641" customFormat="1" ht="11.5" customHeight="1">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r="136" s="1641" customFormat="1" ht="11.5" customHeight="1">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r="137" s="1641" customFormat="1" ht="11.5" customHeight="1">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r="138" s="1641" customFormat="1" ht="11.5" customHeight="1">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r="139" s="1641" customFormat="1" ht="11.5" customHeight="1">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r="140" s="1641" customFormat="1" ht="11.5" customHeight="1">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r="141" s="1641" customFormat="1" ht="11.5" customHeight="1">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r="142" s="1641" customFormat="1" ht="11.5" customHeight="1">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r="143" s="1641" customFormat="1" ht="11.5" customHeight="1">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r="144" s="1641" customFormat="1" ht="11.5" customHeight="1">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r="145" s="1641" customFormat="1" ht="11.5" customHeight="1">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r="146" s="1641" customFormat="1" ht="11.5" customHeight="1">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r="147" s="1641" customFormat="1" ht="11.5" customHeight="1">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r="148" s="1641" customFormat="1" ht="11.5" customHeight="1">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r="149" s="1641" customFormat="1" ht="11.5" customHeight="1">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r="150" s="1641" customFormat="1" ht="11.5" customHeight="1">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r="151" s="1641" customFormat="1" ht="11.5" customHeight="1">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r="152" s="1641" customFormat="1" ht="11.5" customHeight="1">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r="153" s="1641" customFormat="1" ht="11.5" customHeight="1">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r="154" s="1641" customFormat="1" ht="11.5" customHeight="1">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r="155" s="1641" customFormat="1" ht="11.5" customHeight="1">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r="156" s="1641" customFormat="1" ht="11.5" customHeight="1">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r="157" s="1641" customFormat="1" ht="11.5" customHeight="1">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r="158" s="1641" customFormat="1" ht="11.5" customHeight="1">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r="159" s="1641" customFormat="1" ht="11.5" customHeight="1">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r="160" s="1641" customFormat="1" ht="11.5" customHeight="1">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r="161" s="1641" customFormat="1" ht="11.5" customHeight="1">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r="162" s="1641" customFormat="1" ht="11.5" customHeight="1">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r="163" s="1641" customFormat="1" ht="11.5" customHeight="1">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r="164" s="1641" customFormat="1" ht="11.5" customHeight="1">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r="165" s="1641" customFormat="1" ht="11.5" customHeight="1">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r="166" s="1641" customFormat="1" ht="11.5" customHeight="1">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r="167" s="1641" customFormat="1" ht="11.5" customHeight="1">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r="168" s="1641" customFormat="1" ht="11.5" customHeight="1">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r="169" s="1641" customFormat="1" ht="11.5" customHeight="1">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r="170" s="1641" customFormat="1" ht="11.5" customHeight="1">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r="171" s="1641" customFormat="1" ht="11.5" customHeight="1">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r="172" s="1641" customFormat="1" ht="11.5" customHeight="1">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r="173" s="1641" customFormat="1" ht="11.5" customHeight="1">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r="174" s="1641" customFormat="1" ht="11.5" customHeight="1">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r="175" s="1641" customFormat="1" ht="11.5" customHeight="1">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r="176" s="1641" customFormat="1" ht="11.5" customHeight="1">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r="177" s="1641" customFormat="1" ht="11.5" customHeight="1">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r="178" s="1641" customFormat="1" ht="11.5" customHeight="1">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r="179" s="1641" customFormat="1" ht="11.5" customHeight="1">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r="180" s="1641" customFormat="1" ht="11.5" customHeight="1">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r="181" s="1641" customFormat="1" ht="11.5" customHeight="1">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r="182" s="1641" customFormat="1" ht="11.5" customHeight="1">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r="183" s="1641" customFormat="1" ht="11.5" customHeight="1">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r="184" s="1641" customFormat="1" ht="11.5" customHeight="1">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r="185" s="1641" customFormat="1" ht="11.5" customHeight="1">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r="186" s="1641" customFormat="1" ht="11.5" customHeight="1">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r="187" s="1641" customFormat="1" ht="11.5" customHeight="1">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r="188" s="1641" customFormat="1" ht="11.5" customHeight="1">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r="189" s="1641" customFormat="1" ht="11.5" customHeight="1">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r="190" s="1641" customFormat="1" ht="11.5" customHeight="1">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r="191" s="1641" customFormat="1" ht="11.5" customHeight="1">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r="192" s="1641" customFormat="1" ht="11.5" customHeight="1">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r="193" s="1641" customFormat="1" ht="11.5" customHeight="1">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r="194" s="1641" customFormat="1" ht="11.5" customHeight="1">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r="195" s="1641" customFormat="1" ht="11.5" customHeight="1">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r="196" s="1641" customFormat="1" ht="11.5" customHeight="1">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r="197" s="1641" customFormat="1" ht="11.5" customHeight="1">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r="198" s="1641" customFormat="1" ht="11.5" customHeight="1">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r="199" s="1641" customFormat="1" ht="11.5" customHeight="1">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r="200" s="1641" customFormat="1" ht="11.5" customHeight="1">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r="201" s="1641" customFormat="1" ht="11.5" customHeight="1">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r="202" s="1641" customFormat="1" ht="11.5" customHeight="1">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r="203" s="1641" customFormat="1" ht="11.5" customHeight="1">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r="204" s="1641" customFormat="1" ht="11.5" customHeight="1">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r="205" s="1641" customFormat="1" ht="11.5" customHeight="1">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r="206" s="1641" customFormat="1" ht="11.5" customHeight="1">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r="207" s="1641" customFormat="1" ht="11.5" customHeight="1">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r="208" s="1641" customFormat="1" ht="11.5" customHeight="1">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r="209" s="1641" customFormat="1" ht="11.5" customHeight="1">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r="210" s="1641" customFormat="1" ht="11.5" customHeight="1">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r="211" s="1641" customFormat="1" ht="11.5" customHeight="1">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r="212" s="1641" customFormat="1" ht="11.5" customHeight="1">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r="213" s="1641" customFormat="1" ht="11.5" customHeight="1">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r="214" s="1641" customFormat="1" ht="11.5" customHeight="1">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r="215" s="1641" customFormat="1" ht="11.5" customHeight="1">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r="216" s="1641" customFormat="1" ht="11.5" customHeight="1">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r="217" s="1641" customFormat="1" ht="11.5" customHeight="1">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r="218" s="1641" customFormat="1" ht="11.5" customHeight="1">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r="219" s="1641" customFormat="1" ht="11.5" customHeight="1">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r="220" s="1641" customFormat="1" ht="11.5" customHeight="1">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r="221" s="1641" customFormat="1" ht="11.5" customHeight="1">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r="222" s="1641" customFormat="1" ht="11.5" customHeight="1">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r="223" s="1641" customFormat="1" ht="11.5" customHeight="1">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r="224" s="1641" customFormat="1" ht="11.5" customHeight="1">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r="225" s="1641" customFormat="1" ht="11.5" customHeight="1">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r="226" s="1641" customFormat="1" ht="11.5" customHeight="1">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r="227" s="1641" customFormat="1" ht="11.5" customHeight="1">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r="228" s="1641" customFormat="1" ht="11.5" customHeight="1">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r="229" s="1641" customFormat="1" ht="11.5" customHeight="1">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r="230" s="1641" customFormat="1" ht="11.5" customHeight="1">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r="231" s="1641" customFormat="1" ht="11.5" customHeight="1">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r="232" s="1641" customFormat="1" ht="11.5" customHeight="1">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r="233" s="1641" customFormat="1" ht="11.5" customHeight="1">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r="234" s="1641" customFormat="1" ht="11.5" customHeight="1">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r="235" s="1641" customFormat="1" ht="11.5" customHeight="1">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r="236" s="1641" customFormat="1" ht="11.5" customHeight="1">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r="237" s="1641" customFormat="1" ht="11.5" customHeight="1">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r="238" s="1641" customFormat="1" ht="11.5" customHeight="1">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r="239" s="1641" customFormat="1" ht="11.5" customHeight="1">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r="240" s="1641" customFormat="1" ht="11.5" customHeight="1">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r="241" s="1641" customFormat="1" ht="11.5" customHeight="1">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r="242" s="1641" customFormat="1" ht="11.5" customHeight="1">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r="243" s="1641" customFormat="1" ht="11.5" customHeight="1">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r="244" s="1641" customFormat="1" ht="11.5" customHeight="1">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r="245" s="1641" customFormat="1" ht="11.5" customHeight="1">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r="246" s="1641" customFormat="1" ht="11.5" customHeight="1">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r="247" s="1641" customFormat="1" ht="11.5" customHeight="1">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r="248" s="1641" customFormat="1" ht="11.5" customHeight="1">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r="249" s="1641" customFormat="1" ht="11.5" customHeight="1">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r="250" s="1641" customFormat="1" ht="11.5" customHeight="1">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r="251" s="1641" customFormat="1" ht="11.5" customHeight="1">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r="252" s="1641" customFormat="1" ht="11.5" customHeight="1">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r="253" s="1641" customFormat="1" ht="11.5" customHeight="1">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r="254" s="1641" customFormat="1" ht="11.5" customHeight="1">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r="255" s="1641" customFormat="1" ht="11.5" customHeight="1">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r="256" s="1641" customFormat="1" ht="11.5" customHeight="1">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r="257" s="1641" customFormat="1" ht="11.5" customHeight="1">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r="258" s="1641" customFormat="1" ht="11.5" customHeight="1">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r="259" s="1641" customFormat="1" ht="11.5" customHeight="1">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r="260" s="1641" customFormat="1" ht="11.5" customHeight="1">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r="261" s="1641" customFormat="1" ht="11.5" customHeight="1">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r="262" s="1641" customFormat="1" ht="11.5" customHeight="1">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r="263" s="1641" customFormat="1" ht="11.5" customHeight="1">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r="264" s="1641" customFormat="1" ht="11.5" customHeight="1">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r="265" s="1641" customFormat="1" ht="11.5" customHeight="1">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r="266" s="1641" customFormat="1" ht="11.5" customHeight="1">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r="267" s="1641" customFormat="1" ht="11.5" customHeight="1">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r="268" s="1641" customFormat="1" ht="11.5" customHeight="1">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r="269" s="1641" customFormat="1" ht="11.5" customHeight="1">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r="270" s="1641" customFormat="1" ht="11.5" customHeight="1">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r="271" s="1641" customFormat="1" ht="11.5" customHeight="1">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r="272" s="1641" customFormat="1" ht="11.5" customHeight="1">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r="273" s="1641" customFormat="1" ht="11.5" customHeight="1">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r="274" s="1641" customFormat="1" ht="11.5" customHeight="1">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r="275" s="1641" customFormat="1" ht="11.5" customHeight="1">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r="276" s="1641" customFormat="1" ht="11.5" customHeight="1">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r="277" s="1641" customFormat="1" ht="11.5" customHeight="1">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r="278" s="1641" customFormat="1" ht="11.5" customHeight="1">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r="279" s="1641" customFormat="1" ht="11.5" customHeight="1">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r="280" s="1641" customFormat="1" ht="11.5" customHeight="1">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r="281" s="1641" customFormat="1" ht="11.5" customHeight="1">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r="282" s="1641" customFormat="1" ht="11.5" customHeight="1">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r="283" s="1641" customFormat="1" ht="11.5" customHeight="1">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r="284" s="1641" customFormat="1" ht="11.5" customHeight="1">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r="285" s="1641" customFormat="1" ht="11.5" customHeight="1">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r="286" s="1641" customFormat="1" ht="11.5" customHeight="1">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r="287" s="1641" customFormat="1" ht="11.5" customHeight="1">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r="288" s="1641" customFormat="1" ht="11.5" customHeight="1">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r="289" ht="11.5" customHeight="1">
      <c r="AF289" s="1631">
        <v>11</v>
      </c>
    </row>
    <row r="290" ht="11.5" customHeight="1">
      <c r="AF290" s="1631">
        <v>11</v>
      </c>
    </row>
    <row r="291" ht="11.5" customHeight="1">
      <c r="AF291" s="1631">
        <v>11</v>
      </c>
    </row>
    <row r="292" ht="11.5" customHeight="1">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r="293" ht="11.5" customHeight="1">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r="294" ht="11.5" customHeight="1">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r="295" ht="11.5" customHeight="1">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r="296" ht="11.5" customHeight="1">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r="297" ht="11.5" customHeight="1">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r="298" ht="11.5" customHeight="1">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r="299" ht="11.5" customHeight="1">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r="300" ht="11.5" customHeight="1">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r="301" ht="11.5" customHeight="1">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r="302" ht="11.5" customHeight="1">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r="303" ht="11.25" hidden="1" customHeight="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autoFilter="0" deleteColumns="1" deleteRows="1" formatColumns="0" formatRows="0" insertColumns="1" insertRows="1" sheet="1" sort="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120068-00BF-44A1-AC18-00150046006A}"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 xr:uid="{008E0025-00C2-4C85-A59E-002D00170054}"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310050-0095-47E3-AACA-003500AE00D8}"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AC0079-00EC-4241-843B-00A9000B0012}"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A200E6-00A4-414E-B525-003C008E0032}"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AE00CF-0082-43D5-ACE4-005D001300BB}"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AC0044-0069-499A-9CA5-001800050030}"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0C0061-003C-43D9-8139-00C300ED007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FD00BB-00C5-4B42-A363-00DF009D00CB}"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CA005C-000E-4A9A-B5C1-003E001800D9}"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520059-0022-48DE-9183-00DD00750013}" type="decimal" allowBlank="1" error="Введите значение от 0 до 100%" errorTitle="Ошибка" showErrorMessage="1">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C4" zoomScale="90" workbookViewId="0">
      <selection activeCell="A1" sqref="A1"/>
    </sheetView>
  </sheetViews>
  <sheetFormatPr defaultColWidth="9.140625" defaultRowHeight="11.25" customHeight="1"/>
  <cols>
    <col customWidth="1" hidden="1" min="1" max="1" style="943" width="14.7109375"/>
    <col customWidth="1" hidden="1" min="2" max="2" style="1632" width="17.00390625"/>
    <col customWidth="1" min="3" max="3" style="1635" width="3.00390625"/>
    <col customWidth="1" hidden="1" min="4" max="4" style="1635" width="1.8515625"/>
    <col customWidth="1" min="5" max="6" style="1635" width="7.00390625"/>
    <col customWidth="1" min="7" max="7" style="1635" width="29.00390625"/>
    <col customWidth="1" min="8" max="8" style="1635" width="3.7109375"/>
    <col customWidth="1" min="9" max="9" style="1635" width="5.00390625"/>
    <col customWidth="1" min="10" max="11" style="1635" width="24.00390625"/>
    <col customWidth="1" min="12" max="12" style="1635" width="3.00390625"/>
    <col customWidth="1" min="13" max="13" style="1635" width="6.00390625"/>
    <col customWidth="1" min="14" max="14" style="1635" width="25.00390625"/>
    <col customWidth="1" min="15" max="18" style="1635" width="18.00390625"/>
    <col customWidth="1" min="19" max="19" style="1635" width="93.00390625"/>
    <col customWidth="1" min="20" max="20" style="1635" width="10.00390625"/>
    <col customWidth="1" min="21" max="21" style="1642" width="10.00390625"/>
    <col customWidth="1" min="22" max="22" style="1642" width="11.00390625"/>
    <col customWidth="1" min="23" max="27" style="1632" width="10.00390625"/>
    <col customWidth="1" min="28" max="83" style="1635" width="8.00390625"/>
    <col hidden="1" min="84" max="84" style="1635" width="9.140625"/>
  </cols>
  <sheetData>
    <row r="1" ht="22.5" hidden="1" customHeight="1">
      <c r="CF1" s="505" t="s">
        <v>14</v>
      </c>
    </row>
    <row r="2" ht="11.25" hidden="1" customHeight="1">
      <c r="CF2" s="505">
        <v>0</v>
      </c>
    </row>
    <row r="3" ht="11.25" hidden="1" customHeight="1">
      <c r="CF3" s="505">
        <v>0</v>
      </c>
    </row>
    <row r="4" ht="3" customHeight="1">
      <c r="C4" s="509"/>
      <c r="D4" s="509"/>
      <c r="E4" s="509"/>
      <c r="F4" s="509"/>
      <c r="G4" s="509"/>
      <c r="H4" s="509"/>
      <c r="I4" s="509"/>
      <c r="J4" s="509"/>
      <c r="K4" s="166"/>
      <c r="L4" s="166"/>
      <c r="M4" s="166"/>
      <c r="CF4" s="505">
        <v>3</v>
      </c>
    </row>
    <row r="5" ht="29.25" customHeight="1">
      <c r="C5" s="509"/>
      <c r="D5" s="1057"/>
      <c r="E5" s="2237" t="str">
        <f>FHD20_NAME_FORM</f>
        <v xml:space="preserve">Форма 11. Информация о расходах на капитальный и текущий ремонт основных средств</v>
      </c>
      <c r="F5" s="2237"/>
      <c r="G5" s="2237"/>
      <c r="H5" s="2237"/>
      <c r="I5" s="2237"/>
      <c r="J5" s="2237"/>
      <c r="K5" s="2237"/>
      <c r="L5" s="613"/>
      <c r="M5" s="613"/>
      <c r="CF5" s="505">
        <v>28</v>
      </c>
    </row>
    <row r="6" s="1635" customFormat="1" ht="16.800000000000001" customHeight="1">
      <c r="A6" s="610"/>
      <c r="B6" s="759"/>
      <c r="C6" s="509"/>
      <c r="D6" s="1058"/>
      <c r="E6" s="2176" t="str">
        <f>IF(org=0,"Не определено",org)</f>
        <v xml:space="preserve">АО "ДГК"</v>
      </c>
      <c r="F6" s="2176"/>
      <c r="G6" s="2176"/>
      <c r="H6" s="2176"/>
      <c r="I6" s="2176"/>
      <c r="J6" s="2176"/>
      <c r="K6" s="2176"/>
      <c r="L6" s="613"/>
      <c r="M6" s="613"/>
      <c r="U6" s="611"/>
      <c r="V6" s="611"/>
      <c r="W6" s="612"/>
      <c r="X6" s="759"/>
      <c r="Y6" s="759"/>
      <c r="Z6" s="759"/>
      <c r="AA6" s="759"/>
      <c r="CF6" s="758">
        <v>16</v>
      </c>
    </row>
    <row r="7" ht="11.5" customHeight="1">
      <c r="C7" s="509"/>
      <c r="D7" s="509"/>
      <c r="E7" s="509"/>
      <c r="F7" s="509"/>
      <c r="G7" s="522"/>
      <c r="H7" s="522"/>
      <c r="I7" s="522"/>
      <c r="J7" s="522"/>
      <c r="K7" s="614"/>
      <c r="L7" s="614"/>
      <c r="M7" s="614"/>
      <c r="R7" s="752"/>
      <c r="CF7" s="505">
        <v>11</v>
      </c>
    </row>
    <row r="8" s="1641" customFormat="1" ht="4.2000000000000002" customHeight="1">
      <c r="A8" s="621"/>
      <c r="B8" s="566"/>
      <c r="C8" s="351"/>
      <c r="D8" s="351"/>
      <c r="E8" s="351"/>
      <c r="F8" s="351"/>
      <c r="G8" s="975"/>
      <c r="H8" s="975"/>
      <c r="I8" s="975"/>
      <c r="J8" s="975"/>
      <c r="K8" s="1018"/>
      <c r="L8" s="1018"/>
      <c r="M8" s="1018"/>
      <c r="R8" s="1019"/>
      <c r="U8" s="611"/>
      <c r="V8" s="611"/>
      <c r="W8" s="622"/>
      <c r="X8" s="566"/>
      <c r="Y8" s="566"/>
      <c r="Z8" s="566"/>
      <c r="AA8" s="566"/>
      <c r="CF8" s="496">
        <v>4</v>
      </c>
    </row>
    <row r="9" ht="19.949999999999999" customHeight="1">
      <c r="D9" s="289"/>
      <c r="E9" s="2101" t="s">
        <v>304</v>
      </c>
      <c r="F9" s="2102"/>
      <c r="G9" s="2102"/>
      <c r="H9" s="2102"/>
      <c r="I9" s="2102"/>
      <c r="J9" s="2102"/>
      <c r="K9" s="2102"/>
      <c r="L9" s="2102"/>
      <c r="M9" s="2102"/>
      <c r="N9" s="2102"/>
      <c r="O9" s="2102"/>
      <c r="P9" s="2102"/>
      <c r="Q9" s="2102"/>
      <c r="R9" s="2103"/>
      <c r="S9" s="2127" t="s">
        <v>305</v>
      </c>
      <c r="T9" s="334"/>
      <c r="CF9" s="505">
        <v>19</v>
      </c>
    </row>
    <row r="10" ht="48.25" customHeight="1">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r="11" s="1642" customFormat="1" ht="15" hidden="1" customHeight="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r="12" s="1635" customFormat="1" ht="1.05" customHeight="1">
      <c r="A12" s="615"/>
      <c r="B12" s="362"/>
      <c r="D12" s="548"/>
      <c r="E12" s="346"/>
      <c r="F12" s="346"/>
      <c r="Q12" s="616"/>
      <c r="R12" s="617"/>
      <c r="T12" s="618"/>
      <c r="U12" s="619"/>
      <c r="V12" s="619"/>
      <c r="W12" s="620"/>
      <c r="X12" s="362"/>
      <c r="Y12" s="362"/>
      <c r="Z12" s="362"/>
      <c r="AA12" s="362"/>
      <c r="CF12" s="509">
        <v>1</v>
      </c>
    </row>
    <row r="13" s="1641" customFormat="1" ht="1.05" customHeight="1">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r="14" s="1850" customFormat="1" ht="15" hidden="1" customHeight="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r="15" s="1850" customFormat="1" ht="15" hidden="1" customHeight="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r="16" s="1850" customFormat="1" ht="15" hidden="1" customHeight="1">
      <c r="A16" s="623"/>
      <c r="B16" s="624"/>
      <c r="C16" s="624"/>
      <c r="D16" s="2381"/>
      <c r="E16" s="2377" t="s">
        <v>568</v>
      </c>
      <c r="F16" s="2378"/>
      <c r="G16" s="2379"/>
      <c r="H16" s="2383" t="str">
        <f>IF(A14="","",INDEX(DIFFERENTIATION_UNMERGE_SYSTEM,MATCH(A14,DIFFERENTIATION_ID_DIFF,0)))</f>
        <v xml:space="preserve">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r="17" s="1850" customFormat="1" ht="22.5" hidden="1" customHeight="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r="18" s="1850" customFormat="1" ht="11.25" hidden="1" customHeight="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r="19" s="1850" customFormat="1" ht="11.25" hidden="1" customHeight="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r="20" s="1850" customFormat="1" ht="22.5" hidden="1" customHeight="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r="21" s="1850" customFormat="1" ht="11.25" hidden="1" customHeight="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r="22" s="1850" customFormat="1" ht="11.25" hidden="1" customHeight="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r="23" ht="19.949999999999999" customHeight="1">
      <c r="D23" s="1047"/>
      <c r="E23" s="1047"/>
      <c r="F23" s="1047"/>
      <c r="G23" s="1047"/>
      <c r="H23" s="1047"/>
      <c r="I23" s="1047"/>
      <c r="J23" s="1047"/>
      <c r="K23" s="1047"/>
      <c r="L23" s="1047"/>
      <c r="M23" s="1047"/>
      <c r="N23" s="1047"/>
      <c r="O23" s="1047"/>
      <c r="P23" s="1047"/>
      <c r="Q23" s="1047"/>
      <c r="R23" s="1047"/>
      <c r="S23" s="1047"/>
      <c r="T23" s="334"/>
      <c r="CF23" s="505">
        <v>19</v>
      </c>
    </row>
    <row r="24" ht="11.5" customHeight="1">
      <c r="D24" s="509"/>
      <c r="CF24" s="505">
        <v>11</v>
      </c>
    </row>
    <row r="25" ht="11.5" customHeight="1">
      <c r="D25" s="654"/>
      <c r="E25" s="654"/>
      <c r="F25" s="654"/>
      <c r="G25" s="655"/>
      <c r="CF25" s="505">
        <v>11</v>
      </c>
    </row>
    <row r="26" ht="11.5" customHeight="1">
      <c r="CF26" s="505">
        <v>11</v>
      </c>
    </row>
    <row r="27" ht="11.5" customHeight="1">
      <c r="D27" s="656"/>
      <c r="E27" s="2384"/>
      <c r="F27" s="2384"/>
      <c r="G27" s="2384"/>
      <c r="H27" s="2384"/>
      <c r="I27" s="2384"/>
      <c r="J27" s="2384"/>
      <c r="K27" s="2384"/>
      <c r="L27" s="2384"/>
      <c r="M27" s="2384"/>
      <c r="N27" s="2384"/>
      <c r="O27" s="2384"/>
      <c r="P27" s="2384"/>
      <c r="Q27" s="2384"/>
      <c r="R27" s="2384"/>
      <c r="CF27" s="505">
        <v>11</v>
      </c>
    </row>
    <row r="28" ht="11.5" customHeight="1">
      <c r="F28" s="758"/>
      <c r="G28" s="758"/>
      <c r="CF28" s="505">
        <v>11</v>
      </c>
    </row>
    <row r="29" ht="11.25" hidden="1" customHeight="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autoFilter="0" deleteColumns="1" deleteRows="1" formatColumns="0" formatRows="0" insertColumns="1" insertRows="1" sheet="1" sort="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defaultRowHeight="11.25" customHeight="1"/>
  <cols>
    <col customWidth="1" hidden="1" min="1" max="5" style="987" width="10.7109375"/>
    <col customWidth="1" hidden="1" min="6" max="6" style="1366" width="16.8515625"/>
    <col customWidth="1" hidden="1" min="7" max="7" style="1642" width="5.57421875"/>
    <col customWidth="1" min="8" max="8" style="1635" width="3.00390625"/>
    <col customWidth="1" min="9" max="9" style="1635" width="7.00390625"/>
    <col customWidth="1" min="10" max="10" style="1635" width="56.00390625"/>
    <col customWidth="1" min="11" max="11" style="1635" width="10.00390625"/>
    <col customWidth="1" hidden="1" min="12" max="12" style="1635" width="40.57421875"/>
    <col customWidth="1" min="13" max="13" style="1635" width="40.7109375"/>
    <col customWidth="1" hidden="1" min="14" max="14" style="1366" width="9.7109375"/>
    <col customWidth="1" min="15" max="15" style="1635" width="102.00390625"/>
    <col customWidth="1" min="16" max="16" style="1366" width="9.00390625"/>
    <col customWidth="1" min="17" max="17" style="1642" width="5.00390625"/>
    <col customWidth="1" min="18" max="18" style="1642" width="3.00390625"/>
    <col customWidth="1" min="19" max="22" style="1366" width="3.00390625"/>
    <col customWidth="1" min="23" max="23" style="1642" width="10.00390625"/>
    <col customWidth="1" min="24" max="24" style="1366" width="34.00390625"/>
    <col customWidth="1" min="25" max="25" style="1366" width="9.00390625"/>
    <col customWidth="1" min="26" max="26" style="736" width="8.00390625"/>
    <col customWidth="1" min="27" max="31" style="1366" width="8.00390625"/>
    <col customWidth="1" min="32" max="36" style="1632" width="8.00390625"/>
    <col customWidth="1" hidden="1" min="37" max="37" style="1635" width="5.421875"/>
  </cols>
  <sheetData>
    <row r="1" s="1366" customFormat="1" ht="33.75" hidden="1" customHeight="1">
      <c r="A1" s="987"/>
      <c r="B1" s="987"/>
      <c r="C1" s="987"/>
      <c r="D1" s="987"/>
      <c r="E1" s="987"/>
      <c r="G1" s="1636"/>
      <c r="H1" s="878"/>
      <c r="L1" s="1366">
        <v>4</v>
      </c>
      <c r="M1" s="1366">
        <v>4</v>
      </c>
      <c r="Q1" s="1636"/>
      <c r="R1" s="1636"/>
      <c r="W1" s="1636"/>
      <c r="AK1" s="1366" t="s">
        <v>14</v>
      </c>
    </row>
    <row r="2" s="1366" customFormat="1" ht="78.75" hidden="1" customHeight="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r="3" ht="11.25" hidden="1" customHeight="1">
      <c r="E3" s="2051" t="s">
        <v>621</v>
      </c>
      <c r="L3" s="1631">
        <f>0</f>
        <v>0</v>
      </c>
      <c r="M3" s="1631">
        <v>1</v>
      </c>
      <c r="AK3" s="1631">
        <v>0</v>
      </c>
    </row>
    <row r="4" s="1632" customFormat="1" ht="11.25" hidden="1" customHeight="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r="5" ht="11.5" customHeight="1">
      <c r="AK5" s="1631">
        <v>11</v>
      </c>
    </row>
    <row r="6" ht="57.75" customHeight="1">
      <c r="I6" s="2307" t="s">
        <v>622</v>
      </c>
      <c r="J6" s="2307"/>
      <c r="K6" s="2307"/>
      <c r="L6" s="2307"/>
      <c r="M6" s="2307"/>
      <c r="O6" s="556"/>
      <c r="AK6" s="1631">
        <v>55</v>
      </c>
    </row>
    <row r="7" ht="25.199999999999999" customHeight="1">
      <c r="I7" s="2249" t="str">
        <f>IF(org=0,"Не определено",org)</f>
        <v xml:space="preserve">АО "ДГК"</v>
      </c>
      <c r="J7" s="2249"/>
      <c r="K7" s="2249"/>
      <c r="L7" s="2249"/>
      <c r="M7" s="2249"/>
      <c r="AK7" s="1631">
        <v>24</v>
      </c>
    </row>
    <row r="8" ht="11.5" customHeight="1">
      <c r="I8" s="1135"/>
      <c r="J8" s="1135"/>
      <c r="K8" s="1135"/>
      <c r="L8" s="1135"/>
      <c r="M8" s="1135"/>
      <c r="AK8" s="1631">
        <v>11</v>
      </c>
    </row>
    <row r="9" s="1642" customFormat="1" ht="30" hidden="1" customHeight="1">
      <c r="A9" s="1167"/>
      <c r="B9" s="1167"/>
      <c r="C9" s="1167"/>
      <c r="E9" s="1167"/>
      <c r="H9" s="1642"/>
      <c r="L9" s="889"/>
      <c r="M9" s="889" t="s">
        <v>116</v>
      </c>
      <c r="AK9" s="1636">
        <v>1</v>
      </c>
    </row>
    <row r="10" ht="11.5" customHeight="1">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r="11" ht="11.5" customHeight="1">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r="12" ht="11.5" customHeight="1">
      <c r="E12" s="2050" t="s">
        <v>625</v>
      </c>
      <c r="I12" s="1662"/>
      <c r="J12" s="2367" t="s">
        <v>568</v>
      </c>
      <c r="K12" s="2368"/>
      <c r="L12" s="2029" t="str">
        <f>IF(L9="","",INDEX(DIFFERENTIATION_UNMERGE_SYSTEM,MATCH(L9,DIFFERENTIATION_ID_DIFF,0)))</f>
        <v/>
      </c>
      <c r="M12" s="2029" t="str">
        <f>IF(M9="","",INDEX(DIFFERENTIATION_UNMERGE_SYSTEM,MATCH(M9,DIFFERENTIATION_ID_DIFF,0)))</f>
        <v xml:space="preserve">без дифференциации</v>
      </c>
      <c r="O12" s="2127"/>
      <c r="AK12" s="1631">
        <v>11</v>
      </c>
    </row>
    <row r="13" ht="11.5" customHeight="1">
      <c r="E13" s="2050" t="s">
        <v>626</v>
      </c>
      <c r="F13" s="2050" t="s">
        <v>627</v>
      </c>
      <c r="I13" s="2369" t="s">
        <v>304</v>
      </c>
      <c r="J13" s="2370"/>
      <c r="K13" s="2370"/>
      <c r="L13" s="2027"/>
      <c r="M13" s="2067"/>
      <c r="O13" s="2127"/>
      <c r="AK13" s="1631">
        <v>11</v>
      </c>
    </row>
    <row r="14" ht="24" customHeight="1">
      <c r="I14" s="2020" t="s">
        <v>88</v>
      </c>
      <c r="J14" s="2020" t="s">
        <v>306</v>
      </c>
      <c r="K14" s="2020" t="s">
        <v>569</v>
      </c>
      <c r="L14" s="2060" t="s">
        <v>307</v>
      </c>
      <c r="M14" s="2061" t="s">
        <v>307</v>
      </c>
      <c r="O14" s="2127"/>
      <c r="AK14" s="1631">
        <v>23</v>
      </c>
    </row>
    <row r="15" ht="24" customHeight="1">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r="16" ht="35.649999999999999" customHeight="1">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r="17" s="1642" customFormat="1" ht="17.25" hidden="1" customHeight="1">
      <c r="A17" s="1167"/>
      <c r="B17" s="1167"/>
      <c r="C17" s="1167"/>
      <c r="D17" s="1167"/>
      <c r="E17" s="1167"/>
      <c r="H17" s="1324"/>
      <c r="I17" s="1013" t="s">
        <v>639</v>
      </c>
      <c r="J17" s="991"/>
      <c r="K17" s="1013"/>
      <c r="L17" s="992"/>
      <c r="M17" s="992"/>
      <c r="O17" s="1385"/>
      <c r="AK17" s="1636">
        <v>1</v>
      </c>
    </row>
    <row r="18" s="1366" customFormat="1" ht="24" customHeight="1">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r="19" ht="19.949999999999999" customHeight="1">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r="20" ht="77.700000000000003" customHeight="1">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r="21" ht="35.649999999999999" customHeight="1">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r="22" ht="48.25" customHeight="1">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r="23" ht="19.949999999999999" customHeight="1">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r="24" ht="19.949999999999999" customHeight="1">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r="25" ht="24" customHeight="1">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r="26" ht="24" customHeight="1">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r="27" ht="24" customHeight="1">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r="28" ht="35.649999999999999" customHeight="1">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r="29" ht="35.649999999999999" customHeight="1">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r="30" ht="24" customHeight="1">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r="31" ht="24" customHeight="1">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r="32" ht="48.25" customHeight="1">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r="33" s="1366" customFormat="1" ht="48.25" customHeight="1">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r="34" ht="108" customHeight="1">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r="35" s="1641" customFormat="1" ht="11.5" customHeight="1">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r="36" s="1641" customFormat="1" ht="11.5" customHeight="1">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r="37" s="1641" customFormat="1" ht="11.5" customHeight="1">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r="38" s="1641" customFormat="1" ht="11.5" customHeight="1">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r="39" s="1641" customFormat="1" ht="11.5" customHeight="1">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r="40" s="1641" customFormat="1" ht="11.5" customHeight="1">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r="41" s="1641" customFormat="1" ht="11.5" customHeight="1">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r="42" s="1641" customFormat="1" ht="11.5" customHeight="1">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r="43" s="1641" customFormat="1" ht="11.5" customHeight="1">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r="44" s="1641" customFormat="1" ht="11.5" customHeight="1">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r="45" s="1641" customFormat="1" ht="11.5" customHeight="1">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r="46" s="1641" customFormat="1" ht="11.5" customHeight="1">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r="47" s="1641" customFormat="1" ht="11.5" customHeight="1">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r="48" s="1641" customFormat="1" ht="11.5" customHeight="1">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r="49" s="1641" customFormat="1" ht="11.5" customHeight="1">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r="50" s="1641" customFormat="1" ht="11.5" customHeight="1">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r="51" s="1641" customFormat="1" ht="11.5" customHeight="1">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r="52" s="1641" customFormat="1" ht="11.5" customHeight="1">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r="53" s="1641" customFormat="1" ht="11.5" customHeight="1">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r="54" s="1641" customFormat="1" ht="11.5" customHeight="1">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r="55" s="1641" customFormat="1" ht="11.5" customHeight="1">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r="56" s="1641" customFormat="1" ht="11.5" customHeight="1">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r="57" s="1641" customFormat="1" ht="11.5" customHeight="1">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r="58" s="1641" customFormat="1" ht="11.5" customHeight="1">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r="59" s="1641" customFormat="1" ht="11.5" customHeight="1">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r="60" s="1641" customFormat="1" ht="11.5" customHeight="1">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r="61" s="1641" customFormat="1" ht="11.5" customHeight="1">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r="62" s="1641" customFormat="1" ht="11.5" customHeight="1">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r="63" s="1641" customFormat="1" ht="11.5" customHeight="1">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r="64" s="1641" customFormat="1" ht="11.5" customHeight="1">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r="65" s="1641" customFormat="1" ht="11.5" customHeight="1">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r="66" s="1641" customFormat="1" ht="11.5" customHeight="1">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r="67" s="1641" customFormat="1" ht="11.5" customHeight="1">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r="68" s="1641" customFormat="1" ht="11.5" customHeight="1">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r="69" s="1641" customFormat="1" ht="11.5" customHeight="1">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r="70" s="1641" customFormat="1" ht="11.5" customHeight="1">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r="71" s="1641" customFormat="1" ht="11.5" customHeight="1">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r="72" s="1641" customFormat="1" ht="11.5" customHeight="1">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r="73" s="1641" customFormat="1" ht="11.5" customHeight="1">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r="74" s="1641" customFormat="1" ht="11.5" customHeight="1">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r="75" s="1641" customFormat="1" ht="11.5" customHeight="1">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r="76" s="1641" customFormat="1" ht="11.5" customHeight="1">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r="77" s="1641" customFormat="1" ht="11.5" customHeight="1">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r="78" s="1641" customFormat="1" ht="11.5" customHeight="1">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r="79" s="1641" customFormat="1" ht="11.5" customHeight="1">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r="80" s="1641" customFormat="1" ht="11.5" customHeight="1">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r="81" s="1641" customFormat="1" ht="11.5" customHeight="1">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r="82" s="1641" customFormat="1" ht="11.5" customHeight="1">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r="83" s="1641" customFormat="1" ht="11.5" customHeight="1">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r="84" s="1641" customFormat="1" ht="11.5" customHeight="1">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r="85" s="1641" customFormat="1" ht="11.5" customHeight="1">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r="86" s="1641" customFormat="1" ht="11.5" customHeight="1">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r="87" s="1641" customFormat="1" ht="11.5" customHeight="1">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r="88" s="1641" customFormat="1" ht="11.5" customHeight="1">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r="89" s="1641" customFormat="1" ht="11.5" customHeight="1">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r="90" s="1641" customFormat="1" ht="11.5" customHeight="1">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r="91" s="1641" customFormat="1" ht="11.5" customHeight="1">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r="92" s="1641" customFormat="1" ht="11.5" customHeight="1">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r="93" s="1641" customFormat="1" ht="11.5" customHeight="1">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r="94" s="1641" customFormat="1" ht="11.5" customHeight="1">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r="95" s="1641" customFormat="1" ht="11.5" customHeight="1">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r="96" s="1641" customFormat="1" ht="11.5" customHeight="1">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r="97" s="1641" customFormat="1" ht="11.5" customHeight="1">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r="98" s="1641" customFormat="1" ht="11.5" customHeight="1">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r="99" s="1641" customFormat="1" ht="11.5" customHeight="1">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r="100" s="1641" customFormat="1" ht="11.5" customHeight="1">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r="101" s="1641" customFormat="1" ht="11.5" customHeight="1">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r="102" s="1641" customFormat="1" ht="11.5" customHeight="1">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r="103" s="1641" customFormat="1" ht="11.5" customHeight="1">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r="104" s="1641" customFormat="1" ht="11.5" customHeight="1">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r="105" s="1641" customFormat="1" ht="11.5" customHeight="1">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r="106" s="1641" customFormat="1" ht="11.5" customHeight="1">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r="107" s="1641" customFormat="1" ht="11.5" customHeight="1">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r="108" s="1641" customFormat="1" ht="11.5" customHeight="1">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r="109" s="1641" customFormat="1" ht="11.5" customHeight="1">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r="110" s="1641" customFormat="1" ht="11.5" customHeight="1">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r="111" s="1641" customFormat="1" ht="11.5" customHeight="1">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r="112" s="1641" customFormat="1" ht="11.5" customHeight="1">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r="113" s="1641" customFormat="1" ht="11.5" customHeight="1">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r="114" s="1641" customFormat="1" ht="11.5" customHeight="1">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r="115" s="1641" customFormat="1" ht="11.5" customHeight="1">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r="116" s="1641" customFormat="1" ht="11.5" customHeight="1">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r="117" s="1641" customFormat="1" ht="11.5" customHeight="1">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r="118" s="1641" customFormat="1" ht="11.5" customHeight="1">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r="119" s="1641" customFormat="1" ht="11.5" customHeight="1">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r="120" s="1641" customFormat="1" ht="11.5" customHeight="1">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r="121" s="1641" customFormat="1" ht="11.5" customHeight="1">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r="122" s="1641" customFormat="1" ht="11.5" customHeight="1">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r="123" s="1641" customFormat="1" ht="11.5" customHeight="1">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r="124" s="1641" customFormat="1" ht="11.5" customHeight="1">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r="125" s="1641" customFormat="1" ht="11.5" customHeight="1">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r="126" s="1641" customFormat="1" ht="11.5" customHeight="1">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r="127" s="1641" customFormat="1" ht="11.5" customHeight="1">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r="128" s="1641" customFormat="1" ht="11.5" customHeight="1">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r="129" s="1641" customFormat="1" ht="11.5" customHeight="1">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r="130" s="1641" customFormat="1" ht="11.5" customHeight="1">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r="131" s="1641" customFormat="1" ht="11.5" customHeight="1">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r="132" s="1641" customFormat="1" ht="11.5" customHeight="1">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r="133" s="1641" customFormat="1" ht="11.5" customHeight="1">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r="134" s="1641" customFormat="1" ht="11.5" customHeight="1">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r="135" s="1641" customFormat="1" ht="11.5" customHeight="1">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r="136" s="1641" customFormat="1" ht="11.5" customHeight="1">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r="137" s="1641" customFormat="1" ht="11.5" customHeight="1">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r="138" s="1641" customFormat="1" ht="11.5" customHeight="1">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r="139" s="1641" customFormat="1" ht="11.5" customHeight="1">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r="140" s="1641" customFormat="1" ht="11.5" customHeight="1">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r="141" s="1641" customFormat="1" ht="11.5" customHeight="1">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r="142" s="1641" customFormat="1" ht="11.5" customHeight="1">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r="143" s="1641" customFormat="1" ht="11.5" customHeight="1">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r="144" s="1641" customFormat="1" ht="11.5" customHeight="1">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r="145" s="1641" customFormat="1" ht="11.5" customHeight="1">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r="146" s="1641" customFormat="1" ht="11.5" customHeight="1">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r="147" s="1641" customFormat="1" ht="11.5" customHeight="1">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r="148" s="1641" customFormat="1" ht="11.5" customHeight="1">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r="149" s="1641" customFormat="1" ht="11.5" customHeight="1">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r="150" s="1641" customFormat="1" ht="11.5" customHeight="1">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r="151" s="1641" customFormat="1" ht="11.5" customHeight="1">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r="152" s="1641" customFormat="1" ht="11.5" customHeight="1">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r="153" s="1641" customFormat="1" ht="11.5" customHeight="1">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r="154" s="1641" customFormat="1" ht="11.5" customHeight="1">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r="155" s="1641" customFormat="1" ht="11.5" customHeight="1">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r="156" s="1641" customFormat="1" ht="11.5" customHeight="1">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r="157" s="1641" customFormat="1" ht="11.5" customHeight="1">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r="158" s="1641" customFormat="1" ht="11.5" customHeight="1">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r="159" s="1641" customFormat="1" ht="11.5" customHeight="1">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r="160" s="1641" customFormat="1" ht="11.5" customHeight="1">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r="161" s="1641" customFormat="1" ht="11.5" customHeight="1">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r="162" s="1641" customFormat="1" ht="11.5" customHeight="1">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r="163" s="1641" customFormat="1" ht="11.5" customHeight="1">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r="164" s="1641" customFormat="1" ht="11.5" customHeight="1">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r="165" s="1641" customFormat="1" ht="11.5" customHeight="1">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r="166" s="1641" customFormat="1" ht="11.5" customHeight="1">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r="167" s="1641" customFormat="1" ht="11.5" customHeight="1">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r="168" s="1641" customFormat="1" ht="11.5" customHeight="1">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r="169" s="1641" customFormat="1" ht="11.5" customHeight="1">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r="170" s="1641" customFormat="1" ht="11.5" customHeight="1">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r="171" s="1641" customFormat="1" ht="11.5" customHeight="1">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r="172" s="1641" customFormat="1" ht="11.5" customHeight="1">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r="173" s="1641" customFormat="1" ht="11.5" customHeight="1">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r="174" s="1641" customFormat="1" ht="11.5" customHeight="1">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r="175" s="1641" customFormat="1" ht="11.5" customHeight="1">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r="176" s="1641" customFormat="1" ht="11.5" customHeight="1">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r="177" s="1641" customFormat="1" ht="11.5" customHeight="1">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r="178" s="1641" customFormat="1" ht="11.5" customHeight="1">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r="179" s="1641" customFormat="1" ht="11.5" customHeight="1">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r="180" s="1641" customFormat="1" ht="11.5" customHeight="1">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r="181" s="1641" customFormat="1" ht="11.5" customHeight="1">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r="182" s="1641" customFormat="1" ht="11.5" customHeight="1">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r="183" s="1641" customFormat="1" ht="11.5" customHeight="1">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r="184" s="1641" customFormat="1" ht="11.5" customHeight="1">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r="185" s="1641" customFormat="1" ht="11.5" customHeight="1">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r="186" s="1641" customFormat="1" ht="11.5" customHeight="1">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r="187" s="1641" customFormat="1" ht="11.5" customHeight="1">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r="188" s="1641" customFormat="1" ht="11.5" customHeight="1">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r="189" s="1641" customFormat="1" ht="11.5" customHeight="1">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r="190" ht="11.5" customHeight="1">
      <c r="AK190" s="1631">
        <v>11</v>
      </c>
    </row>
    <row r="191" ht="11.5" customHeight="1">
      <c r="AK191" s="1631">
        <v>11</v>
      </c>
    </row>
    <row r="192" ht="11.5" customHeight="1">
      <c r="AK192" s="1631">
        <v>11</v>
      </c>
    </row>
    <row r="193" ht="11.5" customHeight="1">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r="194" ht="11.5" customHeight="1">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r="195" ht="11.5" customHeight="1">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r="196" ht="11.5" customHeight="1">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r="197" ht="11.5" customHeight="1">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r="198" ht="11.5" customHeight="1">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r="199" ht="11.5" customHeight="1">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r="200" ht="11.5" customHeight="1">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r="201" ht="11.5" customHeight="1">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r="202" ht="11.5" customHeight="1">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r="203" ht="11.5" customHeight="1">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r="204" ht="12.75" hidden="1" customHeight="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autoFilter="0" deleteColumns="1" deleteRows="1" insertColumns="1" insertRows="1" sheet="1" sort="1"/>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2300F5-0069-4F58-9552-0007001C000F}"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 xr:uid="{00730046-00F7-479A-A441-003C00D40006}"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A50073-007E-4892-8FFF-00210084000F}"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820023-00AB-4B73-B327-0052005100F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defaultRowHeight="14.25" customHeight="1"/>
  <cols>
    <col hidden="1" min="1" max="4" style="1635" width="10.57421875"/>
    <col customWidth="1" hidden="1" min="5" max="5" style="2397" width="9.140625"/>
    <col customWidth="1" hidden="1" min="6" max="7" style="1366" width="9.140625"/>
    <col customWidth="1" min="8" max="8" style="344" width="3.00390625"/>
    <col customWidth="1" min="9" max="9" style="1635" width="6.00390625"/>
    <col customWidth="1" min="10" max="10" style="1635" width="63.00390625"/>
    <col customWidth="1" min="11" max="11" style="1635" width="9.00390625"/>
    <col customWidth="1" min="12" max="12" style="1635" width="39.00390625"/>
    <col customWidth="1" min="13" max="13" style="1635" width="89.00390625"/>
    <col customWidth="1" min="14" max="14" style="1635" width="10.00390625"/>
    <col customWidth="1" min="15" max="16" style="1624" width="10.00390625"/>
    <col customWidth="1" min="17" max="22" style="1635" width="10.00390625"/>
    <col hidden="1" min="23" max="23" style="1635" width="10.57421875"/>
  </cols>
  <sheetData>
    <row r="1" ht="22.5" hidden="1" customHeight="1">
      <c r="S1" s="255"/>
      <c r="T1" s="255"/>
      <c r="V1" s="255"/>
      <c r="W1" s="1631" t="s">
        <v>14</v>
      </c>
    </row>
    <row r="2" ht="22.5" hidden="1" customHeight="1">
      <c r="B2" s="2053" t="s">
        <v>690</v>
      </c>
      <c r="C2" s="2053" t="s">
        <v>691</v>
      </c>
      <c r="D2" s="2052" t="s">
        <v>630</v>
      </c>
      <c r="E2" s="2058">
        <f>I2-3</f>
        <v>-3</v>
      </c>
      <c r="F2" s="2058">
        <f>J2</f>
        <v>0</v>
      </c>
      <c r="H2" s="1730" t="s">
        <v>692</v>
      </c>
      <c r="I2" s="2024"/>
      <c r="J2" s="1682"/>
      <c r="K2" s="2018" t="s">
        <v>310</v>
      </c>
      <c r="L2" s="1164"/>
      <c r="M2" s="297"/>
      <c r="N2" s="1624"/>
      <c r="P2" s="1631"/>
      <c r="W2" s="1631">
        <v>0</v>
      </c>
    </row>
    <row r="3" ht="14.25" hidden="1" customHeight="1">
      <c r="W3" s="1631">
        <v>0</v>
      </c>
    </row>
    <row r="4" ht="6.2999999999999998" customHeight="1">
      <c r="H4" s="376"/>
      <c r="I4" s="457"/>
      <c r="J4" s="457"/>
      <c r="K4" s="457"/>
      <c r="L4" s="85"/>
      <c r="M4" s="85"/>
      <c r="W4" s="1631">
        <v>6</v>
      </c>
    </row>
    <row r="5" ht="50.25" customHeight="1">
      <c r="H5" s="376"/>
      <c r="I5" s="2248" t="s">
        <v>693</v>
      </c>
      <c r="J5" s="2248"/>
      <c r="K5" s="2248"/>
      <c r="L5" s="2248"/>
      <c r="M5" s="266"/>
      <c r="W5" s="1631">
        <v>48</v>
      </c>
    </row>
    <row r="6" ht="18" customHeight="1">
      <c r="H6" s="376"/>
      <c r="I6" s="2249" t="str">
        <f>IF(org=0,"Не определено",org)</f>
        <v xml:space="preserve">АО "ДГК"</v>
      </c>
      <c r="J6" s="2249"/>
      <c r="K6" s="2249"/>
      <c r="L6" s="2249"/>
      <c r="M6" s="266"/>
      <c r="W6" s="1631">
        <v>17</v>
      </c>
    </row>
    <row r="7" ht="14.65" customHeight="1">
      <c r="H7" s="376"/>
      <c r="I7" s="457"/>
      <c r="J7" s="463"/>
      <c r="K7" s="463"/>
      <c r="L7" s="752"/>
      <c r="M7" s="193"/>
      <c r="W7" s="1631">
        <v>14</v>
      </c>
    </row>
    <row r="8" ht="14.65" customHeight="1">
      <c r="H8" s="376"/>
      <c r="I8" s="2386" t="s">
        <v>304</v>
      </c>
      <c r="J8" s="2387"/>
      <c r="K8" s="2387"/>
      <c r="L8" s="2388"/>
      <c r="M8" s="2389" t="s">
        <v>305</v>
      </c>
      <c r="W8" s="1631">
        <v>14</v>
      </c>
    </row>
    <row r="9" ht="35.649999999999999" customHeight="1">
      <c r="E9" s="2051" t="s">
        <v>621</v>
      </c>
      <c r="F9" s="2051" t="s">
        <v>627</v>
      </c>
      <c r="H9" s="376"/>
      <c r="I9" s="2025" t="s">
        <v>88</v>
      </c>
      <c r="J9" s="2026" t="s">
        <v>306</v>
      </c>
      <c r="K9" s="2064" t="s">
        <v>569</v>
      </c>
      <c r="L9" s="2065" t="s">
        <v>307</v>
      </c>
      <c r="M9" s="2389"/>
      <c r="W9" s="1631">
        <v>34</v>
      </c>
    </row>
    <row r="10" ht="35.649999999999999" customHeight="1">
      <c r="B10" s="2053" t="s">
        <v>694</v>
      </c>
      <c r="C10" s="2053" t="s">
        <v>695</v>
      </c>
      <c r="D10" s="2052" t="s">
        <v>630</v>
      </c>
      <c r="E10" s="2056" t="s">
        <v>631</v>
      </c>
      <c r="F10" s="2056" t="s">
        <v>631</v>
      </c>
      <c r="H10" s="376"/>
      <c r="I10" s="2024" t="s">
        <v>108</v>
      </c>
      <c r="J10" s="1886" t="s">
        <v>696</v>
      </c>
      <c r="K10" s="2018" t="s">
        <v>310</v>
      </c>
      <c r="L10" s="818"/>
      <c r="M10" s="297" t="s">
        <v>697</v>
      </c>
      <c r="W10" s="1631">
        <v>34</v>
      </c>
    </row>
    <row r="11" ht="50.25" customHeight="1">
      <c r="B11" s="2053" t="s">
        <v>698</v>
      </c>
      <c r="C11" s="2053" t="s">
        <v>699</v>
      </c>
      <c r="D11" s="2052" t="s">
        <v>630</v>
      </c>
      <c r="E11" s="2056" t="s">
        <v>631</v>
      </c>
      <c r="F11" s="2056" t="s">
        <v>631</v>
      </c>
      <c r="H11" s="376"/>
      <c r="I11" s="2024" t="s">
        <v>109</v>
      </c>
      <c r="J11" s="1886" t="s">
        <v>700</v>
      </c>
      <c r="K11" s="2018" t="s">
        <v>310</v>
      </c>
      <c r="L11" s="818"/>
      <c r="M11" s="297" t="s">
        <v>697</v>
      </c>
      <c r="W11" s="1631">
        <v>48</v>
      </c>
    </row>
    <row r="12" ht="48.25" customHeight="1">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r="13" ht="14.65" customHeight="1">
      <c r="E13" s="343"/>
      <c r="H13" s="376"/>
      <c r="I13" s="347"/>
      <c r="J13" s="651" t="s">
        <v>705</v>
      </c>
      <c r="K13" s="571"/>
      <c r="L13" s="214"/>
      <c r="M13" s="297"/>
      <c r="W13" s="1631">
        <v>14</v>
      </c>
    </row>
    <row r="14" ht="14.65" customHeight="1">
      <c r="E14" s="343"/>
      <c r="H14" s="376"/>
      <c r="I14" s="1057"/>
      <c r="J14" s="1677"/>
      <c r="K14" s="1678"/>
      <c r="L14" s="1679"/>
      <c r="M14" s="2028"/>
      <c r="W14" s="1631">
        <v>14</v>
      </c>
    </row>
    <row r="15" ht="14.65" customHeight="1">
      <c r="I15" s="1681"/>
      <c r="J15" s="2385"/>
      <c r="K15" s="2385"/>
      <c r="L15" s="2385"/>
      <c r="M15" s="2385"/>
      <c r="W15" s="1631">
        <v>14</v>
      </c>
    </row>
    <row r="16" ht="21" hidden="1" customHeight="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autoFilter="0" deleteColumns="1" deleteRows="1" formatColumns="0" formatRows="0" insertColumns="1" insertRows="1" sheet="1" sort="1"/>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9A0043-0060-4793-9432-006B002A00C7}"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870042-0028-4977-94B2-00E20080003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defaultRowHeight="11.25" customHeight="1"/>
  <cols>
    <col customWidth="1" hidden="1" min="1" max="1" style="987" width="10.7109375"/>
    <col customWidth="1" hidden="1" min="2" max="2" style="1366" width="16.8515625"/>
    <col customWidth="1" hidden="1" min="3" max="3" style="1642" width="5.57421875"/>
    <col customWidth="1" min="4" max="4" style="1635" width="3.00390625"/>
    <col customWidth="1" min="5" max="5" style="1635" width="7.00390625"/>
    <col customWidth="1" min="6" max="6" style="1635" width="56.00390625"/>
    <col customWidth="1" min="7" max="7" style="1635" width="10.00390625"/>
    <col customWidth="1" hidden="1" min="8" max="8" style="1635" width="40.7109375"/>
    <col customWidth="1" min="9" max="9" style="1635" width="40.00390625"/>
    <col customWidth="1" min="10" max="10" style="1635" width="102.00390625"/>
    <col customWidth="1" min="11" max="11" style="1366" width="9.00390625"/>
    <col customWidth="1" min="12" max="12" style="1642" width="5.00390625"/>
    <col customWidth="1" min="13" max="13" style="1642" width="3.00390625"/>
    <col customWidth="1" min="14" max="17" style="1366" width="3.00390625"/>
    <col customWidth="1" min="18" max="18" style="1642" width="10.00390625"/>
    <col customWidth="1" min="19" max="19" style="1366" width="34.00390625"/>
    <col customWidth="1" min="20" max="20" style="1366" width="9.00390625"/>
    <col customWidth="1" min="21" max="21" style="736" width="8.00390625"/>
    <col customWidth="1" min="22" max="26" style="1366" width="8.00390625"/>
    <col customWidth="1" min="27" max="31" style="1632" width="8.00390625"/>
    <col customWidth="1" hidden="1" min="32" max="32" style="1635" width="10.421875"/>
  </cols>
  <sheetData>
    <row r="1" s="1366" customFormat="1" ht="22.5" hidden="1" customHeight="1">
      <c r="A1" s="987"/>
      <c r="C1" s="1636"/>
      <c r="D1" s="537"/>
      <c r="H1" s="1160">
        <v>4</v>
      </c>
      <c r="I1" s="1160">
        <v>4</v>
      </c>
      <c r="L1" s="1636"/>
      <c r="M1" s="1636"/>
      <c r="R1" s="1636"/>
      <c r="AF1" s="1160" t="s">
        <v>14</v>
      </c>
    </row>
    <row r="2" s="1366" customFormat="1" ht="22.5" hidden="1" customHeight="1">
      <c r="A2" s="987"/>
      <c r="C2" s="1636"/>
      <c r="D2" s="538"/>
      <c r="E2" s="1637"/>
      <c r="F2" s="540"/>
      <c r="G2" s="1639" t="s">
        <v>555</v>
      </c>
      <c r="H2" s="541"/>
      <c r="I2" s="541"/>
      <c r="J2" s="542" t="s">
        <v>706</v>
      </c>
      <c r="K2" s="543"/>
      <c r="L2" s="1636"/>
      <c r="M2" s="1636"/>
      <c r="R2" s="1636"/>
      <c r="U2" s="544"/>
      <c r="AA2" s="1632"/>
      <c r="AB2" s="1632"/>
      <c r="AC2" s="1632"/>
      <c r="AD2" s="1632"/>
      <c r="AE2" s="1632"/>
      <c r="AF2" s="1160">
        <v>0</v>
      </c>
    </row>
    <row r="3" ht="11.25" hidden="1" customHeight="1">
      <c r="AF3" s="1631">
        <v>0</v>
      </c>
    </row>
    <row r="4" s="1632" customFormat="1" ht="11.25" hidden="1" customHeight="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r="5" ht="11.5" customHeight="1">
      <c r="AF5" s="1631">
        <v>11</v>
      </c>
    </row>
    <row r="6" ht="31.5" customHeight="1">
      <c r="E6" s="2307" t="s">
        <v>707</v>
      </c>
      <c r="F6" s="2307"/>
      <c r="G6" s="2307"/>
      <c r="H6" s="2307"/>
      <c r="I6" s="2307"/>
      <c r="J6" s="556"/>
      <c r="AF6" s="1631">
        <v>30</v>
      </c>
    </row>
    <row r="7" ht="11.5" customHeight="1">
      <c r="E7" s="2249" t="str">
        <f>IF(org=0,"Не определено",org)</f>
        <v xml:space="preserve">АО "ДГК"</v>
      </c>
      <c r="F7" s="2249"/>
      <c r="G7" s="2249"/>
      <c r="H7" s="2249"/>
      <c r="I7" s="2249"/>
      <c r="AF7" s="1631">
        <v>11</v>
      </c>
    </row>
    <row r="8" ht="11.5" customHeight="1">
      <c r="E8" s="1135"/>
      <c r="F8" s="1135"/>
      <c r="G8" s="1135"/>
      <c r="H8" s="1135"/>
      <c r="I8" s="1135"/>
      <c r="AF8" s="1631">
        <v>11</v>
      </c>
    </row>
    <row r="9" s="1642" customFormat="1" ht="4.2000000000000002" customHeight="1">
      <c r="A9" s="1167"/>
      <c r="D9" s="1642"/>
      <c r="H9" s="889"/>
      <c r="I9" s="889" t="s">
        <v>116</v>
      </c>
      <c r="AF9" s="1636">
        <v>4</v>
      </c>
    </row>
    <row r="10" ht="11.5" customHeight="1">
      <c r="E10" s="711"/>
      <c r="F10" s="2367" t="s">
        <v>104</v>
      </c>
      <c r="G10" s="2368"/>
      <c r="H10" s="1552" t="str">
        <f>IF(H9="","",INDEX(DIFFERENTIATION_UNMERGE_VD,MATCH(H9,DIFFERENTIATION_ID_DIFF,0)))</f>
        <v/>
      </c>
      <c r="I10" s="1552">
        <f>IF(I9="","",INDEX(DIFFERENTIATION_UNMERGE_VD,MATCH(I9,DIFFERENTIATION_ID_DIFF,0)))</f>
        <v>0</v>
      </c>
      <c r="J10" s="2127"/>
      <c r="AF10" s="1631">
        <v>11</v>
      </c>
    </row>
    <row r="11" ht="11.5" customHeight="1">
      <c r="E11" s="711"/>
      <c r="F11" s="2367" t="s">
        <v>567</v>
      </c>
      <c r="G11" s="2368"/>
      <c r="H11" s="1552" t="str">
        <f>IF(H9="","",INDEX(DIFFERENTIATION_UNMERGE_AREA,MATCH(H9,DIFFERENTIATION_ID_DIFF,0)))</f>
        <v/>
      </c>
      <c r="I11" s="1552" t="str">
        <f>IF(I9="","",INDEX(DIFFERENTIATION_UNMERGE_AREA,MATCH(I9,DIFFERENTIATION_ID_DIFF,0)))</f>
        <v/>
      </c>
      <c r="J11" s="2127"/>
      <c r="AF11" s="1631">
        <v>11</v>
      </c>
    </row>
    <row r="12" ht="1.05" customHeight="1">
      <c r="E12" s="1662"/>
      <c r="F12" s="2390" t="s">
        <v>568</v>
      </c>
      <c r="G12" s="2391"/>
      <c r="H12" s="1663" t="str">
        <f>IF(H9="","",INDEX(DIFFERENTIATION_UNMERGE_SYSTEM,MATCH(H9,DIFFERENTIATION_ID_DIFF,0)))</f>
        <v/>
      </c>
      <c r="I12" s="1663" t="str">
        <f>IF(I9="","",INDEX(DIFFERENTIATION_UNMERGE_SYSTEM,MATCH(I9,DIFFERENTIATION_ID_DIFF,0)))</f>
        <v xml:space="preserve">без дифференциации</v>
      </c>
      <c r="J12" s="2127"/>
      <c r="AF12" s="1631">
        <v>1</v>
      </c>
    </row>
    <row r="13" ht="11.5" customHeight="1">
      <c r="E13" s="2369" t="s">
        <v>304</v>
      </c>
      <c r="F13" s="2370"/>
      <c r="G13" s="2370"/>
      <c r="H13" s="1551"/>
      <c r="I13" s="1551"/>
      <c r="J13" s="2127"/>
      <c r="AF13" s="1631">
        <v>11</v>
      </c>
    </row>
    <row r="14" ht="24" customHeight="1">
      <c r="E14" s="1639" t="s">
        <v>88</v>
      </c>
      <c r="F14" s="1634" t="s">
        <v>306</v>
      </c>
      <c r="G14" s="1634" t="s">
        <v>569</v>
      </c>
      <c r="H14" s="1634" t="s">
        <v>307</v>
      </c>
      <c r="I14" s="1634" t="s">
        <v>307</v>
      </c>
      <c r="J14" s="2127"/>
      <c r="AF14" s="1631">
        <v>23</v>
      </c>
    </row>
    <row r="15" ht="19.949999999999999" customHeight="1">
      <c r="D15" s="1638"/>
      <c r="E15" s="1630" t="s">
        <v>108</v>
      </c>
      <c r="F15" s="707" t="s">
        <v>708</v>
      </c>
      <c r="G15" s="1646" t="s">
        <v>555</v>
      </c>
      <c r="H15" s="557"/>
      <c r="I15" s="557"/>
      <c r="J15" s="289" t="s">
        <v>709</v>
      </c>
      <c r="K15" s="543" t="s">
        <v>633</v>
      </c>
      <c r="AF15" s="1631">
        <v>19</v>
      </c>
    </row>
    <row r="16" ht="35.649999999999999" customHeight="1">
      <c r="D16" s="1638"/>
      <c r="E16" s="1630" t="s">
        <v>109</v>
      </c>
      <c r="F16" s="707" t="s">
        <v>710</v>
      </c>
      <c r="G16" s="1646" t="s">
        <v>555</v>
      </c>
      <c r="H16" s="558">
        <f>SUM(H17,H20:H32)</f>
        <v>0</v>
      </c>
      <c r="I16" s="558">
        <f>SUM(I17,I20,I23,I26,I29:I32)</f>
        <v>0</v>
      </c>
      <c r="J16" s="289" t="s">
        <v>711</v>
      </c>
      <c r="K16" s="543" t="s">
        <v>633</v>
      </c>
      <c r="AF16" s="1631">
        <v>34</v>
      </c>
    </row>
    <row r="17" ht="19.949999999999999" customHeight="1">
      <c r="D17" s="1638"/>
      <c r="E17" s="1664" t="s">
        <v>712</v>
      </c>
      <c r="F17" s="954" t="s">
        <v>713</v>
      </c>
      <c r="G17" s="1643" t="s">
        <v>555</v>
      </c>
      <c r="H17" s="557"/>
      <c r="I17" s="557"/>
      <c r="J17" s="289" t="s">
        <v>714</v>
      </c>
      <c r="K17" s="543"/>
      <c r="AF17" s="1631">
        <v>19</v>
      </c>
    </row>
    <row r="18" ht="24" customHeight="1">
      <c r="D18" s="1638"/>
      <c r="E18" s="1664" t="s">
        <v>715</v>
      </c>
      <c r="F18" s="1650" t="s">
        <v>716</v>
      </c>
      <c r="G18" s="1643" t="s">
        <v>555</v>
      </c>
      <c r="H18" s="557"/>
      <c r="I18" s="557"/>
      <c r="J18" s="289" t="s">
        <v>717</v>
      </c>
      <c r="K18" s="543"/>
      <c r="AF18" s="1631">
        <v>23</v>
      </c>
    </row>
    <row r="19" ht="35.649999999999999" customHeight="1">
      <c r="D19" s="1638"/>
      <c r="E19" s="1664" t="s">
        <v>718</v>
      </c>
      <c r="F19" s="1650" t="s">
        <v>719</v>
      </c>
      <c r="G19" s="1643" t="s">
        <v>555</v>
      </c>
      <c r="H19" s="557"/>
      <c r="I19" s="557"/>
      <c r="J19" s="289"/>
      <c r="K19" s="543"/>
      <c r="AF19" s="1631">
        <v>34</v>
      </c>
    </row>
    <row r="20" ht="19.949999999999999" customHeight="1">
      <c r="D20" s="1638"/>
      <c r="E20" s="1664" t="s">
        <v>311</v>
      </c>
      <c r="F20" s="954" t="s">
        <v>720</v>
      </c>
      <c r="G20" s="1643" t="s">
        <v>555</v>
      </c>
      <c r="H20" s="557"/>
      <c r="I20" s="557"/>
      <c r="J20" s="289" t="s">
        <v>721</v>
      </c>
      <c r="K20" s="543"/>
      <c r="AF20" s="1631">
        <v>19</v>
      </c>
    </row>
    <row r="21" ht="19.949999999999999" customHeight="1">
      <c r="D21" s="1638"/>
      <c r="E21" s="1664" t="s">
        <v>722</v>
      </c>
      <c r="F21" s="1650" t="s">
        <v>723</v>
      </c>
      <c r="G21" s="1643" t="s">
        <v>555</v>
      </c>
      <c r="H21" s="557"/>
      <c r="I21" s="557"/>
      <c r="J21" s="289"/>
      <c r="K21" s="543"/>
      <c r="AF21" s="1631">
        <v>19</v>
      </c>
    </row>
    <row r="22" ht="19.949999999999999" customHeight="1">
      <c r="D22" s="1638"/>
      <c r="E22" s="1664" t="s">
        <v>724</v>
      </c>
      <c r="F22" s="1650" t="s">
        <v>725</v>
      </c>
      <c r="G22" s="1643" t="s">
        <v>555</v>
      </c>
      <c r="H22" s="557"/>
      <c r="I22" s="557"/>
      <c r="J22" s="289"/>
      <c r="K22" s="543"/>
      <c r="AF22" s="1631">
        <v>19</v>
      </c>
    </row>
    <row r="23" ht="24" customHeight="1">
      <c r="D23" s="1638"/>
      <c r="E23" s="1664" t="s">
        <v>314</v>
      </c>
      <c r="F23" s="954" t="s">
        <v>726</v>
      </c>
      <c r="G23" s="1643" t="s">
        <v>555</v>
      </c>
      <c r="H23" s="557"/>
      <c r="I23" s="557"/>
      <c r="J23" s="289" t="s">
        <v>727</v>
      </c>
      <c r="K23" s="543"/>
      <c r="AF23" s="1631">
        <v>23</v>
      </c>
    </row>
    <row r="24" ht="19.949999999999999" customHeight="1">
      <c r="D24" s="1638"/>
      <c r="E24" s="1664" t="s">
        <v>728</v>
      </c>
      <c r="F24" s="1650" t="s">
        <v>729</v>
      </c>
      <c r="G24" s="1643" t="s">
        <v>555</v>
      </c>
      <c r="H24" s="557"/>
      <c r="I24" s="557"/>
      <c r="J24" s="289"/>
      <c r="K24" s="543"/>
      <c r="AF24" s="1631">
        <v>19</v>
      </c>
    </row>
    <row r="25" ht="35.649999999999999" customHeight="1">
      <c r="D25" s="1638"/>
      <c r="E25" s="1664" t="s">
        <v>730</v>
      </c>
      <c r="F25" s="1650" t="s">
        <v>731</v>
      </c>
      <c r="G25" s="1643" t="s">
        <v>555</v>
      </c>
      <c r="H25" s="557"/>
      <c r="I25" s="557"/>
      <c r="J25" s="289"/>
      <c r="K25" s="543"/>
      <c r="AF25" s="1631">
        <v>34</v>
      </c>
    </row>
    <row r="26" ht="24" customHeight="1">
      <c r="D26" s="1638"/>
      <c r="E26" s="1664" t="s">
        <v>732</v>
      </c>
      <c r="F26" s="954" t="s">
        <v>733</v>
      </c>
      <c r="G26" s="1643" t="s">
        <v>555</v>
      </c>
      <c r="H26" s="557"/>
      <c r="I26" s="557"/>
      <c r="J26" s="289" t="s">
        <v>734</v>
      </c>
      <c r="K26" s="543"/>
      <c r="AF26" s="1631">
        <v>23</v>
      </c>
    </row>
    <row r="27" ht="19.949999999999999" customHeight="1">
      <c r="D27" s="1638"/>
      <c r="E27" s="1675" t="s">
        <v>735</v>
      </c>
      <c r="F27" s="1650" t="s">
        <v>736</v>
      </c>
      <c r="G27" s="1654" t="s">
        <v>555</v>
      </c>
      <c r="H27" s="1676"/>
      <c r="I27" s="1676"/>
      <c r="J27" s="289"/>
      <c r="K27" s="543"/>
      <c r="AF27" s="1631">
        <v>19</v>
      </c>
    </row>
    <row r="28" ht="19.949999999999999" customHeight="1">
      <c r="D28" s="1638"/>
      <c r="E28" s="1675" t="s">
        <v>737</v>
      </c>
      <c r="F28" s="1650" t="s">
        <v>738</v>
      </c>
      <c r="G28" s="1654" t="s">
        <v>555</v>
      </c>
      <c r="H28" s="1676"/>
      <c r="I28" s="1676"/>
      <c r="J28" s="289"/>
      <c r="K28" s="543"/>
      <c r="AF28" s="1631">
        <v>19</v>
      </c>
    </row>
    <row r="29" ht="19.949999999999999" customHeight="1">
      <c r="D29" s="1638"/>
      <c r="E29" s="1675" t="s">
        <v>739</v>
      </c>
      <c r="F29" s="954" t="s">
        <v>740</v>
      </c>
      <c r="G29" s="1654" t="s">
        <v>555</v>
      </c>
      <c r="H29" s="1676"/>
      <c r="I29" s="1676"/>
      <c r="J29" s="289"/>
      <c r="K29" s="543"/>
      <c r="AF29" s="1631">
        <v>19</v>
      </c>
    </row>
    <row r="30" ht="19.949999999999999" customHeight="1">
      <c r="D30" s="1638"/>
      <c r="E30" s="1675" t="s">
        <v>741</v>
      </c>
      <c r="F30" s="954" t="s">
        <v>742</v>
      </c>
      <c r="G30" s="1654" t="s">
        <v>555</v>
      </c>
      <c r="H30" s="1676"/>
      <c r="I30" s="1676"/>
      <c r="J30" s="289"/>
      <c r="K30" s="543"/>
      <c r="AF30" s="1631">
        <v>19</v>
      </c>
    </row>
    <row r="31" ht="19.949999999999999" customHeight="1">
      <c r="D31" s="1638"/>
      <c r="E31" s="1675" t="s">
        <v>743</v>
      </c>
      <c r="F31" s="954" t="s">
        <v>744</v>
      </c>
      <c r="G31" s="1654" t="s">
        <v>555</v>
      </c>
      <c r="H31" s="1676"/>
      <c r="I31" s="1676"/>
      <c r="J31" s="289"/>
      <c r="K31" s="543"/>
      <c r="AF31" s="1631">
        <v>19</v>
      </c>
    </row>
    <row r="32" s="1366" customFormat="1" ht="35.649999999999999" customHeight="1">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r="33" s="1642" customFormat="1" ht="1.05" customHeight="1">
      <c r="A33" s="1167"/>
      <c r="D33" s="548"/>
      <c r="E33" s="802" t="str">
        <f>E32&amp;".0"</f>
        <v>2.8.0</v>
      </c>
      <c r="F33" s="991"/>
      <c r="G33" s="551"/>
      <c r="H33" s="992"/>
      <c r="I33" s="992"/>
      <c r="J33" s="993"/>
      <c r="AF33" s="1636">
        <v>1</v>
      </c>
    </row>
    <row r="34" s="1366" customFormat="1" ht="19.949999999999999" customHeight="1">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r="35" ht="60" customHeight="1">
      <c r="D35" s="1638"/>
      <c r="E35" s="1675" t="s">
        <v>749</v>
      </c>
      <c r="F35" s="954" t="s">
        <v>750</v>
      </c>
      <c r="G35" s="1654" t="s">
        <v>555</v>
      </c>
      <c r="H35" s="1676"/>
      <c r="I35" s="1676"/>
      <c r="J35" s="289" t="s">
        <v>751</v>
      </c>
      <c r="K35" s="543"/>
      <c r="AF35" s="1631">
        <v>57</v>
      </c>
    </row>
    <row r="36" s="1366" customFormat="1" ht="24" customHeight="1">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r="37" s="1366" customFormat="1" ht="35.649999999999999" customHeight="1">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r="38" s="1366" customFormat="1" ht="19.949999999999999" customHeight="1">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r="39" s="1366" customFormat="1" ht="24" customHeight="1">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r="40" s="1366" customFormat="1" ht="24" customHeight="1">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r="41" s="1366" customFormat="1" ht="24" customHeight="1">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r="42" s="1366" customFormat="1" ht="24" customHeight="1">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r="43" s="1366" customFormat="1" ht="35.649999999999999" customHeight="1">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r="44" s="1366" customFormat="1" ht="35.649999999999999" customHeight="1">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r="45" s="1366" customFormat="1" ht="24" customHeight="1">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r="46" s="1366" customFormat="1" ht="19.949999999999999" customHeight="1">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r="47" ht="11.5" customHeight="1">
      <c r="D47" s="1638"/>
      <c r="AF47" s="1631">
        <v>11</v>
      </c>
    </row>
    <row r="48" s="1641" customFormat="1" ht="11.5" customHeight="1">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r="49" s="1641" customFormat="1" ht="11.5" customHeight="1">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r="50" s="1641" customFormat="1" ht="11.5" customHeight="1">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r="51" s="1641" customFormat="1" ht="11.5" customHeight="1">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r="52" s="1641" customFormat="1" ht="11.5" customHeight="1">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r="53" s="1641" customFormat="1" ht="11.5" customHeight="1">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r="54" s="1641" customFormat="1" ht="11.5" customHeight="1">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r="55" s="1641" customFormat="1" ht="11.5" customHeight="1">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r="56" s="1641" customFormat="1" ht="11.5" customHeight="1">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r="57" s="1641" customFormat="1" ht="11.5" customHeight="1">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r="58" s="1641" customFormat="1" ht="11.5" customHeight="1">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r="59" s="1641" customFormat="1" ht="11.5" customHeight="1">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r="60" s="1641" customFormat="1" ht="11.5" customHeight="1">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r="61" s="1641" customFormat="1" ht="11.5" customHeight="1">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r="62" s="1641" customFormat="1" ht="11.5" customHeight="1">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r="63" s="1641" customFormat="1" ht="11.5" customHeight="1">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r="64" s="1641" customFormat="1" ht="11.5" customHeight="1">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r="65" s="1641" customFormat="1" ht="11.5" customHeight="1">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r="66" s="1641" customFormat="1" ht="11.5" customHeight="1">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r="67" s="1641" customFormat="1" ht="11.5" customHeight="1">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r="68" s="1641" customFormat="1" ht="11.5" customHeight="1">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r="69" s="1641" customFormat="1" ht="11.5" customHeight="1">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r="70" s="1641" customFormat="1" ht="11.5" customHeight="1">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r="71" s="1641" customFormat="1" ht="11.5" customHeight="1">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r="72" s="1641" customFormat="1" ht="11.5" customHeight="1">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r="73" s="1641" customFormat="1" ht="11.5" customHeight="1">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r="74" s="1641" customFormat="1" ht="11.5" customHeight="1">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r="75" s="1641" customFormat="1" ht="11.5" customHeight="1">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r="76" s="1641" customFormat="1" ht="11.5" customHeight="1">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r="77" s="1641" customFormat="1" ht="11.5" customHeight="1">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r="78" s="1641" customFormat="1" ht="11.5" customHeight="1">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r="79" s="1641" customFormat="1" ht="11.5" customHeight="1">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r="80" s="1641" customFormat="1" ht="11.5" customHeight="1">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r="81" s="1641" customFormat="1" ht="11.5" customHeight="1">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r="82" s="1641" customFormat="1" ht="11.5" customHeight="1">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r="83" s="1641" customFormat="1" ht="11.5" customHeight="1">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r="84" s="1641" customFormat="1" ht="11.5" customHeight="1">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r="85" s="1641" customFormat="1" ht="11.5" customHeight="1">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r="86" s="1641" customFormat="1" ht="11.5" customHeight="1">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r="87" s="1641" customFormat="1" ht="11.5" customHeight="1">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r="88" s="1641" customFormat="1" ht="11.5" customHeight="1">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r="89" s="1641" customFormat="1" ht="11.5" customHeight="1">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r="90" s="1641" customFormat="1" ht="11.5" customHeight="1">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r="91" s="1641" customFormat="1" ht="11.5" customHeight="1">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r="92" s="1641" customFormat="1" ht="11.5" customHeight="1">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r="93" s="1641" customFormat="1" ht="11.5" customHeight="1">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r="94" s="1641" customFormat="1" ht="11.5" customHeight="1">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r="95" s="1641" customFormat="1" ht="11.5" customHeight="1">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r="96" s="1641" customFormat="1" ht="11.5" customHeight="1">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r="97" s="1641" customFormat="1" ht="11.5" customHeight="1">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r="98" s="1641" customFormat="1" ht="11.5" customHeight="1">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r="99" s="1641" customFormat="1" ht="11.5" customHeight="1">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r="100" s="1641" customFormat="1" ht="11.5" customHeight="1">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r="101" s="1641" customFormat="1" ht="11.5" customHeight="1">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r="102" s="1641" customFormat="1" ht="11.5" customHeight="1">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r="103" s="1641" customFormat="1" ht="11.5" customHeight="1">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r="104" s="1641" customFormat="1" ht="11.5" customHeight="1">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r="105" s="1641" customFormat="1" ht="11.5" customHeight="1">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r="106" s="1641" customFormat="1" ht="11.5" customHeight="1">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r="107" s="1641" customFormat="1" ht="11.5" customHeight="1">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r="108" s="1641" customFormat="1" ht="11.5" customHeight="1">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r="109" s="1641" customFormat="1" ht="11.5" customHeight="1">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r="110" s="1641" customFormat="1" ht="11.5" customHeight="1">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r="111" s="1641" customFormat="1" ht="11.5" customHeight="1">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r="112" s="1641" customFormat="1" ht="11.5" customHeight="1">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r="113" s="1641" customFormat="1" ht="11.5" customHeight="1">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r="114" s="1641" customFormat="1" ht="11.5" customHeight="1">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r="115" s="1641" customFormat="1" ht="11.5" customHeight="1">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r="116" s="1641" customFormat="1" ht="11.5" customHeight="1">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r="117" s="1641" customFormat="1" ht="11.5" customHeight="1">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r="118" s="1641" customFormat="1" ht="11.5" customHeight="1">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r="119" s="1641" customFormat="1" ht="11.5" customHeight="1">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r="120" s="1641" customFormat="1" ht="11.5" customHeight="1">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r="121" s="1641" customFormat="1" ht="11.5" customHeight="1">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r="122" s="1641" customFormat="1" ht="11.5" customHeight="1">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r="123" s="1641" customFormat="1" ht="11.5" customHeight="1">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r="124" s="1641" customFormat="1" ht="11.5" customHeight="1">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r="125" s="1641" customFormat="1" ht="11.5" customHeight="1">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r="126" s="1641" customFormat="1" ht="11.5" customHeight="1">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r="127" s="1641" customFormat="1" ht="11.5" customHeight="1">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r="128" s="1641" customFormat="1" ht="11.5" customHeight="1">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r="129" s="1641" customFormat="1" ht="11.5" customHeight="1">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r="130" s="1641" customFormat="1" ht="11.5" customHeight="1">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r="131" s="1641" customFormat="1" ht="11.5" customHeight="1">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r="132" s="1641" customFormat="1" ht="11.5" customHeight="1">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r="133" s="1641" customFormat="1" ht="11.5" customHeight="1">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r="134" s="1641" customFormat="1" ht="11.5" customHeight="1">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r="135" s="1641" customFormat="1" ht="11.5" customHeight="1">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r="136" s="1641" customFormat="1" ht="11.5" customHeight="1">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r="137" s="1641" customFormat="1" ht="11.5" customHeight="1">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r="138" s="1641" customFormat="1" ht="11.5" customHeight="1">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r="139" s="1641" customFormat="1" ht="11.5" customHeight="1">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r="140" s="1641" customFormat="1" ht="11.5" customHeight="1">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r="141" s="1641" customFormat="1" ht="11.5" customHeight="1">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r="142" s="1641" customFormat="1" ht="11.5" customHeight="1">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r="143" s="1641" customFormat="1" ht="11.5" customHeight="1">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r="144" s="1641" customFormat="1" ht="11.5" customHeight="1">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r="145" s="1641" customFormat="1" ht="11.5" customHeight="1">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r="146" s="1641" customFormat="1" ht="11.5" customHeight="1">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r="147" s="1641" customFormat="1" ht="11.5" customHeight="1">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r="148" s="1641" customFormat="1" ht="11.5" customHeight="1">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r="149" s="1641" customFormat="1" ht="11.5" customHeight="1">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r="150" s="1641" customFormat="1" ht="11.5" customHeight="1">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r="151" s="1641" customFormat="1" ht="11.5" customHeight="1">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r="152" s="1641" customFormat="1" ht="11.5" customHeight="1">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r="153" s="1641" customFormat="1" ht="11.5" customHeight="1">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r="154" s="1641" customFormat="1" ht="11.5" customHeight="1">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r="155" s="1641" customFormat="1" ht="11.5" customHeight="1">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r="156" s="1641" customFormat="1" ht="11.5" customHeight="1">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r="157" s="1641" customFormat="1" ht="11.5" customHeight="1">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r="158" s="1641" customFormat="1" ht="11.5" customHeight="1">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r="159" s="1641" customFormat="1" ht="11.5" customHeight="1">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r="160" s="1641" customFormat="1" ht="11.5" customHeight="1">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r="161" s="1641" customFormat="1" ht="11.5" customHeight="1">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r="162" s="1641" customFormat="1" ht="11.5" customHeight="1">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r="163" s="1641" customFormat="1" ht="11.5" customHeight="1">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r="164" s="1641" customFormat="1" ht="11.5" customHeight="1">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r="165" s="1641" customFormat="1" ht="11.5" customHeight="1">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r="166" s="1641" customFormat="1" ht="11.5" customHeight="1">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r="167" s="1641" customFormat="1" ht="11.5" customHeight="1">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r="168" s="1641" customFormat="1" ht="11.5" customHeight="1">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r="169" s="1641" customFormat="1" ht="11.5" customHeight="1">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r="170" s="1641" customFormat="1" ht="11.5" customHeight="1">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r="171" s="1641" customFormat="1" ht="11.5" customHeight="1">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r="172" s="1641" customFormat="1" ht="11.5" customHeight="1">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r="173" s="1641" customFormat="1" ht="11.5" customHeight="1">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r="174" s="1641" customFormat="1" ht="11.5" customHeight="1">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r="175" s="1641" customFormat="1" ht="11.5" customHeight="1">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r="176" s="1641" customFormat="1" ht="11.5" customHeight="1">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r="177" s="1641" customFormat="1" ht="11.5" customHeight="1">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r="178" s="1641" customFormat="1" ht="11.5" customHeight="1">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r="179" s="1641" customFormat="1" ht="11.5" customHeight="1">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r="180" s="1641" customFormat="1" ht="11.5" customHeight="1">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r="181" s="1641" customFormat="1" ht="11.5" customHeight="1">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r="182" s="1641" customFormat="1" ht="11.5" customHeight="1">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r="183" s="1641" customFormat="1" ht="11.5" customHeight="1">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r="184" s="1641" customFormat="1" ht="11.5" customHeight="1">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r="185" s="1641" customFormat="1" ht="11.5" customHeight="1">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r="186" s="1641" customFormat="1" ht="11.5" customHeight="1">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r="187" s="1641" customFormat="1" ht="11.5" customHeight="1">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r="188" s="1641" customFormat="1" ht="11.5" customHeight="1">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r="189" s="1641" customFormat="1" ht="11.5" customHeight="1">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r="190" s="1641" customFormat="1" ht="11.5" customHeight="1">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r="191" s="1641" customFormat="1" ht="11.5" customHeight="1">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r="192" s="1641" customFormat="1" ht="11.5" customHeight="1">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r="193" s="1641" customFormat="1" ht="11.5" customHeight="1">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r="194" s="1641" customFormat="1" ht="11.5" customHeight="1">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r="195" s="1641" customFormat="1" ht="11.5" customHeight="1">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r="196" s="1641" customFormat="1" ht="11.5" customHeight="1">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r="197" s="1641" customFormat="1" ht="11.5" customHeight="1">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r="198" s="1641" customFormat="1" ht="11.5" customHeight="1">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r="199" s="1641" customFormat="1" ht="11.5" customHeight="1">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r="200" s="1641" customFormat="1" ht="11.5" customHeight="1">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r="201" s="1641" customFormat="1" ht="11.5" customHeight="1">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r="202" s="1641" customFormat="1" ht="11.5" customHeight="1">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r="203" ht="11.5" customHeight="1">
      <c r="AF203" s="1631">
        <v>11</v>
      </c>
    </row>
    <row r="204" ht="11.5" customHeight="1">
      <c r="AF204" s="1631">
        <v>11</v>
      </c>
    </row>
    <row r="205" ht="11.5" customHeight="1">
      <c r="AF205" s="1631">
        <v>11</v>
      </c>
    </row>
    <row r="206" ht="11.5" customHeight="1">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r="207" ht="11.5" customHeight="1">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r="208" ht="11.5" customHeight="1">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r="209" ht="11.5" customHeight="1">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r="210" ht="11.5" customHeight="1">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r="211" ht="11.5" customHeight="1">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r="212" ht="11.5" customHeight="1">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r="213" ht="11.5" customHeight="1">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r="214" ht="11.5" customHeight="1">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r="215" ht="11.5" customHeight="1">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r="216" ht="11.5" customHeight="1">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r="217" ht="11.25" hidden="1" customHeight="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autoFilter="0" deleteColumns="1" deleteRows="1" formatColumns="0" formatRows="0" insertColumns="1" insertRows="1" sheet="1" sort="1"/>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400E5-00A4-4DE1-B939-0030006300AD}"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 xr:uid="{00AA00EA-00C8-40E3-8AFB-00A5003700F5}"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EB0020-000E-4CB6-A2BA-00CA005600F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D8008C-00FC-452B-94DE-00BA0003008E}"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560016-00FD-4A61-8A06-001800BD006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defaultRowHeight="11.25" customHeight="1"/>
  <cols>
    <col customWidth="1" hidden="1" min="1" max="1" style="987" width="10.7109375"/>
    <col customWidth="1" hidden="1" min="2" max="2" style="1366" width="16.8515625"/>
    <col customWidth="1" hidden="1" min="3" max="3" style="1642" width="5.57421875"/>
    <col customWidth="1" min="4" max="4" style="1635" width="3.00390625"/>
    <col customWidth="1" min="5" max="5" style="1635" width="7.00390625"/>
    <col customWidth="1" min="6" max="6" style="1635" width="54.00390625"/>
    <col customWidth="1" min="7" max="7" style="1635" width="10.00390625"/>
    <col customWidth="1" hidden="1" min="8" max="8" style="1635" width="40.7109375"/>
    <col customWidth="1" min="9" max="9" style="1635" width="40.00390625"/>
    <col customWidth="1" min="10" max="10" style="1635" width="102.00390625"/>
    <col customWidth="1" min="11" max="11" style="1366" width="9.00390625"/>
    <col customWidth="1" min="12" max="12" style="1642" width="5.00390625"/>
    <col customWidth="1" min="13" max="13" style="1642" width="3.00390625"/>
    <col customWidth="1" min="14" max="17" style="1366" width="3.00390625"/>
    <col customWidth="1" min="18" max="18" style="1642" width="10.00390625"/>
    <col customWidth="1" min="19" max="19" style="1366" width="34.00390625"/>
    <col customWidth="1" min="20" max="20" style="1366" width="9.00390625"/>
    <col customWidth="1" min="21" max="21" style="736" width="8.00390625"/>
    <col customWidth="1" min="22" max="26" style="1366" width="8.00390625"/>
    <col customWidth="1" min="27" max="31" style="1632" width="8.00390625"/>
    <col hidden="1" min="32" max="32" style="1635" width="9.140625"/>
  </cols>
  <sheetData>
    <row r="1" s="1366" customFormat="1" ht="22.5" hidden="1" customHeight="1">
      <c r="A1" s="987"/>
      <c r="C1" s="1636"/>
      <c r="D1" s="537"/>
      <c r="H1" s="1160">
        <v>4</v>
      </c>
      <c r="I1" s="1160">
        <v>4</v>
      </c>
      <c r="L1" s="1636"/>
      <c r="M1" s="1636"/>
      <c r="R1" s="1636"/>
      <c r="AF1" s="1160" t="s">
        <v>14</v>
      </c>
    </row>
    <row r="2" s="1366" customFormat="1" ht="22.5" hidden="1" customHeight="1">
      <c r="A2" s="987"/>
      <c r="C2" s="1636"/>
      <c r="D2" s="538"/>
      <c r="E2" s="1658"/>
      <c r="F2" s="540"/>
      <c r="G2" s="1657" t="s">
        <v>555</v>
      </c>
      <c r="H2" s="541"/>
      <c r="I2" s="541"/>
      <c r="J2" s="542" t="s">
        <v>558</v>
      </c>
      <c r="K2" s="543"/>
      <c r="L2" s="1636"/>
      <c r="M2" s="1636"/>
      <c r="R2" s="1636"/>
      <c r="U2" s="544"/>
      <c r="AA2" s="1632"/>
      <c r="AB2" s="1632"/>
      <c r="AC2" s="1632"/>
      <c r="AD2" s="1632"/>
      <c r="AE2" s="1632"/>
      <c r="AF2" s="1160">
        <v>0</v>
      </c>
    </row>
    <row r="3" ht="11.25" hidden="1" customHeight="1">
      <c r="AF3" s="1631">
        <v>0</v>
      </c>
    </row>
    <row r="4" s="1632" customFormat="1" ht="11.25" hidden="1" customHeight="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r="5" ht="11.5" customHeight="1">
      <c r="AF5" s="1631">
        <v>11</v>
      </c>
    </row>
    <row r="6" ht="33.75" customHeight="1">
      <c r="E6" s="2248" t="s">
        <v>778</v>
      </c>
      <c r="F6" s="2248"/>
      <c r="G6" s="2248"/>
      <c r="H6" s="2248"/>
      <c r="I6" s="2248"/>
      <c r="J6" s="556"/>
      <c r="AF6" s="1631">
        <v>32</v>
      </c>
    </row>
    <row r="7" ht="25.199999999999999" customHeight="1">
      <c r="E7" s="2249" t="str">
        <f>IF(org=0,"Не определено",org)</f>
        <v xml:space="preserve">АО "ДГК"</v>
      </c>
      <c r="F7" s="2249"/>
      <c r="G7" s="2249"/>
      <c r="H7" s="2249"/>
      <c r="I7" s="2249"/>
      <c r="AF7" s="1631">
        <v>24</v>
      </c>
    </row>
    <row r="8" ht="11.5" customHeight="1">
      <c r="E8" s="1135"/>
      <c r="F8" s="1135"/>
      <c r="G8" s="1135"/>
      <c r="H8" s="1135"/>
      <c r="I8" s="1135"/>
      <c r="AF8" s="1631">
        <v>11</v>
      </c>
    </row>
    <row r="9" s="1642" customFormat="1" ht="1.05" customHeight="1">
      <c r="A9" s="1167"/>
      <c r="D9" s="1642"/>
      <c r="H9" s="889"/>
      <c r="I9" s="889" t="s">
        <v>116</v>
      </c>
      <c r="AF9" s="1636">
        <v>1</v>
      </c>
    </row>
    <row r="10" ht="11.5" customHeight="1">
      <c r="E10" s="711"/>
      <c r="F10" s="2367" t="s">
        <v>104</v>
      </c>
      <c r="G10" s="2368"/>
      <c r="H10" s="1659" t="str">
        <f>IF(H9="","",INDEX(DIFFERENTIATION_UNMERGE_VD,MATCH(H9,DIFFERENTIATION_ID_DIFF,0)))</f>
        <v/>
      </c>
      <c r="I10" s="1659">
        <f>IF(I9="","",INDEX(DIFFERENTIATION_UNMERGE_VD,MATCH(I9,DIFFERENTIATION_ID_DIFF,0)))</f>
        <v>0</v>
      </c>
      <c r="J10" s="2127"/>
      <c r="AF10" s="1631">
        <v>11</v>
      </c>
    </row>
    <row r="11" ht="11.5" customHeight="1">
      <c r="E11" s="711"/>
      <c r="F11" s="2367" t="s">
        <v>567</v>
      </c>
      <c r="G11" s="2368"/>
      <c r="H11" s="1659" t="str">
        <f>IF(H9="","",INDEX(DIFFERENTIATION_UNMERGE_AREA,MATCH(H9,DIFFERENTIATION_ID_DIFF,0)))</f>
        <v/>
      </c>
      <c r="I11" s="1659" t="str">
        <f>IF(I9="","",INDEX(DIFFERENTIATION_UNMERGE_AREA,MATCH(I9,DIFFERENTIATION_ID_DIFF,0)))</f>
        <v/>
      </c>
      <c r="J11" s="2127"/>
      <c r="AF11" s="1631">
        <v>11</v>
      </c>
    </row>
    <row r="12" ht="11.25" hidden="1" customHeight="1">
      <c r="E12" s="1662"/>
      <c r="F12" s="2390" t="s">
        <v>568</v>
      </c>
      <c r="G12" s="2391"/>
      <c r="H12" s="1663" t="str">
        <f>IF(H9="","",INDEX(DIFFERENTIATION_UNMERGE_SYSTEM,MATCH(H9,DIFFERENTIATION_ID_DIFF,0)))</f>
        <v/>
      </c>
      <c r="I12" s="1663" t="str">
        <f>IF(I9="","",INDEX(DIFFERENTIATION_UNMERGE_SYSTEM,MATCH(I9,DIFFERENTIATION_ID_DIFF,0)))</f>
        <v xml:space="preserve">без дифференциации</v>
      </c>
      <c r="J12" s="2127"/>
      <c r="AF12" s="1631">
        <v>0</v>
      </c>
    </row>
    <row r="13" ht="11.5" customHeight="1">
      <c r="E13" s="2369" t="s">
        <v>304</v>
      </c>
      <c r="F13" s="2370"/>
      <c r="G13" s="2370"/>
      <c r="H13" s="1656"/>
      <c r="I13" s="1656"/>
      <c r="J13" s="2127"/>
      <c r="AF13" s="1631">
        <v>11</v>
      </c>
    </row>
    <row r="14" ht="24" customHeight="1">
      <c r="E14" s="1657" t="s">
        <v>88</v>
      </c>
      <c r="F14" s="1660" t="s">
        <v>306</v>
      </c>
      <c r="G14" s="1660" t="s">
        <v>569</v>
      </c>
      <c r="H14" s="1660" t="s">
        <v>307</v>
      </c>
      <c r="I14" s="1660" t="s">
        <v>307</v>
      </c>
      <c r="J14" s="2127"/>
      <c r="AF14" s="1631">
        <v>23</v>
      </c>
    </row>
    <row r="15" ht="19.949999999999999" customHeight="1">
      <c r="D15" s="1638"/>
      <c r="E15" s="1630" t="s">
        <v>108</v>
      </c>
      <c r="F15" s="707" t="s">
        <v>779</v>
      </c>
      <c r="G15" s="1657" t="s">
        <v>555</v>
      </c>
      <c r="H15" s="557"/>
      <c r="I15" s="557"/>
      <c r="J15" s="289" t="s">
        <v>780</v>
      </c>
      <c r="K15" s="543" t="s">
        <v>633</v>
      </c>
      <c r="AF15" s="1631">
        <v>19</v>
      </c>
    </row>
    <row r="16" ht="24" customHeight="1">
      <c r="D16" s="1638"/>
      <c r="E16" s="1630" t="s">
        <v>109</v>
      </c>
      <c r="F16" s="1665" t="s">
        <v>781</v>
      </c>
      <c r="G16" s="1657" t="s">
        <v>555</v>
      </c>
      <c r="H16" s="558">
        <f>SUM(H17,H20:H27)</f>
        <v>0</v>
      </c>
      <c r="I16" s="558">
        <f>SUM(I17,I20:I27)</f>
        <v>0</v>
      </c>
      <c r="J16" s="289" t="s">
        <v>782</v>
      </c>
      <c r="K16" s="543" t="s">
        <v>633</v>
      </c>
      <c r="AF16" s="1631">
        <v>23</v>
      </c>
    </row>
    <row r="17" ht="35.649999999999999" customHeight="1">
      <c r="D17" s="1638"/>
      <c r="E17" s="1664" t="s">
        <v>712</v>
      </c>
      <c r="F17" s="1667" t="s">
        <v>783</v>
      </c>
      <c r="G17" s="1654" t="s">
        <v>555</v>
      </c>
      <c r="H17" s="557"/>
      <c r="I17" s="557"/>
      <c r="J17" s="289" t="s">
        <v>784</v>
      </c>
      <c r="K17" s="543"/>
      <c r="AF17" s="1631">
        <v>34</v>
      </c>
    </row>
    <row r="18" ht="19.949999999999999" customHeight="1">
      <c r="D18" s="1638"/>
      <c r="E18" s="1664" t="s">
        <v>715</v>
      </c>
      <c r="F18" s="1668" t="s">
        <v>785</v>
      </c>
      <c r="G18" s="1654" t="s">
        <v>555</v>
      </c>
      <c r="H18" s="557"/>
      <c r="I18" s="557"/>
      <c r="J18" s="289"/>
      <c r="K18" s="543"/>
      <c r="AF18" s="1631">
        <v>19</v>
      </c>
    </row>
    <row r="19" ht="24" customHeight="1">
      <c r="D19" s="1638"/>
      <c r="E19" s="1664" t="s">
        <v>718</v>
      </c>
      <c r="F19" s="1668" t="s">
        <v>786</v>
      </c>
      <c r="G19" s="1654" t="s">
        <v>555</v>
      </c>
      <c r="H19" s="557"/>
      <c r="I19" s="557"/>
      <c r="J19" s="289"/>
      <c r="K19" s="543"/>
      <c r="AF19" s="1631">
        <v>23</v>
      </c>
    </row>
    <row r="20" ht="35.649999999999999" customHeight="1">
      <c r="D20" s="1638"/>
      <c r="E20" s="1664" t="s">
        <v>311</v>
      </c>
      <c r="F20" s="1667" t="s">
        <v>787</v>
      </c>
      <c r="G20" s="1654" t="s">
        <v>555</v>
      </c>
      <c r="H20" s="557"/>
      <c r="I20" s="557"/>
      <c r="J20" s="289"/>
      <c r="K20" s="543"/>
      <c r="AF20" s="1631">
        <v>34</v>
      </c>
    </row>
    <row r="21" ht="48.25" customHeight="1">
      <c r="D21" s="1638"/>
      <c r="E21" s="1664" t="s">
        <v>314</v>
      </c>
      <c r="F21" s="1667" t="s">
        <v>788</v>
      </c>
      <c r="G21" s="1654" t="s">
        <v>555</v>
      </c>
      <c r="H21" s="557"/>
      <c r="I21" s="557"/>
      <c r="J21" s="289"/>
      <c r="K21" s="543"/>
      <c r="AF21" s="1631">
        <v>46</v>
      </c>
    </row>
    <row r="22" ht="60" customHeight="1">
      <c r="D22" s="1638"/>
      <c r="E22" s="1664" t="s">
        <v>732</v>
      </c>
      <c r="F22" s="1667" t="s">
        <v>789</v>
      </c>
      <c r="G22" s="1654" t="s">
        <v>555</v>
      </c>
      <c r="H22" s="557"/>
      <c r="I22" s="557"/>
      <c r="J22" s="289"/>
      <c r="K22" s="543"/>
      <c r="AF22" s="1631">
        <v>57</v>
      </c>
    </row>
    <row r="23" ht="35.649999999999999" customHeight="1">
      <c r="D23" s="1638"/>
      <c r="E23" s="1664" t="s">
        <v>739</v>
      </c>
      <c r="F23" s="1667" t="s">
        <v>790</v>
      </c>
      <c r="G23" s="1654" t="s">
        <v>555</v>
      </c>
      <c r="H23" s="557"/>
      <c r="I23" s="557"/>
      <c r="J23" s="289"/>
      <c r="K23" s="543"/>
      <c r="AF23" s="1631">
        <v>34</v>
      </c>
    </row>
    <row r="24" ht="35.649999999999999" customHeight="1">
      <c r="D24" s="1638"/>
      <c r="E24" s="1664" t="s">
        <v>741</v>
      </c>
      <c r="F24" s="1667" t="s">
        <v>791</v>
      </c>
      <c r="G24" s="1654" t="s">
        <v>555</v>
      </c>
      <c r="H24" s="557"/>
      <c r="I24" s="557"/>
      <c r="J24" s="289"/>
      <c r="K24" s="543"/>
      <c r="AF24" s="1631">
        <v>34</v>
      </c>
    </row>
    <row r="25" ht="24" customHeight="1">
      <c r="D25" s="1638"/>
      <c r="E25" s="1664" t="s">
        <v>743</v>
      </c>
      <c r="F25" s="1667" t="s">
        <v>792</v>
      </c>
      <c r="G25" s="1654" t="s">
        <v>555</v>
      </c>
      <c r="H25" s="557"/>
      <c r="I25" s="557"/>
      <c r="J25" s="289"/>
      <c r="K25" s="543"/>
      <c r="AF25" s="1631">
        <v>23</v>
      </c>
    </row>
    <row r="26" ht="76.5" customHeight="1">
      <c r="D26" s="1638"/>
      <c r="E26" s="1664" t="s">
        <v>745</v>
      </c>
      <c r="F26" s="1667" t="s">
        <v>793</v>
      </c>
      <c r="G26" s="1654" t="s">
        <v>555</v>
      </c>
      <c r="H26" s="557"/>
      <c r="I26" s="557"/>
      <c r="J26" s="289"/>
      <c r="K26" s="543"/>
      <c r="AF26" s="1631">
        <v>73</v>
      </c>
    </row>
    <row r="27" s="1366" customFormat="1" ht="35.649999999999999" customHeight="1">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r="28" s="1642" customFormat="1" ht="1.05" customHeight="1">
      <c r="A28" s="1167"/>
      <c r="D28" s="548"/>
      <c r="E28" s="802" t="str">
        <f>E27&amp;".0"</f>
        <v>2.9.0</v>
      </c>
      <c r="F28" s="991"/>
      <c r="G28" s="551"/>
      <c r="H28" s="992"/>
      <c r="I28" s="992"/>
      <c r="J28" s="993"/>
      <c r="AF28" s="1636">
        <v>1</v>
      </c>
    </row>
    <row r="29" s="1366" customFormat="1" ht="19.949999999999999" customHeight="1">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r="30" s="1366" customFormat="1" ht="24" customHeight="1">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r="31" s="1366" customFormat="1" ht="35.649999999999999" customHeight="1">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r="32" s="1366" customFormat="1" ht="24" customHeight="1">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r="33" s="1366" customFormat="1" ht="24" customHeight="1">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r="34" s="1366" customFormat="1" ht="24" customHeight="1">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r="35" s="1366" customFormat="1" ht="35.649999999999999" customHeight="1">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r="36" s="1366" customFormat="1" ht="35.649999999999999" customHeight="1">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r="37" s="1366" customFormat="1" ht="24" customHeight="1">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r="38" ht="11.5" customHeight="1">
      <c r="D38" s="1638"/>
      <c r="AF38" s="1631">
        <v>11</v>
      </c>
    </row>
    <row r="39" ht="27.300000000000001" customHeight="1">
      <c r="D39" s="1638"/>
      <c r="E39" s="1253" t="s">
        <v>807</v>
      </c>
      <c r="F39" s="2285" t="s">
        <v>808</v>
      </c>
      <c r="G39" s="2285"/>
      <c r="H39" s="369"/>
      <c r="I39" s="369"/>
      <c r="J39" s="369"/>
      <c r="AF39" s="1631">
        <v>26</v>
      </c>
    </row>
    <row r="40" s="1641" customFormat="1" ht="39.75" customHeight="1">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r="41" s="1641" customFormat="1" ht="11.5" customHeight="1">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r="42" s="1641" customFormat="1" ht="11.5" customHeight="1">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r="43" s="1641" customFormat="1" ht="11.5" customHeight="1">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r="44" s="1641" customFormat="1" ht="11.5" customHeight="1">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r="45" s="1641" customFormat="1" ht="11.5" customHeight="1">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r="46" s="1641" customFormat="1" ht="11.5" customHeight="1">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r="47" s="1641" customFormat="1" ht="11.5" customHeight="1">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r="48" s="1641" customFormat="1" ht="11.5" customHeight="1">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r="49" s="1641" customFormat="1" ht="11.5" customHeight="1">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r="50" s="1641" customFormat="1" ht="11.5" customHeight="1">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r="51" s="1641" customFormat="1" ht="11.5" customHeight="1">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r="52" s="1641" customFormat="1" ht="11.5" customHeight="1">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r="53" s="1641" customFormat="1" ht="11.5" customHeight="1">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r="54" s="1641" customFormat="1" ht="11.5" customHeight="1">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r="55" s="1641" customFormat="1" ht="11.5" customHeight="1">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r="56" s="1641" customFormat="1" ht="11.5" customHeight="1">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r="57" s="1641" customFormat="1" ht="11.5" customHeight="1">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r="58" s="1641" customFormat="1" ht="11.5" customHeight="1">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r="59" s="1641" customFormat="1" ht="11.5" customHeight="1">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r="60" s="1641" customFormat="1" ht="11.5" customHeight="1">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r="61" s="1641" customFormat="1" ht="11.5" customHeight="1">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r="62" s="1641" customFormat="1" ht="11.5" customHeight="1">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r="63" s="1641" customFormat="1" ht="11.5" customHeight="1">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r="64" s="1641" customFormat="1" ht="11.5" customHeight="1">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r="65" s="1641" customFormat="1" ht="11.5" customHeight="1">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r="66" s="1641" customFormat="1" ht="11.5" customHeight="1">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r="67" s="1641" customFormat="1" ht="11.5" customHeight="1">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r="68" s="1641" customFormat="1" ht="11.5" customHeight="1">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r="69" s="1641" customFormat="1" ht="11.5" customHeight="1">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r="70" s="1641" customFormat="1" ht="11.5" customHeight="1">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r="71" s="1641" customFormat="1" ht="11.5" customHeight="1">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r="72" s="1641" customFormat="1" ht="11.5" customHeight="1">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r="73" s="1641" customFormat="1" ht="11.5" customHeight="1">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r="74" s="1641" customFormat="1" ht="11.5" customHeight="1">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r="75" s="1641" customFormat="1" ht="11.5" customHeight="1">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r="76" s="1641" customFormat="1" ht="11.5" customHeight="1">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r="77" s="1641" customFormat="1" ht="11.5" customHeight="1">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r="78" s="1641" customFormat="1" ht="11.5" customHeight="1">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r="79" s="1641" customFormat="1" ht="11.5" customHeight="1">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r="80" s="1641" customFormat="1" ht="11.5" customHeight="1">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r="81" s="1641" customFormat="1" ht="11.5" customHeight="1">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r="82" s="1641" customFormat="1" ht="11.5" customHeight="1">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r="83" s="1641" customFormat="1" ht="11.5" customHeight="1">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r="84" s="1641" customFormat="1" ht="11.5" customHeight="1">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r="85" s="1641" customFormat="1" ht="11.5" customHeight="1">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r="86" s="1641" customFormat="1" ht="11.5" customHeight="1">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r="87" s="1641" customFormat="1" ht="11.5" customHeight="1">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r="88" s="1641" customFormat="1" ht="11.5" customHeight="1">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r="89" s="1641" customFormat="1" ht="11.5" customHeight="1">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r="90" s="1641" customFormat="1" ht="11.5" customHeight="1">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r="91" s="1641" customFormat="1" ht="11.5" customHeight="1">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r="92" s="1641" customFormat="1" ht="11.5" customHeight="1">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r="93" s="1641" customFormat="1" ht="11.5" customHeight="1">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r="94" s="1641" customFormat="1" ht="11.5" customHeight="1">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r="95" s="1641" customFormat="1" ht="11.5" customHeight="1">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r="96" s="1641" customFormat="1" ht="11.5" customHeight="1">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r="97" s="1641" customFormat="1" ht="11.5" customHeight="1">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r="98" s="1641" customFormat="1" ht="11.5" customHeight="1">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r="99" s="1641" customFormat="1" ht="11.5" customHeight="1">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r="100" s="1641" customFormat="1" ht="11.5" customHeight="1">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r="101" s="1641" customFormat="1" ht="11.5" customHeight="1">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r="102" s="1641" customFormat="1" ht="11.5" customHeight="1">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r="103" s="1641" customFormat="1" ht="11.5" customHeight="1">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r="104" s="1641" customFormat="1" ht="11.5" customHeight="1">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r="105" s="1641" customFormat="1" ht="11.5" customHeight="1">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r="106" s="1641" customFormat="1" ht="11.5" customHeight="1">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r="107" s="1641" customFormat="1" ht="11.5" customHeight="1">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r="108" s="1641" customFormat="1" ht="11.5" customHeight="1">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r="109" s="1641" customFormat="1" ht="11.5" customHeight="1">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r="110" s="1641" customFormat="1" ht="11.5" customHeight="1">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r="111" s="1641" customFormat="1" ht="11.5" customHeight="1">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r="112" s="1641" customFormat="1" ht="11.5" customHeight="1">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r="113" s="1641" customFormat="1" ht="11.5" customHeight="1">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r="114" s="1641" customFormat="1" ht="11.5" customHeight="1">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r="115" s="1641" customFormat="1" ht="11.5" customHeight="1">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r="116" s="1641" customFormat="1" ht="11.5" customHeight="1">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r="117" s="1641" customFormat="1" ht="11.5" customHeight="1">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r="118" s="1641" customFormat="1" ht="11.5" customHeight="1">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r="119" s="1641" customFormat="1" ht="11.5" customHeight="1">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r="120" s="1641" customFormat="1" ht="11.5" customHeight="1">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r="121" s="1641" customFormat="1" ht="11.5" customHeight="1">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r="122" s="1641" customFormat="1" ht="11.5" customHeight="1">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r="123" s="1641" customFormat="1" ht="11.5" customHeight="1">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r="124" s="1641" customFormat="1" ht="11.5" customHeight="1">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r="125" s="1641" customFormat="1" ht="11.5" customHeight="1">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r="126" s="1641" customFormat="1" ht="11.5" customHeight="1">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r="127" s="1641" customFormat="1" ht="11.5" customHeight="1">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r="128" s="1641" customFormat="1" ht="11.5" customHeight="1">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r="129" s="1641" customFormat="1" ht="11.5" customHeight="1">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r="130" s="1641" customFormat="1" ht="11.5" customHeight="1">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r="131" s="1641" customFormat="1" ht="11.5" customHeight="1">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r="132" s="1641" customFormat="1" ht="11.5" customHeight="1">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r="133" s="1641" customFormat="1" ht="11.5" customHeight="1">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r="134" s="1641" customFormat="1" ht="11.5" customHeight="1">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r="135" s="1641" customFormat="1" ht="11.5" customHeight="1">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r="136" s="1641" customFormat="1" ht="11.5" customHeight="1">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r="137" s="1641" customFormat="1" ht="11.5" customHeight="1">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r="138" s="1641" customFormat="1" ht="11.5" customHeight="1">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r="139" s="1641" customFormat="1" ht="11.5" customHeight="1">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r="140" s="1641" customFormat="1" ht="11.5" customHeight="1">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r="141" s="1641" customFormat="1" ht="11.5" customHeight="1">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r="142" s="1641" customFormat="1" ht="11.5" customHeight="1">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r="143" s="1641" customFormat="1" ht="11.5" customHeight="1">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r="144" s="1641" customFormat="1" ht="11.5" customHeight="1">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r="145" s="1641" customFormat="1" ht="11.5" customHeight="1">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r="146" s="1641" customFormat="1" ht="11.5" customHeight="1">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r="147" s="1641" customFormat="1" ht="11.5" customHeight="1">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r="148" s="1641" customFormat="1" ht="11.5" customHeight="1">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r="149" s="1641" customFormat="1" ht="11.5" customHeight="1">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r="150" s="1641" customFormat="1" ht="11.5" customHeight="1">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r="151" s="1641" customFormat="1" ht="11.5" customHeight="1">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r="152" s="1641" customFormat="1" ht="11.5" customHeight="1">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r="153" s="1641" customFormat="1" ht="11.5" customHeight="1">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r="154" s="1641" customFormat="1" ht="11.5" customHeight="1">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r="155" s="1641" customFormat="1" ht="11.5" customHeight="1">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r="156" s="1641" customFormat="1" ht="11.5" customHeight="1">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r="157" s="1641" customFormat="1" ht="11.5" customHeight="1">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r="158" s="1641" customFormat="1" ht="11.5" customHeight="1">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r="159" s="1641" customFormat="1" ht="11.5" customHeight="1">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r="160" s="1641" customFormat="1" ht="11.5" customHeight="1">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r="161" s="1641" customFormat="1" ht="11.5" customHeight="1">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r="162" s="1641" customFormat="1" ht="11.5" customHeight="1">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r="163" s="1641" customFormat="1" ht="11.5" customHeight="1">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r="164" s="1641" customFormat="1" ht="11.5" customHeight="1">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r="165" s="1641" customFormat="1" ht="11.5" customHeight="1">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r="166" s="1641" customFormat="1" ht="11.5" customHeight="1">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r="167" s="1641" customFormat="1" ht="11.5" customHeight="1">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r="168" s="1641" customFormat="1" ht="11.5" customHeight="1">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r="169" s="1641" customFormat="1" ht="11.5" customHeight="1">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r="170" s="1641" customFormat="1" ht="11.5" customHeight="1">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r="171" s="1641" customFormat="1" ht="11.5" customHeight="1">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r="172" s="1641" customFormat="1" ht="11.5" customHeight="1">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r="173" s="1641" customFormat="1" ht="11.5" customHeight="1">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r="174" s="1641" customFormat="1" ht="11.5" customHeight="1">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r="175" s="1641" customFormat="1" ht="11.5" customHeight="1">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r="176" s="1641" customFormat="1" ht="11.5" customHeight="1">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r="177" s="1641" customFormat="1" ht="11.5" customHeight="1">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r="178" s="1641" customFormat="1" ht="11.5" customHeight="1">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r="179" s="1641" customFormat="1" ht="11.5" customHeight="1">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r="180" s="1641" customFormat="1" ht="11.5" customHeight="1">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r="181" s="1641" customFormat="1" ht="11.5" customHeight="1">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r="182" s="1641" customFormat="1" ht="11.5" customHeight="1">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r="183" s="1641" customFormat="1" ht="11.5" customHeight="1">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r="184" s="1641" customFormat="1" ht="11.5" customHeight="1">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r="185" s="1641" customFormat="1" ht="11.5" customHeight="1">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r="186" s="1641" customFormat="1" ht="11.5" customHeight="1">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r="187" s="1641" customFormat="1" ht="11.5" customHeight="1">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r="188" s="1641" customFormat="1" ht="11.5" customHeight="1">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r="189" s="1641" customFormat="1" ht="11.5" customHeight="1">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r="190" s="1641" customFormat="1" ht="11.5" customHeight="1">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r="191" s="1641" customFormat="1" ht="11.5" customHeight="1">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r="192" s="1641" customFormat="1" ht="11.5" customHeight="1">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r="193" s="1641" customFormat="1" ht="11.5" customHeight="1">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r="194" s="1641" customFormat="1" ht="11.5" customHeight="1">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r="195" s="1641" customFormat="1" ht="11.5" customHeight="1">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r="196" ht="11.5" customHeight="1">
      <c r="AF196" s="1631">
        <v>11</v>
      </c>
    </row>
    <row r="197" ht="11.5" customHeight="1">
      <c r="AF197" s="1631">
        <v>11</v>
      </c>
    </row>
    <row r="198" ht="11.5" customHeight="1">
      <c r="AF198" s="1631">
        <v>11</v>
      </c>
    </row>
    <row r="199" ht="11.5" customHeight="1">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r="200" ht="11.5" customHeight="1">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r="201" ht="11.5" customHeight="1">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r="202" ht="11.5" customHeight="1">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r="203" ht="11.5" customHeight="1">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r="204" ht="11.5" customHeight="1">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r="205" ht="11.5" customHeight="1">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r="206" ht="11.5" customHeight="1">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r="207" ht="11.5" customHeight="1">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r="208" ht="11.5" customHeight="1">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r="209" ht="11.5" customHeight="1">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r="210" ht="11.25" hidden="1" customHeight="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autoFilter="0" deleteColumns="1" deleteRows="1" formatColumns="0" formatRows="0" insertColumns="1" insertRows="1" sheet="1" sort="1"/>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700C2-00A8-4084-BEEC-00BE00BB0034}"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 xr:uid="{002800A0-001E-419A-A131-00FD008C00FE}"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B70025-00BA-4D57-9CF9-002E005B002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6E002E-000F-493A-935D-00F9003D0077}"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9300C5-0048-4F95-827C-008600EC00CA}"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defaultRowHeight="11.25" customHeight="1"/>
  <cols>
    <col customWidth="1" hidden="1" min="1" max="1" style="1166" width="9.140625"/>
    <col customWidth="1" hidden="1" min="2" max="2" style="1642" width="3.57421875"/>
    <col customWidth="1" min="3" max="3" style="1635" width="3.00390625"/>
    <col customWidth="1" min="4" max="4" style="1635" width="7.00390625"/>
    <col customWidth="1" min="5" max="5" style="1635" width="69.00390625"/>
    <col customWidth="1" min="6" max="6" style="1635" width="10.00390625"/>
    <col customWidth="1" hidden="1" min="7" max="8" style="1635" width="44.00390625"/>
    <col customWidth="1" min="9" max="9" style="1635" width="44.00390625"/>
    <col customWidth="1" min="10" max="10" style="1635" width="43.00390625"/>
    <col customWidth="1" min="11" max="11" style="1635" width="73.00390625"/>
    <col customWidth="1" min="12" max="12" style="1635" width="3.00390625"/>
    <col customWidth="1" min="13" max="23" style="1635" width="10.00390625"/>
    <col hidden="1" min="24" max="24" style="1635" width="10.57421875"/>
  </cols>
  <sheetData>
    <row r="1" s="1366" customFormat="1" ht="22.5" hidden="1" customHeight="1">
      <c r="A1" s="536"/>
      <c r="B1" s="511"/>
      <c r="G1" s="417">
        <v>4</v>
      </c>
      <c r="I1" s="417">
        <v>4</v>
      </c>
      <c r="K1" s="417">
        <v>5</v>
      </c>
      <c r="X1" s="417" t="s">
        <v>14</v>
      </c>
    </row>
    <row r="2" ht="3" customHeight="1">
      <c r="X2" s="505">
        <v>3</v>
      </c>
    </row>
    <row r="3" ht="78.75" customHeight="1">
      <c r="D3" s="2238"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r="4" s="1635" customFormat="1" ht="21" customHeight="1">
      <c r="A4" s="951"/>
      <c r="B4" s="511"/>
      <c r="D4" s="2214" t="str">
        <f>IF(org=0,"Не определено",org)</f>
        <v xml:space="preserve">АО "ДГК"</v>
      </c>
      <c r="E4" s="2215"/>
      <c r="F4" s="2216"/>
      <c r="X4" s="758">
        <v>20</v>
      </c>
    </row>
    <row r="5" ht="11.5" customHeight="1">
      <c r="C5" s="509"/>
      <c r="D5" s="588"/>
      <c r="E5" s="588"/>
      <c r="F5" s="588"/>
      <c r="G5" s="588"/>
      <c r="H5" s="752"/>
      <c r="I5" s="588"/>
      <c r="J5" s="752"/>
      <c r="K5" s="588"/>
      <c r="X5" s="505">
        <v>11</v>
      </c>
    </row>
    <row r="6" ht="1.05" customHeight="1">
      <c r="C6" s="509"/>
      <c r="D6" s="509"/>
      <c r="E6" s="522"/>
      <c r="F6" s="614"/>
      <c r="G6" s="1022"/>
      <c r="H6" s="1022"/>
      <c r="I6" s="1022" t="s">
        <v>116</v>
      </c>
      <c r="J6" s="1022"/>
      <c r="X6" s="505">
        <v>1</v>
      </c>
    </row>
    <row r="7" ht="11.5" customHeight="1">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r="8" ht="11.5" customHeight="1">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r="9" ht="11.5" customHeight="1">
      <c r="A9" s="704"/>
      <c r="D9" s="711"/>
      <c r="E9" s="2367" t="s">
        <v>568</v>
      </c>
      <c r="F9" s="2368"/>
      <c r="G9" s="2393" t="str">
        <f>IF(G6="","",INDEX(DIFFERENTIATION_UNMERGE_SYSTEM,MATCH(G6,DIFFERENTIATION_ID_DIFF,0)))</f>
        <v/>
      </c>
      <c r="H9" s="2394"/>
      <c r="I9" s="2393" t="str">
        <f>IF(I6="","",INDEX(DIFFERENTIATION_UNMERGE_SYSTEM,MATCH(I6,DIFFERENTIATION_ID_DIFF,0)))</f>
        <v xml:space="preserve">без дифференциации</v>
      </c>
      <c r="J9" s="2394"/>
      <c r="K9" s="2199"/>
      <c r="L9" s="509"/>
      <c r="X9" s="505">
        <v>11</v>
      </c>
    </row>
    <row r="10" s="1635" customFormat="1" ht="11.5" customHeight="1">
      <c r="A10" s="1021"/>
      <c r="B10" s="511"/>
      <c r="D10" s="2101" t="s">
        <v>304</v>
      </c>
      <c r="E10" s="2102"/>
      <c r="F10" s="2102"/>
      <c r="G10" s="2102"/>
      <c r="H10" s="2102"/>
      <c r="I10" s="2102"/>
      <c r="J10" s="2103"/>
      <c r="K10" s="2199"/>
      <c r="L10" s="509"/>
      <c r="X10" s="758">
        <v>11</v>
      </c>
    </row>
    <row r="11" s="1635" customFormat="1" ht="24" customHeight="1">
      <c r="A11" s="2385"/>
      <c r="B11" s="2385"/>
      <c r="C11" s="657"/>
      <c r="D11" s="703" t="s">
        <v>88</v>
      </c>
      <c r="E11" s="705" t="s">
        <v>810</v>
      </c>
      <c r="F11" s="705" t="s">
        <v>569</v>
      </c>
      <c r="G11" s="465" t="s">
        <v>307</v>
      </c>
      <c r="H11" s="465" t="s">
        <v>394</v>
      </c>
      <c r="I11" s="807" t="s">
        <v>307</v>
      </c>
      <c r="J11" s="808" t="s">
        <v>394</v>
      </c>
      <c r="K11" s="2232"/>
      <c r="L11" s="658"/>
      <c r="X11" s="509">
        <v>23</v>
      </c>
    </row>
    <row r="12" s="1642" customFormat="1" ht="10.5" customHeight="1">
      <c r="A12" s="952"/>
      <c r="D12" s="1025" t="s">
        <v>108</v>
      </c>
      <c r="E12" s="1025" t="s">
        <v>109</v>
      </c>
      <c r="F12" s="1025" t="s">
        <v>90</v>
      </c>
      <c r="G12" s="1026" t="str">
        <f>G1&amp;".1"</f>
        <v>4.1</v>
      </c>
      <c r="H12" s="1026" t="str">
        <f>G1&amp;".2"</f>
        <v>4.2</v>
      </c>
      <c r="I12" s="1026" t="str">
        <f>I1&amp;".1"</f>
        <v>4.1</v>
      </c>
      <c r="J12" s="1026" t="str">
        <f>I1&amp;".2"</f>
        <v>4.2</v>
      </c>
      <c r="K12" s="1026"/>
      <c r="X12" s="511">
        <v>10</v>
      </c>
    </row>
    <row r="13" ht="22.5" customHeight="1">
      <c r="A13" s="2392" t="s">
        <v>811</v>
      </c>
      <c r="D13" s="953" t="s">
        <v>108</v>
      </c>
      <c r="E13" s="279" t="s">
        <v>812</v>
      </c>
      <c r="F13" s="660" t="s">
        <v>813</v>
      </c>
      <c r="G13" s="557"/>
      <c r="H13" s="661"/>
      <c r="I13" s="557"/>
      <c r="J13" s="661"/>
      <c r="K13" s="289" t="s">
        <v>814</v>
      </c>
      <c r="L13" s="720"/>
      <c r="X13" s="505">
        <v>0</v>
      </c>
    </row>
    <row r="14" ht="22.5" customHeight="1">
      <c r="A14" s="2392"/>
      <c r="D14" s="539" t="s">
        <v>109</v>
      </c>
      <c r="E14" s="279" t="s">
        <v>815</v>
      </c>
      <c r="F14" s="660" t="s">
        <v>816</v>
      </c>
      <c r="G14" s="557"/>
      <c r="H14" s="662"/>
      <c r="I14" s="557"/>
      <c r="J14" s="662"/>
      <c r="K14" s="289" t="s">
        <v>817</v>
      </c>
      <c r="L14" s="720"/>
      <c r="X14" s="505">
        <v>0</v>
      </c>
    </row>
    <row r="15" s="1635" customFormat="1" ht="78.75" customHeight="1">
      <c r="A15" s="2392"/>
      <c r="B15" s="511"/>
      <c r="D15" s="953" t="s">
        <v>90</v>
      </c>
      <c r="E15" s="707" t="s">
        <v>818</v>
      </c>
      <c r="F15" s="950" t="s">
        <v>310</v>
      </c>
      <c r="G15" s="950" t="s">
        <v>310</v>
      </c>
      <c r="H15" s="106"/>
      <c r="I15" s="950" t="s">
        <v>310</v>
      </c>
      <c r="J15" s="106"/>
      <c r="K15" s="289" t="s">
        <v>819</v>
      </c>
      <c r="L15" s="720"/>
      <c r="X15" s="758">
        <v>0</v>
      </c>
    </row>
    <row r="16" s="1635" customFormat="1" ht="22.5" customHeight="1">
      <c r="A16" s="2392"/>
      <c r="B16" s="511"/>
      <c r="D16" s="953" t="s">
        <v>328</v>
      </c>
      <c r="E16" s="954" t="s">
        <v>820</v>
      </c>
      <c r="F16" s="950" t="s">
        <v>821</v>
      </c>
      <c r="G16" s="817"/>
      <c r="H16" s="106"/>
      <c r="I16" s="817"/>
      <c r="J16" s="106"/>
      <c r="K16" s="289"/>
      <c r="L16" s="720"/>
      <c r="X16" s="758">
        <v>0</v>
      </c>
    </row>
    <row r="17" s="1635" customFormat="1" ht="22.5" customHeight="1">
      <c r="A17" s="2392"/>
      <c r="B17" s="511"/>
      <c r="D17" s="953" t="s">
        <v>336</v>
      </c>
      <c r="E17" s="954" t="s">
        <v>822</v>
      </c>
      <c r="F17" s="950" t="s">
        <v>823</v>
      </c>
      <c r="G17" s="817"/>
      <c r="H17" s="106"/>
      <c r="I17" s="817"/>
      <c r="J17" s="106"/>
      <c r="K17" s="289"/>
      <c r="L17" s="720"/>
      <c r="X17" s="758">
        <v>0</v>
      </c>
    </row>
    <row r="18" s="1635" customFormat="1" ht="33.75" customHeight="1">
      <c r="A18" s="2392"/>
      <c r="B18" s="511"/>
      <c r="D18" s="953" t="s">
        <v>338</v>
      </c>
      <c r="E18" s="954" t="s">
        <v>824</v>
      </c>
      <c r="F18" s="950" t="s">
        <v>574</v>
      </c>
      <c r="G18" s="680"/>
      <c r="H18" s="106"/>
      <c r="I18" s="680"/>
      <c r="J18" s="106"/>
      <c r="K18" s="289"/>
      <c r="L18" s="720"/>
      <c r="X18" s="758">
        <v>0</v>
      </c>
    </row>
    <row r="19" ht="101.25" customHeight="1">
      <c r="A19" s="2392"/>
      <c r="D19" s="953" t="s">
        <v>91</v>
      </c>
      <c r="E19" s="279" t="s">
        <v>825</v>
      </c>
      <c r="F19" s="660" t="s">
        <v>549</v>
      </c>
      <c r="G19" s="663"/>
      <c r="H19" s="662"/>
      <c r="I19" s="955"/>
      <c r="J19" s="662"/>
      <c r="K19" s="289" t="s">
        <v>826</v>
      </c>
      <c r="L19" s="720"/>
      <c r="X19" s="505">
        <v>0</v>
      </c>
    </row>
    <row r="20" s="1635" customFormat="1" ht="18.75" customHeight="1">
      <c r="A20" s="2392"/>
      <c r="C20" s="956"/>
      <c r="D20" s="953" t="s">
        <v>757</v>
      </c>
      <c r="E20" s="954" t="s">
        <v>827</v>
      </c>
      <c r="F20" s="950" t="s">
        <v>310</v>
      </c>
      <c r="G20" s="950" t="s">
        <v>310</v>
      </c>
      <c r="H20" s="949" t="s">
        <v>310</v>
      </c>
      <c r="I20" s="950" t="s">
        <v>310</v>
      </c>
      <c r="J20" s="949" t="s">
        <v>310</v>
      </c>
      <c r="K20" s="948"/>
      <c r="L20" s="720"/>
      <c r="W20" s="675"/>
      <c r="X20" s="758">
        <v>0</v>
      </c>
    </row>
    <row r="21" s="1635" customFormat="1" ht="33.75" customHeight="1">
      <c r="A21" s="2392"/>
      <c r="C21" s="956"/>
      <c r="D21" s="953" t="s">
        <v>760</v>
      </c>
      <c r="E21" s="576" t="s">
        <v>828</v>
      </c>
      <c r="F21" s="950" t="s">
        <v>829</v>
      </c>
      <c r="G21" s="680"/>
      <c r="H21" s="106"/>
      <c r="I21" s="680"/>
      <c r="J21" s="106"/>
      <c r="K21" s="948"/>
      <c r="L21" s="720"/>
      <c r="W21" s="675"/>
      <c r="X21" s="758">
        <v>0</v>
      </c>
    </row>
    <row r="22" s="1635" customFormat="1" ht="33.75" customHeight="1">
      <c r="A22" s="2392"/>
      <c r="C22" s="956"/>
      <c r="D22" s="953" t="s">
        <v>763</v>
      </c>
      <c r="E22" s="576" t="s">
        <v>830</v>
      </c>
      <c r="F22" s="950" t="s">
        <v>831</v>
      </c>
      <c r="G22" s="680"/>
      <c r="H22" s="106"/>
      <c r="I22" s="680"/>
      <c r="J22" s="106"/>
      <c r="K22" s="948"/>
      <c r="L22" s="720"/>
      <c r="W22" s="675"/>
      <c r="X22" s="758">
        <v>0</v>
      </c>
    </row>
    <row r="23" s="1635" customFormat="1" ht="22.5" customHeight="1">
      <c r="A23" s="2392"/>
      <c r="C23" s="956"/>
      <c r="D23" s="953" t="s">
        <v>799</v>
      </c>
      <c r="E23" s="954" t="s">
        <v>832</v>
      </c>
      <c r="F23" s="950" t="s">
        <v>310</v>
      </c>
      <c r="G23" s="950" t="s">
        <v>310</v>
      </c>
      <c r="H23" s="949" t="s">
        <v>310</v>
      </c>
      <c r="I23" s="950" t="s">
        <v>310</v>
      </c>
      <c r="J23" s="949" t="s">
        <v>310</v>
      </c>
      <c r="K23" s="948"/>
      <c r="L23" s="720"/>
      <c r="W23" s="675"/>
      <c r="X23" s="758">
        <v>0</v>
      </c>
    </row>
    <row r="24" s="1635" customFormat="1" ht="22.5" customHeight="1">
      <c r="A24" s="2392"/>
      <c r="C24" s="956"/>
      <c r="D24" s="953" t="s">
        <v>833</v>
      </c>
      <c r="E24" s="576" t="s">
        <v>834</v>
      </c>
      <c r="F24" s="950" t="s">
        <v>835</v>
      </c>
      <c r="G24" s="680"/>
      <c r="H24" s="686"/>
      <c r="I24" s="680"/>
      <c r="J24" s="686"/>
      <c r="K24" s="948"/>
      <c r="L24" s="720"/>
      <c r="W24" s="675"/>
      <c r="X24" s="758">
        <v>0</v>
      </c>
    </row>
    <row r="25" s="1635" customFormat="1" ht="22.5" customHeight="1">
      <c r="A25" s="2392"/>
      <c r="C25" s="956"/>
      <c r="D25" s="953" t="s">
        <v>836</v>
      </c>
      <c r="E25" s="576" t="s">
        <v>837</v>
      </c>
      <c r="F25" s="950" t="s">
        <v>310</v>
      </c>
      <c r="G25" s="950" t="s">
        <v>310</v>
      </c>
      <c r="H25" s="949" t="s">
        <v>310</v>
      </c>
      <c r="I25" s="950" t="s">
        <v>310</v>
      </c>
      <c r="J25" s="949" t="s">
        <v>310</v>
      </c>
      <c r="K25" s="948"/>
      <c r="L25" s="720"/>
      <c r="W25" s="675"/>
      <c r="X25" s="758">
        <v>0</v>
      </c>
    </row>
    <row r="26" s="1635" customFormat="1" ht="18.75" customHeight="1">
      <c r="A26" s="2392"/>
      <c r="C26" s="956"/>
      <c r="D26" s="953" t="s">
        <v>838</v>
      </c>
      <c r="E26" s="553" t="s">
        <v>839</v>
      </c>
      <c r="F26" s="950" t="s">
        <v>840</v>
      </c>
      <c r="G26" s="680"/>
      <c r="H26" s="686"/>
      <c r="I26" s="680"/>
      <c r="J26" s="686"/>
      <c r="K26" s="948"/>
      <c r="L26" s="720"/>
      <c r="W26" s="675"/>
      <c r="X26" s="758">
        <v>0</v>
      </c>
    </row>
    <row r="27" s="1635" customFormat="1" ht="18.75" customHeight="1">
      <c r="A27" s="2392"/>
      <c r="C27" s="956"/>
      <c r="D27" s="953" t="s">
        <v>841</v>
      </c>
      <c r="E27" s="553" t="s">
        <v>842</v>
      </c>
      <c r="F27" s="950" t="s">
        <v>843</v>
      </c>
      <c r="G27" s="680"/>
      <c r="H27" s="686"/>
      <c r="I27" s="680"/>
      <c r="J27" s="686"/>
      <c r="K27" s="948"/>
      <c r="L27" s="720"/>
      <c r="W27" s="675"/>
      <c r="X27" s="758">
        <v>0</v>
      </c>
    </row>
    <row r="28" s="1635" customFormat="1" ht="18.75" customHeight="1">
      <c r="A28" s="2392"/>
      <c r="C28" s="956"/>
      <c r="D28" s="953" t="s">
        <v>844</v>
      </c>
      <c r="E28" s="576" t="s">
        <v>845</v>
      </c>
      <c r="F28" s="950" t="s">
        <v>310</v>
      </c>
      <c r="G28" s="950" t="s">
        <v>310</v>
      </c>
      <c r="H28" s="949" t="s">
        <v>310</v>
      </c>
      <c r="I28" s="950" t="s">
        <v>310</v>
      </c>
      <c r="J28" s="949" t="s">
        <v>310</v>
      </c>
      <c r="K28" s="948"/>
      <c r="L28" s="720"/>
      <c r="W28" s="675"/>
      <c r="X28" s="758">
        <v>0</v>
      </c>
    </row>
    <row r="29" s="1635" customFormat="1" ht="18.75" customHeight="1">
      <c r="A29" s="2392"/>
      <c r="C29" s="956"/>
      <c r="D29" s="953" t="s">
        <v>846</v>
      </c>
      <c r="E29" s="553" t="s">
        <v>839</v>
      </c>
      <c r="F29" s="950" t="s">
        <v>847</v>
      </c>
      <c r="G29" s="680"/>
      <c r="H29" s="686"/>
      <c r="I29" s="680"/>
      <c r="J29" s="686"/>
      <c r="K29" s="948"/>
      <c r="L29" s="720"/>
      <c r="W29" s="675"/>
      <c r="X29" s="758">
        <v>0</v>
      </c>
    </row>
    <row r="30" s="1635" customFormat="1" ht="18.75" customHeight="1">
      <c r="A30" s="2392"/>
      <c r="C30" s="956"/>
      <c r="D30" s="953" t="s">
        <v>848</v>
      </c>
      <c r="E30" s="553" t="s">
        <v>849</v>
      </c>
      <c r="F30" s="950" t="s">
        <v>850</v>
      </c>
      <c r="G30" s="680"/>
      <c r="H30" s="686"/>
      <c r="I30" s="680"/>
      <c r="J30" s="686"/>
      <c r="K30" s="948"/>
      <c r="L30" s="720"/>
      <c r="W30" s="675"/>
      <c r="X30" s="758">
        <v>0</v>
      </c>
    </row>
    <row r="31" ht="126.75" customHeight="1">
      <c r="A31" s="2392"/>
      <c r="D31" s="953" t="s">
        <v>110</v>
      </c>
      <c r="E31" s="279" t="s">
        <v>851</v>
      </c>
      <c r="F31" s="660" t="s">
        <v>561</v>
      </c>
      <c r="G31" s="557"/>
      <c r="H31" s="662"/>
      <c r="I31" s="557"/>
      <c r="J31" s="662"/>
      <c r="K31" s="289" t="s">
        <v>852</v>
      </c>
      <c r="L31" s="720"/>
      <c r="X31" s="505">
        <v>0</v>
      </c>
    </row>
    <row r="32" ht="56.25" customHeight="1">
      <c r="A32" s="2392"/>
      <c r="D32" s="953" t="s">
        <v>92</v>
      </c>
      <c r="E32" s="279" t="s">
        <v>853</v>
      </c>
      <c r="F32" s="539" t="s">
        <v>823</v>
      </c>
      <c r="G32" s="557"/>
      <c r="H32" s="662"/>
      <c r="I32" s="557"/>
      <c r="J32" s="662"/>
      <c r="K32" s="289" t="s">
        <v>854</v>
      </c>
      <c r="L32" s="720"/>
      <c r="X32" s="505">
        <v>0</v>
      </c>
    </row>
    <row r="33" ht="11.25" customHeight="1">
      <c r="A33" s="2392"/>
      <c r="E33" s="664"/>
      <c r="F33" s="181"/>
      <c r="G33" s="181"/>
      <c r="H33" s="181"/>
      <c r="I33" s="181"/>
      <c r="J33" s="181"/>
      <c r="K33" s="181"/>
      <c r="X33" s="505">
        <v>0</v>
      </c>
    </row>
    <row r="34" ht="12.75" customHeight="1">
      <c r="A34" s="2392"/>
      <c r="D34" s="65">
        <v>1</v>
      </c>
      <c r="E34" s="335" t="s">
        <v>855</v>
      </c>
      <c r="X34" s="505">
        <v>0</v>
      </c>
    </row>
    <row r="35" ht="11.25" customHeight="1">
      <c r="A35" s="2392"/>
      <c r="D35" s="369"/>
      <c r="E35" s="335" t="s">
        <v>856</v>
      </c>
      <c r="X35" s="505">
        <v>0</v>
      </c>
    </row>
    <row r="36" s="1635" customFormat="1" ht="11.5" customHeight="1">
      <c r="A36" s="1033"/>
      <c r="B36" s="518"/>
      <c r="D36" s="1034"/>
      <c r="E36" s="1035"/>
      <c r="X36" s="509">
        <v>11</v>
      </c>
    </row>
    <row r="37" s="1635" customFormat="1" ht="22.5" hidden="1" customHeight="1">
      <c r="A37" s="2392" t="s">
        <v>857</v>
      </c>
      <c r="B37" s="511"/>
      <c r="D37" s="953">
        <v>1</v>
      </c>
      <c r="E37" s="707" t="s">
        <v>858</v>
      </c>
      <c r="F37" s="660" t="s">
        <v>813</v>
      </c>
      <c r="G37" s="557"/>
      <c r="H37" s="519"/>
      <c r="I37" s="557"/>
      <c r="J37" s="519"/>
      <c r="K37" s="289" t="s">
        <v>859</v>
      </c>
      <c r="X37" s="758">
        <v>0</v>
      </c>
    </row>
    <row r="38" s="1635" customFormat="1" ht="22.5" hidden="1" customHeight="1">
      <c r="A38" s="2392"/>
      <c r="B38" s="511"/>
      <c r="D38" s="669" t="s">
        <v>109</v>
      </c>
      <c r="E38" s="1032" t="s">
        <v>860</v>
      </c>
      <c r="F38" s="1036" t="s">
        <v>549</v>
      </c>
      <c r="G38" s="1036" t="s">
        <v>549</v>
      </c>
      <c r="H38" s="1030"/>
      <c r="I38" s="1036" t="s">
        <v>549</v>
      </c>
      <c r="J38" s="1030"/>
      <c r="K38" s="1031"/>
      <c r="X38" s="758">
        <v>0</v>
      </c>
    </row>
    <row r="39" s="1635" customFormat="1" ht="33.75" hidden="1" customHeight="1">
      <c r="A39" s="2392"/>
      <c r="B39" s="511"/>
      <c r="D39" s="665" t="s">
        <v>715</v>
      </c>
      <c r="E39" s="723" t="s">
        <v>861</v>
      </c>
      <c r="F39" s="660" t="s">
        <v>862</v>
      </c>
      <c r="G39" s="668"/>
      <c r="H39" s="1023"/>
      <c r="I39" s="668"/>
      <c r="J39" s="1023"/>
      <c r="K39" s="289" t="s">
        <v>863</v>
      </c>
      <c r="X39" s="758">
        <v>0</v>
      </c>
    </row>
    <row r="40" s="1635" customFormat="1" ht="33.75" hidden="1" customHeight="1">
      <c r="A40" s="2392"/>
      <c r="B40" s="511"/>
      <c r="D40" s="665" t="s">
        <v>718</v>
      </c>
      <c r="E40" s="723" t="s">
        <v>864</v>
      </c>
      <c r="F40" s="1027" t="s">
        <v>865</v>
      </c>
      <c r="G40" s="741"/>
      <c r="H40" s="1023"/>
      <c r="I40" s="741"/>
      <c r="J40" s="1023"/>
      <c r="K40" s="289" t="s">
        <v>866</v>
      </c>
      <c r="X40" s="758">
        <v>0</v>
      </c>
    </row>
    <row r="41" s="1635" customFormat="1" ht="22.5" hidden="1" customHeight="1">
      <c r="A41" s="2392"/>
      <c r="B41" s="511"/>
      <c r="D41" s="665" t="s">
        <v>90</v>
      </c>
      <c r="E41" s="722" t="s">
        <v>867</v>
      </c>
      <c r="F41" s="660" t="s">
        <v>549</v>
      </c>
      <c r="G41" s="660" t="s">
        <v>549</v>
      </c>
      <c r="H41" s="1024"/>
      <c r="I41" s="660" t="s">
        <v>549</v>
      </c>
      <c r="J41" s="1024"/>
      <c r="K41" s="302"/>
      <c r="X41" s="758">
        <v>0</v>
      </c>
    </row>
    <row r="42" s="1635" customFormat="1" ht="45" hidden="1" customHeight="1">
      <c r="A42" s="2392"/>
      <c r="B42" s="511"/>
      <c r="D42" s="665" t="s">
        <v>328</v>
      </c>
      <c r="E42" s="723" t="s">
        <v>868</v>
      </c>
      <c r="F42" s="660" t="s">
        <v>561</v>
      </c>
      <c r="G42" s="557"/>
      <c r="H42" s="1024"/>
      <c r="I42" s="557"/>
      <c r="J42" s="1024"/>
      <c r="K42" s="302" t="s">
        <v>869</v>
      </c>
      <c r="X42" s="758">
        <v>0</v>
      </c>
    </row>
    <row r="43" s="1635" customFormat="1" ht="45" hidden="1" customHeight="1">
      <c r="A43" s="2392"/>
      <c r="B43" s="511"/>
      <c r="D43" s="665" t="s">
        <v>336</v>
      </c>
      <c r="E43" s="667" t="s">
        <v>870</v>
      </c>
      <c r="F43" s="1028" t="s">
        <v>561</v>
      </c>
      <c r="G43" s="742"/>
      <c r="H43" s="1023"/>
      <c r="I43" s="742"/>
      <c r="J43" s="1023"/>
      <c r="K43" s="302" t="s">
        <v>871</v>
      </c>
      <c r="X43" s="758">
        <v>0</v>
      </c>
    </row>
    <row r="44" s="1635" customFormat="1" ht="11.25" hidden="1" customHeight="1">
      <c r="A44" s="2392"/>
      <c r="B44" s="511"/>
      <c r="D44" s="665" t="s">
        <v>91</v>
      </c>
      <c r="E44" s="666" t="s">
        <v>872</v>
      </c>
      <c r="F44" s="660" t="s">
        <v>862</v>
      </c>
      <c r="G44" s="668"/>
      <c r="H44" s="1023"/>
      <c r="I44" s="668"/>
      <c r="J44" s="1023"/>
      <c r="K44" s="289"/>
      <c r="X44" s="758">
        <v>0</v>
      </c>
    </row>
    <row r="45" s="1635" customFormat="1" ht="11.25" hidden="1" customHeight="1">
      <c r="A45" s="2392"/>
      <c r="B45" s="511"/>
      <c r="D45" s="665" t="s">
        <v>757</v>
      </c>
      <c r="E45" s="667" t="s">
        <v>873</v>
      </c>
      <c r="F45" s="660" t="s">
        <v>862</v>
      </c>
      <c r="G45" s="668"/>
      <c r="H45" s="1023"/>
      <c r="I45" s="668"/>
      <c r="J45" s="1023"/>
      <c r="K45" s="289"/>
      <c r="X45" s="758">
        <v>0</v>
      </c>
    </row>
    <row r="46" s="1635" customFormat="1" ht="11.25" hidden="1" customHeight="1">
      <c r="A46" s="2392"/>
      <c r="B46" s="511"/>
      <c r="D46" s="665" t="s">
        <v>799</v>
      </c>
      <c r="E46" s="667" t="s">
        <v>874</v>
      </c>
      <c r="F46" s="660" t="s">
        <v>862</v>
      </c>
      <c r="G46" s="668"/>
      <c r="H46" s="1023"/>
      <c r="I46" s="668"/>
      <c r="J46" s="1023"/>
      <c r="K46" s="289"/>
      <c r="X46" s="758">
        <v>0</v>
      </c>
    </row>
    <row r="47" s="1635" customFormat="1" ht="11.25" hidden="1" customHeight="1">
      <c r="A47" s="2392"/>
      <c r="B47" s="511"/>
      <c r="D47" s="665" t="s">
        <v>802</v>
      </c>
      <c r="E47" s="667" t="s">
        <v>875</v>
      </c>
      <c r="F47" s="660" t="s">
        <v>862</v>
      </c>
      <c r="G47" s="668"/>
      <c r="H47" s="1023"/>
      <c r="I47" s="668"/>
      <c r="J47" s="1023"/>
      <c r="K47" s="289"/>
      <c r="X47" s="758">
        <v>0</v>
      </c>
    </row>
    <row r="48" s="1635" customFormat="1" ht="11.25" hidden="1" customHeight="1">
      <c r="A48" s="2392"/>
      <c r="B48" s="511"/>
      <c r="D48" s="665" t="s">
        <v>876</v>
      </c>
      <c r="E48" s="671" t="s">
        <v>877</v>
      </c>
      <c r="F48" s="660" t="s">
        <v>862</v>
      </c>
      <c r="G48" s="668"/>
      <c r="H48" s="1023"/>
      <c r="I48" s="668"/>
      <c r="J48" s="1023"/>
      <c r="K48" s="289"/>
      <c r="X48" s="758">
        <v>0</v>
      </c>
    </row>
    <row r="49" s="1635" customFormat="1" ht="11.25" hidden="1" customHeight="1">
      <c r="A49" s="2392"/>
      <c r="B49" s="511"/>
      <c r="D49" s="665" t="s">
        <v>878</v>
      </c>
      <c r="E49" s="671" t="s">
        <v>879</v>
      </c>
      <c r="F49" s="660" t="s">
        <v>862</v>
      </c>
      <c r="G49" s="668"/>
      <c r="H49" s="1023"/>
      <c r="I49" s="668"/>
      <c r="J49" s="1023"/>
      <c r="K49" s="289"/>
      <c r="X49" s="758">
        <v>0</v>
      </c>
    </row>
    <row r="50" s="1635" customFormat="1" ht="11.25" hidden="1" customHeight="1">
      <c r="A50" s="2392"/>
      <c r="B50" s="511"/>
      <c r="D50" s="665" t="s">
        <v>880</v>
      </c>
      <c r="E50" s="667" t="s">
        <v>881</v>
      </c>
      <c r="F50" s="660" t="s">
        <v>862</v>
      </c>
      <c r="G50" s="668"/>
      <c r="H50" s="1023"/>
      <c r="I50" s="668"/>
      <c r="J50" s="1023"/>
      <c r="K50" s="289"/>
      <c r="X50" s="758">
        <v>0</v>
      </c>
    </row>
    <row r="51" s="1635" customFormat="1" ht="11.25" hidden="1" customHeight="1">
      <c r="A51" s="2392"/>
      <c r="B51" s="511"/>
      <c r="D51" s="665" t="s">
        <v>882</v>
      </c>
      <c r="E51" s="667" t="s">
        <v>883</v>
      </c>
      <c r="F51" s="660" t="s">
        <v>862</v>
      </c>
      <c r="G51" s="668"/>
      <c r="H51" s="1023"/>
      <c r="I51" s="668"/>
      <c r="J51" s="1023"/>
      <c r="K51" s="289"/>
      <c r="X51" s="758">
        <v>0</v>
      </c>
    </row>
    <row r="52" s="1635" customFormat="1" ht="45" hidden="1" customHeight="1">
      <c r="A52" s="2392"/>
      <c r="B52" s="511"/>
      <c r="D52" s="665" t="s">
        <v>110</v>
      </c>
      <c r="E52" s="666" t="s">
        <v>884</v>
      </c>
      <c r="F52" s="660" t="s">
        <v>862</v>
      </c>
      <c r="G52" s="668"/>
      <c r="H52" s="1023"/>
      <c r="I52" s="668"/>
      <c r="J52" s="1023"/>
      <c r="K52" s="289"/>
      <c r="X52" s="758">
        <v>0</v>
      </c>
    </row>
    <row r="53" s="1635" customFormat="1" ht="11.25" hidden="1" customHeight="1">
      <c r="A53" s="2392"/>
      <c r="B53" s="511"/>
      <c r="D53" s="665" t="s">
        <v>317</v>
      </c>
      <c r="E53" s="667" t="s">
        <v>873</v>
      </c>
      <c r="F53" s="660" t="s">
        <v>862</v>
      </c>
      <c r="G53" s="668"/>
      <c r="H53" s="1023"/>
      <c r="I53" s="668"/>
      <c r="J53" s="1023"/>
      <c r="K53" s="289"/>
      <c r="X53" s="758">
        <v>0</v>
      </c>
    </row>
    <row r="54" s="1635" customFormat="1" ht="11.25" hidden="1" customHeight="1">
      <c r="A54" s="2392"/>
      <c r="B54" s="511"/>
      <c r="D54" s="665" t="s">
        <v>885</v>
      </c>
      <c r="E54" s="667" t="s">
        <v>874</v>
      </c>
      <c r="F54" s="660" t="s">
        <v>862</v>
      </c>
      <c r="G54" s="668"/>
      <c r="H54" s="1023"/>
      <c r="I54" s="668"/>
      <c r="J54" s="1023"/>
      <c r="K54" s="289"/>
      <c r="X54" s="758">
        <v>0</v>
      </c>
    </row>
    <row r="55" s="1635" customFormat="1" ht="11.25" hidden="1" customHeight="1">
      <c r="A55" s="2392"/>
      <c r="B55" s="511"/>
      <c r="D55" s="665" t="s">
        <v>886</v>
      </c>
      <c r="E55" s="667" t="s">
        <v>875</v>
      </c>
      <c r="F55" s="660" t="s">
        <v>862</v>
      </c>
      <c r="G55" s="668"/>
      <c r="H55" s="1023"/>
      <c r="I55" s="668"/>
      <c r="J55" s="1023"/>
      <c r="K55" s="289"/>
      <c r="X55" s="758">
        <v>0</v>
      </c>
    </row>
    <row r="56" s="1635" customFormat="1" ht="11.25" hidden="1" customHeight="1">
      <c r="A56" s="2392"/>
      <c r="B56" s="511"/>
      <c r="D56" s="665" t="s">
        <v>887</v>
      </c>
      <c r="E56" s="671" t="s">
        <v>877</v>
      </c>
      <c r="F56" s="660" t="s">
        <v>862</v>
      </c>
      <c r="G56" s="668"/>
      <c r="H56" s="1023"/>
      <c r="I56" s="668"/>
      <c r="J56" s="1023"/>
      <c r="K56" s="289"/>
      <c r="X56" s="758">
        <v>0</v>
      </c>
    </row>
    <row r="57" s="1635" customFormat="1" ht="11.25" hidden="1" customHeight="1">
      <c r="A57" s="2392"/>
      <c r="B57" s="511"/>
      <c r="D57" s="665" t="s">
        <v>888</v>
      </c>
      <c r="E57" s="671" t="s">
        <v>879</v>
      </c>
      <c r="F57" s="660" t="s">
        <v>862</v>
      </c>
      <c r="G57" s="668"/>
      <c r="H57" s="1023"/>
      <c r="I57" s="668"/>
      <c r="J57" s="1023"/>
      <c r="K57" s="289"/>
      <c r="X57" s="758">
        <v>0</v>
      </c>
    </row>
    <row r="58" s="1635" customFormat="1" ht="11.25" hidden="1" customHeight="1">
      <c r="A58" s="2392"/>
      <c r="B58" s="511"/>
      <c r="D58" s="665" t="s">
        <v>889</v>
      </c>
      <c r="E58" s="667" t="s">
        <v>881</v>
      </c>
      <c r="F58" s="660" t="s">
        <v>862</v>
      </c>
      <c r="G58" s="668"/>
      <c r="H58" s="1023"/>
      <c r="I58" s="668"/>
      <c r="J58" s="1023"/>
      <c r="K58" s="289"/>
      <c r="X58" s="758">
        <v>0</v>
      </c>
    </row>
    <row r="59" s="1635" customFormat="1" ht="11.25" hidden="1" customHeight="1">
      <c r="A59" s="2392"/>
      <c r="B59" s="511"/>
      <c r="D59" s="665" t="s">
        <v>890</v>
      </c>
      <c r="E59" s="667" t="s">
        <v>883</v>
      </c>
      <c r="F59" s="660" t="s">
        <v>862</v>
      </c>
      <c r="G59" s="668"/>
      <c r="H59" s="1023"/>
      <c r="I59" s="668"/>
      <c r="J59" s="1023"/>
      <c r="K59" s="289"/>
      <c r="X59" s="758">
        <v>0</v>
      </c>
    </row>
    <row r="60" s="1635" customFormat="1" ht="33.75" hidden="1" customHeight="1">
      <c r="A60" s="2392"/>
      <c r="B60" s="511"/>
      <c r="D60" s="665" t="s">
        <v>92</v>
      </c>
      <c r="E60" s="666" t="s">
        <v>891</v>
      </c>
      <c r="F60" s="721" t="s">
        <v>561</v>
      </c>
      <c r="G60" s="742"/>
      <c r="H60" s="1023"/>
      <c r="I60" s="742"/>
      <c r="J60" s="1023"/>
      <c r="K60" s="302" t="s">
        <v>892</v>
      </c>
      <c r="X60" s="758">
        <v>0</v>
      </c>
    </row>
    <row r="61" s="1635" customFormat="1" ht="33.75" hidden="1" customHeight="1">
      <c r="A61" s="2392"/>
      <c r="B61" s="511"/>
      <c r="D61" s="665" t="s">
        <v>93</v>
      </c>
      <c r="E61" s="666" t="s">
        <v>893</v>
      </c>
      <c r="F61" s="726" t="s">
        <v>823</v>
      </c>
      <c r="G61" s="668"/>
      <c r="H61" s="1023"/>
      <c r="I61" s="668"/>
      <c r="J61" s="1023"/>
      <c r="K61" s="289"/>
      <c r="X61" s="758">
        <v>0</v>
      </c>
    </row>
    <row r="62" s="1635" customFormat="1" ht="22.5" hidden="1" customHeight="1">
      <c r="A62" s="2392"/>
      <c r="B62" s="511" t="s">
        <v>591</v>
      </c>
      <c r="D62" s="665" t="s">
        <v>111</v>
      </c>
      <c r="E62" s="666" t="s">
        <v>894</v>
      </c>
      <c r="F62" s="726" t="s">
        <v>310</v>
      </c>
      <c r="G62" s="382"/>
      <c r="H62" s="1023"/>
      <c r="I62" s="382"/>
      <c r="J62" s="1023"/>
      <c r="K62" s="289" t="s">
        <v>634</v>
      </c>
      <c r="X62" s="758">
        <v>0</v>
      </c>
    </row>
    <row r="63" s="1635" customFormat="1" ht="45" hidden="1" customHeight="1">
      <c r="A63" s="2392"/>
      <c r="B63" s="511" t="s">
        <v>591</v>
      </c>
      <c r="D63" s="665" t="s">
        <v>895</v>
      </c>
      <c r="E63" s="667" t="s">
        <v>896</v>
      </c>
      <c r="F63" s="721" t="s">
        <v>310</v>
      </c>
      <c r="G63" s="382"/>
      <c r="H63" s="1023"/>
      <c r="I63" s="382"/>
      <c r="J63" s="1023"/>
      <c r="K63" s="289" t="s">
        <v>634</v>
      </c>
      <c r="X63" s="758">
        <v>0</v>
      </c>
    </row>
    <row r="64" s="1635" customFormat="1" ht="11.5" customHeight="1">
      <c r="A64" s="1033"/>
      <c r="B64" s="518"/>
      <c r="D64" s="1034"/>
      <c r="E64" s="1035"/>
      <c r="X64" s="509">
        <v>11</v>
      </c>
    </row>
    <row r="65" s="1635" customFormat="1" ht="22.5" hidden="1" customHeight="1">
      <c r="A65" s="2392" t="s">
        <v>897</v>
      </c>
      <c r="B65" s="511"/>
      <c r="D65" s="665">
        <v>1</v>
      </c>
      <c r="E65" s="744" t="s">
        <v>898</v>
      </c>
      <c r="F65" s="740" t="s">
        <v>813</v>
      </c>
      <c r="G65" s="741"/>
      <c r="H65" s="1029"/>
      <c r="I65" s="741"/>
      <c r="J65" s="1029"/>
      <c r="K65" s="301" t="s">
        <v>899</v>
      </c>
      <c r="X65" s="758">
        <v>0</v>
      </c>
    </row>
    <row r="66" s="1635" customFormat="1" ht="56.25" hidden="1" customHeight="1">
      <c r="A66" s="2392"/>
      <c r="B66" s="511"/>
      <c r="D66" s="743" t="s">
        <v>109</v>
      </c>
      <c r="E66" s="707" t="s">
        <v>900</v>
      </c>
      <c r="F66" s="660" t="s">
        <v>549</v>
      </c>
      <c r="G66" s="660" t="s">
        <v>549</v>
      </c>
      <c r="H66" s="519"/>
      <c r="I66" s="660" t="s">
        <v>549</v>
      </c>
      <c r="J66" s="519"/>
      <c r="K66" s="289"/>
      <c r="X66" s="758">
        <v>0</v>
      </c>
    </row>
    <row r="67" s="1635" customFormat="1" ht="33.75" hidden="1" customHeight="1">
      <c r="A67" s="2392"/>
      <c r="B67" s="511"/>
      <c r="D67" s="743" t="s">
        <v>712</v>
      </c>
      <c r="E67" s="954" t="s">
        <v>901</v>
      </c>
      <c r="F67" s="660" t="s">
        <v>865</v>
      </c>
      <c r="G67" s="727"/>
      <c r="H67" s="519"/>
      <c r="I67" s="727"/>
      <c r="J67" s="519"/>
      <c r="K67" s="289"/>
      <c r="X67" s="758">
        <v>0</v>
      </c>
    </row>
    <row r="68" s="1635" customFormat="1" ht="22.5" hidden="1" customHeight="1">
      <c r="A68" s="2392"/>
      <c r="B68" s="511"/>
      <c r="D68" s="743" t="s">
        <v>311</v>
      </c>
      <c r="E68" s="954" t="s">
        <v>902</v>
      </c>
      <c r="F68" s="660" t="s">
        <v>865</v>
      </c>
      <c r="G68" s="727"/>
      <c r="H68" s="519"/>
      <c r="I68" s="727"/>
      <c r="J68" s="519"/>
      <c r="K68" s="289"/>
      <c r="X68" s="758">
        <v>0</v>
      </c>
    </row>
    <row r="69" s="1635" customFormat="1" ht="22.5" hidden="1" customHeight="1">
      <c r="A69" s="2392"/>
      <c r="B69" s="511"/>
      <c r="D69" s="743" t="s">
        <v>314</v>
      </c>
      <c r="E69" s="954" t="s">
        <v>903</v>
      </c>
      <c r="F69" s="721" t="s">
        <v>561</v>
      </c>
      <c r="G69" s="742"/>
      <c r="H69" s="519"/>
      <c r="I69" s="742"/>
      <c r="J69" s="519"/>
      <c r="K69" s="289"/>
      <c r="X69" s="758">
        <v>0</v>
      </c>
    </row>
    <row r="70" s="1635" customFormat="1" ht="22.5" hidden="1" customHeight="1">
      <c r="A70" s="2392"/>
      <c r="B70" s="511"/>
      <c r="D70" s="743" t="s">
        <v>732</v>
      </c>
      <c r="E70" s="954" t="s">
        <v>904</v>
      </c>
      <c r="F70" s="721" t="s">
        <v>561</v>
      </c>
      <c r="G70" s="742"/>
      <c r="H70" s="519"/>
      <c r="I70" s="742"/>
      <c r="J70" s="519"/>
      <c r="K70" s="289"/>
      <c r="X70" s="758">
        <v>0</v>
      </c>
    </row>
    <row r="71" s="1635" customFormat="1" ht="22.5" hidden="1" customHeight="1">
      <c r="A71" s="2392"/>
      <c r="B71" s="511"/>
      <c r="D71" s="665" t="s">
        <v>90</v>
      </c>
      <c r="E71" s="666" t="s">
        <v>905</v>
      </c>
      <c r="F71" s="660" t="s">
        <v>865</v>
      </c>
      <c r="G71" s="557"/>
      <c r="H71" s="1030"/>
      <c r="I71" s="557"/>
      <c r="J71" s="1030"/>
      <c r="K71" s="302"/>
      <c r="X71" s="758">
        <v>0</v>
      </c>
    </row>
    <row r="72" s="1635" customFormat="1" ht="56.25" hidden="1" customHeight="1">
      <c r="A72" s="2392"/>
      <c r="B72" s="511"/>
      <c r="D72" s="665" t="s">
        <v>91</v>
      </c>
      <c r="E72" s="666" t="s">
        <v>906</v>
      </c>
      <c r="F72" s="721" t="s">
        <v>561</v>
      </c>
      <c r="G72" s="742"/>
      <c r="H72" s="1023"/>
      <c r="I72" s="742"/>
      <c r="J72" s="1023"/>
      <c r="K72" s="302"/>
      <c r="X72" s="758">
        <v>0</v>
      </c>
    </row>
    <row r="73" s="1635" customFormat="1" ht="33.75" hidden="1" customHeight="1">
      <c r="A73" s="2392"/>
      <c r="B73" s="511"/>
      <c r="D73" s="665" t="s">
        <v>110</v>
      </c>
      <c r="E73" s="666" t="s">
        <v>907</v>
      </c>
      <c r="F73" s="726" t="s">
        <v>823</v>
      </c>
      <c r="G73" s="668"/>
      <c r="H73" s="1023"/>
      <c r="I73" s="668"/>
      <c r="J73" s="1023"/>
      <c r="K73" s="289"/>
      <c r="X73" s="758">
        <v>0</v>
      </c>
    </row>
    <row r="74" s="1635" customFormat="1" ht="22.5" hidden="1" customHeight="1">
      <c r="A74" s="2392"/>
      <c r="B74" s="511" t="s">
        <v>591</v>
      </c>
      <c r="D74" s="665" t="s">
        <v>92</v>
      </c>
      <c r="E74" s="666" t="s">
        <v>908</v>
      </c>
      <c r="F74" s="726" t="s">
        <v>310</v>
      </c>
      <c r="G74" s="382"/>
      <c r="H74" s="1023"/>
      <c r="I74" s="382"/>
      <c r="J74" s="1023"/>
      <c r="K74" s="289" t="s">
        <v>634</v>
      </c>
      <c r="X74" s="758">
        <v>0</v>
      </c>
    </row>
    <row r="75" s="1635" customFormat="1" ht="45" hidden="1" customHeight="1">
      <c r="A75" s="2392"/>
      <c r="B75" s="511" t="s">
        <v>591</v>
      </c>
      <c r="D75" s="665" t="s">
        <v>655</v>
      </c>
      <c r="E75" s="667" t="s">
        <v>909</v>
      </c>
      <c r="F75" s="721" t="s">
        <v>310</v>
      </c>
      <c r="G75" s="382"/>
      <c r="H75" s="1023"/>
      <c r="I75" s="382"/>
      <c r="J75" s="1023"/>
      <c r="K75" s="289" t="s">
        <v>634</v>
      </c>
      <c r="X75" s="758">
        <v>0</v>
      </c>
    </row>
    <row r="76" s="1635" customFormat="1" ht="11.5" customHeight="1">
      <c r="A76" s="1033"/>
      <c r="B76" s="518"/>
      <c r="D76" s="1034"/>
      <c r="E76" s="1035"/>
      <c r="X76" s="509">
        <v>11</v>
      </c>
    </row>
    <row r="77" s="1635" customFormat="1" ht="11.25" hidden="1" customHeight="1">
      <c r="A77" s="2392" t="s">
        <v>910</v>
      </c>
      <c r="B77" s="511"/>
      <c r="D77" s="665">
        <v>1</v>
      </c>
      <c r="E77" s="666" t="s">
        <v>911</v>
      </c>
      <c r="F77" s="721" t="s">
        <v>813</v>
      </c>
      <c r="G77" s="724"/>
      <c r="H77" s="1023"/>
      <c r="I77" s="724"/>
      <c r="J77" s="1023"/>
      <c r="K77" s="289" t="s">
        <v>912</v>
      </c>
      <c r="X77" s="758">
        <v>0</v>
      </c>
    </row>
    <row r="78" s="1635" customFormat="1" ht="11.25" hidden="1" customHeight="1">
      <c r="A78" s="2392"/>
      <c r="B78" s="511"/>
      <c r="D78" s="665" t="s">
        <v>109</v>
      </c>
      <c r="E78" s="666" t="s">
        <v>913</v>
      </c>
      <c r="F78" s="721" t="s">
        <v>813</v>
      </c>
      <c r="G78" s="724"/>
      <c r="H78" s="1023"/>
      <c r="I78" s="724"/>
      <c r="J78" s="1023"/>
      <c r="K78" s="289" t="s">
        <v>914</v>
      </c>
      <c r="X78" s="758">
        <v>0</v>
      </c>
    </row>
    <row r="79" s="1635" customFormat="1" ht="22.5" hidden="1" customHeight="1">
      <c r="A79" s="2392"/>
      <c r="B79" s="511"/>
      <c r="D79" s="665" t="s">
        <v>90</v>
      </c>
      <c r="E79" s="722" t="s">
        <v>915</v>
      </c>
      <c r="F79" s="660" t="s">
        <v>862</v>
      </c>
      <c r="G79" s="724"/>
      <c r="H79" s="1023"/>
      <c r="I79" s="724"/>
      <c r="J79" s="1023"/>
      <c r="K79" s="289" t="s">
        <v>916</v>
      </c>
      <c r="X79" s="758">
        <v>0</v>
      </c>
    </row>
    <row r="80" s="1635" customFormat="1" ht="11.25" hidden="1" customHeight="1">
      <c r="A80" s="2392"/>
      <c r="B80" s="511"/>
      <c r="D80" s="665" t="s">
        <v>328</v>
      </c>
      <c r="E80" s="723" t="s">
        <v>917</v>
      </c>
      <c r="F80" s="660" t="s">
        <v>862</v>
      </c>
      <c r="G80" s="724"/>
      <c r="H80" s="1023"/>
      <c r="I80" s="724"/>
      <c r="J80" s="1023"/>
      <c r="K80" s="289"/>
      <c r="X80" s="758">
        <v>0</v>
      </c>
    </row>
    <row r="81" s="1635" customFormat="1" ht="11.25" hidden="1" customHeight="1">
      <c r="A81" s="2392"/>
      <c r="B81" s="511"/>
      <c r="D81" s="665" t="s">
        <v>336</v>
      </c>
      <c r="E81" s="723" t="s">
        <v>918</v>
      </c>
      <c r="F81" s="660" t="s">
        <v>862</v>
      </c>
      <c r="G81" s="724"/>
      <c r="H81" s="1023"/>
      <c r="I81" s="724"/>
      <c r="J81" s="1023"/>
      <c r="K81" s="289"/>
      <c r="X81" s="758">
        <v>0</v>
      </c>
    </row>
    <row r="82" s="1635" customFormat="1" ht="11.25" hidden="1" customHeight="1">
      <c r="A82" s="2392"/>
      <c r="B82" s="511"/>
      <c r="D82" s="665" t="s">
        <v>338</v>
      </c>
      <c r="E82" s="723" t="s">
        <v>919</v>
      </c>
      <c r="F82" s="660" t="s">
        <v>862</v>
      </c>
      <c r="G82" s="724"/>
      <c r="H82" s="1023"/>
      <c r="I82" s="724"/>
      <c r="J82" s="1023"/>
      <c r="K82" s="289"/>
      <c r="X82" s="758">
        <v>0</v>
      </c>
    </row>
    <row r="83" s="1635" customFormat="1" ht="11.25" hidden="1" customHeight="1">
      <c r="A83" s="2392"/>
      <c r="B83" s="511"/>
      <c r="D83" s="665" t="s">
        <v>340</v>
      </c>
      <c r="E83" s="723" t="s">
        <v>920</v>
      </c>
      <c r="F83" s="660" t="s">
        <v>862</v>
      </c>
      <c r="G83" s="724"/>
      <c r="H83" s="1023"/>
      <c r="I83" s="724"/>
      <c r="J83" s="1023"/>
      <c r="K83" s="289"/>
      <c r="X83" s="758">
        <v>0</v>
      </c>
    </row>
    <row r="84" s="1635" customFormat="1" ht="11.25" hidden="1" customHeight="1">
      <c r="A84" s="2392"/>
      <c r="B84" s="511"/>
      <c r="D84" s="665" t="s">
        <v>921</v>
      </c>
      <c r="E84" s="723" t="s">
        <v>922</v>
      </c>
      <c r="F84" s="660" t="s">
        <v>862</v>
      </c>
      <c r="G84" s="724"/>
      <c r="H84" s="1023"/>
      <c r="I84" s="724"/>
      <c r="J84" s="1023"/>
      <c r="K84" s="289"/>
      <c r="X84" s="758">
        <v>0</v>
      </c>
    </row>
    <row r="85" s="1635" customFormat="1" ht="11.25" hidden="1" customHeight="1">
      <c r="A85" s="2392"/>
      <c r="B85" s="511"/>
      <c r="D85" s="665" t="s">
        <v>923</v>
      </c>
      <c r="E85" s="723" t="s">
        <v>924</v>
      </c>
      <c r="F85" s="660" t="s">
        <v>862</v>
      </c>
      <c r="G85" s="724"/>
      <c r="H85" s="1023"/>
      <c r="I85" s="724"/>
      <c r="J85" s="1023"/>
      <c r="K85" s="289"/>
      <c r="X85" s="758">
        <v>0</v>
      </c>
    </row>
    <row r="86" s="1635" customFormat="1" ht="11.25" hidden="1" customHeight="1">
      <c r="A86" s="2392"/>
      <c r="B86" s="511"/>
      <c r="D86" s="665" t="s">
        <v>925</v>
      </c>
      <c r="E86" s="723" t="s">
        <v>926</v>
      </c>
      <c r="F86" s="660" t="s">
        <v>862</v>
      </c>
      <c r="G86" s="724"/>
      <c r="H86" s="1023"/>
      <c r="I86" s="724"/>
      <c r="J86" s="1023"/>
      <c r="K86" s="289"/>
      <c r="X86" s="758">
        <v>0</v>
      </c>
    </row>
    <row r="87" s="1635" customFormat="1" ht="45" hidden="1" customHeight="1">
      <c r="A87" s="2392"/>
      <c r="B87" s="511"/>
      <c r="D87" s="665" t="s">
        <v>91</v>
      </c>
      <c r="E87" s="666" t="s">
        <v>927</v>
      </c>
      <c r="F87" s="660" t="s">
        <v>862</v>
      </c>
      <c r="G87" s="724"/>
      <c r="H87" s="1023"/>
      <c r="I87" s="724"/>
      <c r="J87" s="1023"/>
      <c r="K87" s="289" t="s">
        <v>928</v>
      </c>
      <c r="X87" s="758">
        <v>0</v>
      </c>
    </row>
    <row r="88" s="1635" customFormat="1" ht="11.25" hidden="1" customHeight="1">
      <c r="A88" s="2392"/>
      <c r="B88" s="511"/>
      <c r="D88" s="665" t="s">
        <v>757</v>
      </c>
      <c r="E88" s="723" t="s">
        <v>917</v>
      </c>
      <c r="F88" s="660" t="s">
        <v>862</v>
      </c>
      <c r="G88" s="724"/>
      <c r="H88" s="1023"/>
      <c r="I88" s="724"/>
      <c r="J88" s="1023"/>
      <c r="K88" s="289"/>
      <c r="X88" s="758">
        <v>0</v>
      </c>
    </row>
    <row r="89" s="1635" customFormat="1" ht="11.25" hidden="1" customHeight="1">
      <c r="A89" s="2392"/>
      <c r="B89" s="511"/>
      <c r="D89" s="665" t="s">
        <v>799</v>
      </c>
      <c r="E89" s="723" t="s">
        <v>918</v>
      </c>
      <c r="F89" s="660" t="s">
        <v>862</v>
      </c>
      <c r="G89" s="724"/>
      <c r="H89" s="1023"/>
      <c r="I89" s="724"/>
      <c r="J89" s="1023"/>
      <c r="K89" s="289"/>
      <c r="X89" s="758">
        <v>0</v>
      </c>
    </row>
    <row r="90" s="1635" customFormat="1" ht="11.25" hidden="1" customHeight="1">
      <c r="A90" s="2392"/>
      <c r="B90" s="511"/>
      <c r="D90" s="665" t="s">
        <v>802</v>
      </c>
      <c r="E90" s="723" t="s">
        <v>919</v>
      </c>
      <c r="F90" s="660" t="s">
        <v>862</v>
      </c>
      <c r="G90" s="724"/>
      <c r="H90" s="1023"/>
      <c r="I90" s="724"/>
      <c r="J90" s="1023"/>
      <c r="K90" s="289"/>
      <c r="X90" s="758">
        <v>0</v>
      </c>
    </row>
    <row r="91" s="1635" customFormat="1" ht="11.25" hidden="1" customHeight="1">
      <c r="A91" s="2392"/>
      <c r="B91" s="511"/>
      <c r="D91" s="665" t="s">
        <v>880</v>
      </c>
      <c r="E91" s="723" t="s">
        <v>920</v>
      </c>
      <c r="F91" s="660" t="s">
        <v>862</v>
      </c>
      <c r="G91" s="724"/>
      <c r="H91" s="1023"/>
      <c r="I91" s="724"/>
      <c r="J91" s="1023"/>
      <c r="K91" s="289"/>
      <c r="X91" s="758">
        <v>0</v>
      </c>
    </row>
    <row r="92" s="1635" customFormat="1" ht="11.25" hidden="1" customHeight="1">
      <c r="A92" s="2392"/>
      <c r="B92" s="511"/>
      <c r="D92" s="665" t="s">
        <v>882</v>
      </c>
      <c r="E92" s="723" t="s">
        <v>922</v>
      </c>
      <c r="F92" s="660" t="s">
        <v>862</v>
      </c>
      <c r="G92" s="724"/>
      <c r="H92" s="1023"/>
      <c r="I92" s="724"/>
      <c r="J92" s="1023"/>
      <c r="K92" s="289"/>
      <c r="X92" s="758">
        <v>0</v>
      </c>
    </row>
    <row r="93" s="1635" customFormat="1" ht="11.25" hidden="1" customHeight="1">
      <c r="A93" s="2392"/>
      <c r="B93" s="511"/>
      <c r="D93" s="665" t="s">
        <v>929</v>
      </c>
      <c r="E93" s="723" t="s">
        <v>924</v>
      </c>
      <c r="F93" s="660" t="s">
        <v>862</v>
      </c>
      <c r="G93" s="724"/>
      <c r="H93" s="1023"/>
      <c r="I93" s="724"/>
      <c r="J93" s="1023"/>
      <c r="K93" s="289"/>
      <c r="X93" s="758">
        <v>0</v>
      </c>
    </row>
    <row r="94" s="1635" customFormat="1" ht="11.25" hidden="1" customHeight="1">
      <c r="A94" s="2392"/>
      <c r="B94" s="511"/>
      <c r="D94" s="665" t="s">
        <v>930</v>
      </c>
      <c r="E94" s="723" t="s">
        <v>926</v>
      </c>
      <c r="F94" s="660" t="s">
        <v>862</v>
      </c>
      <c r="G94" s="724"/>
      <c r="H94" s="1023"/>
      <c r="I94" s="724"/>
      <c r="J94" s="1023"/>
      <c r="K94" s="289"/>
      <c r="X94" s="758">
        <v>0</v>
      </c>
    </row>
    <row r="95" s="1635" customFormat="1" ht="24.75" hidden="1" customHeight="1">
      <c r="A95" s="2392"/>
      <c r="B95" s="511"/>
      <c r="D95" s="665" t="s">
        <v>110</v>
      </c>
      <c r="E95" s="666" t="s">
        <v>931</v>
      </c>
      <c r="F95" s="725" t="s">
        <v>561</v>
      </c>
      <c r="G95" s="727"/>
      <c r="H95" s="1023"/>
      <c r="I95" s="727"/>
      <c r="J95" s="1023"/>
      <c r="K95" s="289" t="s">
        <v>932</v>
      </c>
      <c r="X95" s="758">
        <v>0</v>
      </c>
    </row>
    <row r="96" s="1635" customFormat="1" ht="33.75" hidden="1" customHeight="1">
      <c r="A96" s="2392"/>
      <c r="B96" s="511"/>
      <c r="D96" s="665" t="s">
        <v>92</v>
      </c>
      <c r="E96" s="666" t="s">
        <v>933</v>
      </c>
      <c r="F96" s="726" t="s">
        <v>823</v>
      </c>
      <c r="G96" s="728"/>
      <c r="H96" s="1023"/>
      <c r="I96" s="728"/>
      <c r="J96" s="1023"/>
      <c r="K96" s="289"/>
      <c r="X96" s="758">
        <v>0</v>
      </c>
    </row>
    <row r="97" s="1635" customFormat="1" ht="22.5" hidden="1" customHeight="1">
      <c r="A97" s="2392"/>
      <c r="B97" s="511" t="s">
        <v>591</v>
      </c>
      <c r="D97" s="665" t="s">
        <v>93</v>
      </c>
      <c r="E97" s="666" t="s">
        <v>934</v>
      </c>
      <c r="F97" s="726" t="s">
        <v>310</v>
      </c>
      <c r="G97" s="385"/>
      <c r="H97" s="1023"/>
      <c r="I97" s="385"/>
      <c r="J97" s="1023"/>
      <c r="K97" s="289" t="s">
        <v>634</v>
      </c>
      <c r="X97" s="758">
        <v>0</v>
      </c>
    </row>
    <row r="98" s="1635" customFormat="1" ht="45" hidden="1" customHeight="1">
      <c r="A98" s="2392"/>
      <c r="B98" s="511" t="s">
        <v>591</v>
      </c>
      <c r="D98" s="665" t="s">
        <v>935</v>
      </c>
      <c r="E98" s="667" t="s">
        <v>936</v>
      </c>
      <c r="F98" s="721" t="s">
        <v>310</v>
      </c>
      <c r="G98" s="385"/>
      <c r="H98" s="1023"/>
      <c r="I98" s="385"/>
      <c r="J98" s="1023"/>
      <c r="K98" s="289" t="s">
        <v>634</v>
      </c>
      <c r="X98" s="758">
        <v>0</v>
      </c>
    </row>
    <row r="99" s="1635" customFormat="1" ht="95.25" hidden="1" customHeight="1">
      <c r="A99" s="2392"/>
      <c r="B99" s="511" t="s">
        <v>591</v>
      </c>
      <c r="D99" s="665" t="s">
        <v>111</v>
      </c>
      <c r="E99" s="666" t="s">
        <v>937</v>
      </c>
      <c r="F99" s="721" t="s">
        <v>310</v>
      </c>
      <c r="G99" s="385"/>
      <c r="H99" s="1023"/>
      <c r="I99" s="385"/>
      <c r="J99" s="1023"/>
      <c r="K99" s="289" t="s">
        <v>634</v>
      </c>
      <c r="X99" s="758">
        <v>0</v>
      </c>
    </row>
    <row r="100" s="1635" customFormat="1" ht="22.5" hidden="1" customHeight="1">
      <c r="A100" s="2392"/>
      <c r="B100" s="511" t="s">
        <v>591</v>
      </c>
      <c r="D100" s="665" t="s">
        <v>147</v>
      </c>
      <c r="E100" s="666" t="s">
        <v>938</v>
      </c>
      <c r="F100" s="721" t="s">
        <v>310</v>
      </c>
      <c r="G100" s="385"/>
      <c r="H100" s="1023"/>
      <c r="I100" s="385"/>
      <c r="J100" s="1023"/>
      <c r="K100" s="289" t="s">
        <v>634</v>
      </c>
      <c r="X100" s="758">
        <v>0</v>
      </c>
    </row>
    <row r="101" s="1635" customFormat="1" ht="11.5" customHeight="1">
      <c r="A101" s="1033"/>
      <c r="B101" s="518"/>
      <c r="D101" s="1034"/>
      <c r="E101" s="1035"/>
      <c r="X101" s="509">
        <v>11</v>
      </c>
    </row>
    <row r="102" ht="22.5" hidden="1" customHeight="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autoFilter="0" deleteColumns="1" deleteRows="1" formatColumns="0" formatRows="0" insertColumns="1" insertRows="1" sheet="1" sort="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020097-00E9-44E1-80CD-004800C300D4}"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 xr:uid="{00F70053-0073-4280-A1CE-004E00C50044}"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250059-00FE-485B-B09C-00D0004C00B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FB0013-0039-4527-906A-007400DF00EB}"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8900DF-0002-4545-BD49-006A005C00FC}"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52003F-0077-43A1-B32B-0024002E00C7}"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defaultRowHeight="11.25" customHeight="1"/>
  <cols>
    <col customWidth="1" hidden="1" min="1" max="1" style="1853" width="6.421875"/>
    <col customWidth="1" hidden="1" min="2" max="2" style="1853" width="2.00390625"/>
    <col customWidth="1" min="3" max="3" style="1853" width="3.00390625"/>
    <col customWidth="1" min="4" max="4" style="1853" width="4.00390625"/>
    <col customWidth="1" min="5" max="5" style="1853" width="44.00390625"/>
    <col customWidth="1" min="6" max="6" style="1853" width="6.421875"/>
    <col customWidth="1" min="7" max="7" style="1853" width="4.00390625"/>
    <col customWidth="1" min="8" max="8" style="1853" width="5.00390625"/>
    <col customWidth="1" min="9" max="9" style="1853" width="52.00390625"/>
    <col customWidth="1" min="10" max="10" style="1853" width="7.00390625"/>
    <col customWidth="1" min="11" max="11" style="1853" width="3.00390625"/>
    <col customWidth="1" min="12" max="12" style="1853" width="6.00390625"/>
    <col customWidth="1" min="13" max="13" style="1853" width="56.00390625"/>
    <col customWidth="1" min="14" max="14" style="1370" width="8.00390625"/>
    <col hidden="1" min="15" max="20" style="1624" width="9.140625"/>
    <col hidden="1" min="21" max="24" style="1266" width="9.140625"/>
    <col hidden="1" min="25" max="37" style="1370" width="9.140625"/>
    <col customWidth="1" min="38" max="38" style="1370" width="8.00390625"/>
    <col hidden="1" min="39" max="39" style="1853" width="9.140625"/>
  </cols>
  <sheetData>
    <row r="1" ht="11.25" hidden="1" customHeight="1">
      <c r="AM1" s="583" t="s">
        <v>14</v>
      </c>
    </row>
    <row r="2" ht="11.25" hidden="1" customHeight="1">
      <c r="AM2" s="583">
        <v>0</v>
      </c>
    </row>
    <row r="3" ht="11.5" customHeight="1">
      <c r="AM3" s="583">
        <v>11</v>
      </c>
    </row>
    <row r="4" ht="35.649999999999999" customHeight="1">
      <c r="A4" s="585"/>
      <c r="B4" s="585"/>
      <c r="D4" s="2119" t="str">
        <f>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r="5" s="589" customFormat="1" ht="14.65" customHeight="1">
      <c r="A5" s="585"/>
      <c r="B5" s="585"/>
      <c r="C5" s="585"/>
      <c r="D5" s="2122" t="str">
        <f>IF(org=0,"Не определено",org)</f>
        <v xml:space="preserve">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r="6" s="589" customFormat="1" ht="6.2999999999999998" customHeight="1">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r="7" ht="45.75" hidden="1" customHeight="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r="8" s="589" customFormat="1" ht="6.2999999999999998" customHeight="1">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r="9" ht="18.75" customHeight="1">
      <c r="A9" s="2126"/>
      <c r="B9" s="323"/>
      <c r="C9" s="323"/>
      <c r="D9" s="2127" t="s">
        <v>104</v>
      </c>
      <c r="E9" s="2127"/>
      <c r="F9" s="2128" t="s">
        <v>105</v>
      </c>
      <c r="G9" s="2129"/>
      <c r="H9" s="2129"/>
      <c r="I9" s="2129"/>
      <c r="J9" s="2132" t="s">
        <v>106</v>
      </c>
      <c r="K9" s="2132"/>
      <c r="L9" s="2132"/>
      <c r="M9" s="2132"/>
      <c r="AM9" s="583">
        <v>18</v>
      </c>
    </row>
    <row r="10" ht="24" customHeight="1">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r="11" s="1853" customFormat="1" ht="11.25" hidden="1" customHeight="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r="12" ht="1.05" customHeight="1">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r="13" s="1853" customFormat="1" ht="15.75" customHeight="1">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 xml:space="preserve">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r="14" s="1853" customFormat="1" ht="15.75" customHeight="1">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r="15" s="1853" customFormat="1" ht="15.75" customHeight="1">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r="16" ht="15.75" customHeight="1">
      <c r="A16" s="609"/>
      <c r="B16" s="135"/>
      <c r="C16" s="806"/>
      <c r="D16" s="421"/>
      <c r="E16" s="571" t="s">
        <v>120</v>
      </c>
      <c r="F16" s="177"/>
      <c r="G16" s="177"/>
      <c r="H16" s="177"/>
      <c r="I16" s="177"/>
      <c r="J16" s="177"/>
      <c r="K16" s="177" t="s">
        <v>28</v>
      </c>
      <c r="L16" s="177"/>
      <c r="M16" s="608"/>
      <c r="N16" s="1627"/>
      <c r="AM16" s="583">
        <v>15</v>
      </c>
    </row>
    <row r="17" ht="11.25" hidden="1" customHeight="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autoFilter="0" deleteColumns="1" deleteRows="1" formatColumns="0" formatRows="0" insertColumns="1" insertRows="1" sheet="1" sort="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3A002D-00D0-41E5-BB19-005100830076}"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defaultRowHeight="15" customHeight="1"/>
  <cols>
    <col customWidth="1" hidden="1" min="1" max="1" style="1632" width="9.140625"/>
    <col customWidth="1" hidden="1" min="2" max="2" style="1635" width="9.140625"/>
    <col customWidth="1" min="3" max="3" style="683" width="4.00390625"/>
    <col customWidth="1" min="4" max="4" style="1635" width="6.00390625"/>
    <col customWidth="1" min="5" max="5" style="1635" width="36.00390625"/>
    <col customWidth="1" min="6" max="6" style="1635" width="9.00390625"/>
    <col customWidth="1" hidden="1" min="7" max="7" style="1635" width="25.7109375"/>
    <col customWidth="1" hidden="1" min="8" max="8" style="1635" width="33.7109375"/>
    <col customWidth="1" min="9" max="9" style="1635" width="25.7109375"/>
    <col customWidth="1" min="10" max="10" style="1635" width="33.00390625"/>
    <col customWidth="1" min="11" max="11" style="1366" width="93.00390625"/>
    <col customWidth="1" min="12" max="20" style="1635" width="10.00390625"/>
    <col customWidth="1" min="21" max="21" style="675" width="10.00390625"/>
    <col hidden="1" min="22" max="22" style="1635" width="10.57421875"/>
  </cols>
  <sheetData>
    <row r="1" s="1366" customFormat="1" ht="22.5" hidden="1" customHeight="1">
      <c r="C1" s="672"/>
      <c r="G1" s="417">
        <v>4</v>
      </c>
      <c r="I1" s="417">
        <v>4</v>
      </c>
      <c r="U1" s="420"/>
      <c r="V1" s="417" t="s">
        <v>14</v>
      </c>
    </row>
    <row r="2" s="1366" customFormat="1" ht="15" hidden="1" customHeight="1">
      <c r="C2" s="672"/>
      <c r="U2" s="420"/>
      <c r="V2" s="417">
        <v>0</v>
      </c>
    </row>
    <row r="3" ht="22.5" hidden="1" customHeight="1">
      <c r="A3" s="505"/>
      <c r="B3" s="2397"/>
      <c r="C3" s="2398" t="s">
        <v>692</v>
      </c>
      <c r="D3" s="689" t="str">
        <f>B3&amp;".1"</f>
        <v>.1</v>
      </c>
      <c r="E3" s="690" t="s">
        <v>939</v>
      </c>
      <c r="F3" s="691" t="s">
        <v>310</v>
      </c>
      <c r="G3" s="686"/>
      <c r="H3" s="401"/>
      <c r="I3" s="686"/>
      <c r="J3" s="401"/>
      <c r="K3" s="289" t="s">
        <v>940</v>
      </c>
      <c r="V3" s="505">
        <v>0</v>
      </c>
    </row>
    <row r="4" ht="15" hidden="1" customHeight="1">
      <c r="A4" s="505"/>
      <c r="B4" s="2397"/>
      <c r="C4" s="2398"/>
      <c r="D4" s="689" t="str">
        <f>B3&amp;".2"</f>
        <v>.2</v>
      </c>
      <c r="E4" s="690" t="s">
        <v>941</v>
      </c>
      <c r="F4" s="691" t="s">
        <v>310</v>
      </c>
      <c r="G4" s="1738" t="s">
        <v>28</v>
      </c>
      <c r="H4" s="401"/>
      <c r="I4" s="1738" t="s">
        <v>28</v>
      </c>
      <c r="J4" s="401"/>
      <c r="K4" s="289" t="s">
        <v>942</v>
      </c>
      <c r="V4" s="505">
        <v>0</v>
      </c>
    </row>
    <row r="5" s="1366" customFormat="1" ht="15" hidden="1" customHeight="1">
      <c r="C5" s="672"/>
      <c r="U5" s="420"/>
      <c r="V5" s="417">
        <v>0</v>
      </c>
    </row>
    <row r="6" ht="22.5" hidden="1" customHeight="1">
      <c r="A6" s="505"/>
      <c r="B6" s="2397"/>
      <c r="C6" s="2398" t="s">
        <v>692</v>
      </c>
      <c r="D6" s="689" t="str">
        <f>B6&amp;".1"</f>
        <v>.1</v>
      </c>
      <c r="E6" s="690" t="s">
        <v>943</v>
      </c>
      <c r="F6" s="691" t="s">
        <v>310</v>
      </c>
      <c r="G6" s="686"/>
      <c r="H6" s="401"/>
      <c r="I6" s="686"/>
      <c r="J6" s="401"/>
      <c r="K6" s="289" t="s">
        <v>944</v>
      </c>
      <c r="V6" s="505">
        <v>0</v>
      </c>
    </row>
    <row r="7" ht="15" hidden="1" customHeight="1">
      <c r="A7" s="505"/>
      <c r="B7" s="2397"/>
      <c r="C7" s="2398"/>
      <c r="D7" s="689" t="str">
        <f>B6&amp;".2"</f>
        <v>.2</v>
      </c>
      <c r="E7" s="690" t="s">
        <v>941</v>
      </c>
      <c r="F7" s="691" t="s">
        <v>310</v>
      </c>
      <c r="G7" s="1738" t="s">
        <v>28</v>
      </c>
      <c r="H7" s="401"/>
      <c r="I7" s="1738" t="s">
        <v>28</v>
      </c>
      <c r="J7" s="401"/>
      <c r="K7" s="289" t="s">
        <v>942</v>
      </c>
      <c r="V7" s="505">
        <v>0</v>
      </c>
    </row>
    <row r="8" s="1366" customFormat="1" ht="15" hidden="1" customHeight="1">
      <c r="C8" s="672"/>
      <c r="U8" s="420"/>
      <c r="V8" s="417">
        <v>0</v>
      </c>
    </row>
    <row r="9" ht="22.5" hidden="1" customHeight="1">
      <c r="A9" s="505"/>
      <c r="B9" s="2397"/>
      <c r="C9" s="2398" t="s">
        <v>692</v>
      </c>
      <c r="D9" s="689" t="str">
        <f>B9&amp;".1"</f>
        <v>.1</v>
      </c>
      <c r="E9" s="690" t="s">
        <v>945</v>
      </c>
      <c r="F9" s="691" t="s">
        <v>310</v>
      </c>
      <c r="G9" s="697" t="s">
        <v>28</v>
      </c>
      <c r="H9" s="401" t="s">
        <v>28</v>
      </c>
      <c r="I9" s="697" t="s">
        <v>28</v>
      </c>
      <c r="J9" s="401" t="s">
        <v>28</v>
      </c>
      <c r="K9" s="289"/>
      <c r="V9" s="505">
        <v>0</v>
      </c>
    </row>
    <row r="10" ht="15" hidden="1" customHeight="1">
      <c r="A10" s="505"/>
      <c r="B10" s="2397"/>
      <c r="C10" s="2398"/>
      <c r="D10" s="689" t="str">
        <f>B9&amp;".2"</f>
        <v>.2</v>
      </c>
      <c r="E10" s="690" t="s">
        <v>946</v>
      </c>
      <c r="F10" s="691" t="s">
        <v>310</v>
      </c>
      <c r="G10" s="1732" t="s">
        <v>28</v>
      </c>
      <c r="H10" s="401" t="s">
        <v>28</v>
      </c>
      <c r="I10" s="1732" t="s">
        <v>28</v>
      </c>
      <c r="J10" s="401" t="s">
        <v>28</v>
      </c>
      <c r="K10" s="289" t="s">
        <v>947</v>
      </c>
      <c r="V10" s="505">
        <v>0</v>
      </c>
    </row>
    <row r="11" ht="15" hidden="1" customHeight="1">
      <c r="A11" s="505"/>
      <c r="B11" s="2397"/>
      <c r="C11" s="2398"/>
      <c r="D11" s="689" t="str">
        <f>B9&amp;".3"</f>
        <v>.3</v>
      </c>
      <c r="E11" s="690" t="s">
        <v>948</v>
      </c>
      <c r="F11" s="691" t="s">
        <v>310</v>
      </c>
      <c r="G11" s="1732" t="s">
        <v>28</v>
      </c>
      <c r="H11" s="401" t="s">
        <v>28</v>
      </c>
      <c r="I11" s="1732" t="s">
        <v>28</v>
      </c>
      <c r="J11" s="401" t="s">
        <v>28</v>
      </c>
      <c r="K11" s="289" t="s">
        <v>949</v>
      </c>
      <c r="V11" s="505">
        <v>0</v>
      </c>
    </row>
    <row r="12" s="1366" customFormat="1" ht="15" hidden="1" customHeight="1">
      <c r="C12" s="672"/>
      <c r="U12" s="420"/>
      <c r="V12" s="417">
        <v>0</v>
      </c>
    </row>
    <row r="13" ht="33.75" hidden="1" customHeight="1">
      <c r="A13" s="505"/>
      <c r="B13" s="2397"/>
      <c r="C13" s="2398" t="s">
        <v>692</v>
      </c>
      <c r="D13" s="689" t="str">
        <f>B13&amp;".1"</f>
        <v>.1</v>
      </c>
      <c r="E13" s="690" t="s">
        <v>950</v>
      </c>
      <c r="F13" s="691" t="s">
        <v>310</v>
      </c>
      <c r="G13" s="697" t="s">
        <v>28</v>
      </c>
      <c r="H13" s="401" t="s">
        <v>28</v>
      </c>
      <c r="I13" s="697" t="s">
        <v>28</v>
      </c>
      <c r="J13" s="401" t="s">
        <v>28</v>
      </c>
      <c r="K13" s="289" t="s">
        <v>951</v>
      </c>
      <c r="V13" s="505">
        <v>0</v>
      </c>
    </row>
    <row r="14" ht="15" hidden="1" customHeight="1">
      <c r="B14" s="2397"/>
      <c r="C14" s="2398"/>
      <c r="D14" s="689" t="str">
        <f>B13&amp;".2"</f>
        <v>.2</v>
      </c>
      <c r="E14" s="690" t="s">
        <v>952</v>
      </c>
      <c r="F14" s="691" t="s">
        <v>310</v>
      </c>
      <c r="G14" s="1732" t="s">
        <v>28</v>
      </c>
      <c r="H14" s="401" t="s">
        <v>28</v>
      </c>
      <c r="I14" s="1732" t="s">
        <v>28</v>
      </c>
      <c r="J14" s="401" t="s">
        <v>28</v>
      </c>
      <c r="K14" s="289" t="s">
        <v>953</v>
      </c>
      <c r="V14" s="505">
        <v>0</v>
      </c>
    </row>
    <row r="15" s="1366" customFormat="1" ht="15" hidden="1" customHeight="1">
      <c r="C15" s="672"/>
      <c r="U15" s="420"/>
      <c r="V15" s="417">
        <v>0</v>
      </c>
    </row>
    <row r="16" s="1366" customFormat="1" ht="15" hidden="1" customHeight="1">
      <c r="C16" s="672"/>
      <c r="U16" s="420"/>
      <c r="V16" s="417">
        <v>0</v>
      </c>
    </row>
    <row r="17" s="1366" customFormat="1" ht="15" hidden="1" customHeight="1">
      <c r="C17" s="672"/>
      <c r="U17" s="420"/>
      <c r="V17" s="417">
        <v>0</v>
      </c>
    </row>
    <row r="18" s="1366" customFormat="1" ht="15" hidden="1" customHeight="1">
      <c r="C18" s="672"/>
      <c r="U18" s="420"/>
      <c r="V18" s="417">
        <v>0</v>
      </c>
    </row>
    <row r="19" s="1366" customFormat="1" ht="15" hidden="1" customHeight="1">
      <c r="C19" s="672"/>
      <c r="U19" s="420"/>
      <c r="V19" s="417">
        <v>0</v>
      </c>
    </row>
    <row r="20" s="1366" customFormat="1" ht="15" hidden="1" customHeight="1">
      <c r="C20" s="672"/>
      <c r="U20" s="420"/>
      <c r="V20" s="417">
        <v>0</v>
      </c>
    </row>
    <row r="21" ht="15.75" customHeight="1">
      <c r="C21" s="176"/>
      <c r="D21" s="509"/>
      <c r="E21" s="509"/>
      <c r="F21" s="509"/>
      <c r="G21" s="509"/>
      <c r="H21" s="509"/>
      <c r="I21" s="509"/>
      <c r="J21" s="509"/>
      <c r="V21" s="505">
        <v>15</v>
      </c>
    </row>
    <row r="22" ht="23.25" customHeight="1">
      <c r="C22" s="176"/>
      <c r="D22" s="2237"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r="23" ht="15.75" customHeight="1">
      <c r="C23" s="176"/>
      <c r="D23" s="2176" t="str">
        <f>IF(org=0,"Не определено",org)</f>
        <v xml:space="preserve">АО "ДГК"</v>
      </c>
      <c r="E23" s="2176"/>
      <c r="F23" s="2176"/>
      <c r="G23" s="2176"/>
      <c r="H23" s="2176"/>
      <c r="I23" s="2176"/>
      <c r="J23" s="676"/>
      <c r="K23" s="537"/>
      <c r="V23" s="505">
        <v>15</v>
      </c>
    </row>
    <row r="24" ht="15.75" customHeight="1">
      <c r="C24" s="176"/>
      <c r="D24" s="509"/>
      <c r="E24" s="509"/>
      <c r="F24" s="509"/>
      <c r="G24" s="537">
        <v>22</v>
      </c>
      <c r="H24" s="752"/>
      <c r="I24" s="537">
        <v>22</v>
      </c>
      <c r="J24" s="752"/>
      <c r="V24" s="505">
        <v>15</v>
      </c>
    </row>
    <row r="25" s="1635" customFormat="1" ht="1.05" customHeight="1">
      <c r="A25" s="759"/>
      <c r="C25" s="176"/>
      <c r="D25" s="509"/>
      <c r="E25" s="509"/>
      <c r="F25" s="509"/>
      <c r="G25" s="537"/>
      <c r="H25" s="752"/>
      <c r="I25" s="537" t="s">
        <v>116</v>
      </c>
      <c r="J25" s="752"/>
      <c r="K25" s="417"/>
      <c r="U25" s="675"/>
      <c r="V25" s="758">
        <v>1</v>
      </c>
    </row>
    <row r="26" ht="15.75" customHeight="1">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r="27" s="1635" customFormat="1" ht="15.75" customHeight="1">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r="28" s="1635" customFormat="1" ht="15.75" customHeight="1">
      <c r="A28" s="759"/>
      <c r="C28" s="176"/>
      <c r="D28" s="711"/>
      <c r="E28" s="2367" t="s">
        <v>568</v>
      </c>
      <c r="F28" s="2368"/>
      <c r="G28" s="2395" t="str">
        <f>IF(G25="","",INDEX(DIFFERENTIATION_UNMERGE_SYSTEM,MATCH(G25,DIFFERENTIATION_ID_DIFF,0)))</f>
        <v/>
      </c>
      <c r="H28" s="2396"/>
      <c r="I28" s="2395" t="str">
        <f>IF(I25="","",INDEX(DIFFERENTIATION_UNMERGE_SYSTEM,MATCH(I25,DIFFERENTIATION_ID_DIFF,0)))</f>
        <v xml:space="preserve">без дифференциации</v>
      </c>
      <c r="J28" s="2396"/>
      <c r="K28" s="2195"/>
      <c r="U28" s="675"/>
      <c r="V28" s="758">
        <v>15</v>
      </c>
    </row>
    <row r="29" s="1635" customFormat="1" ht="15.75" customHeight="1">
      <c r="A29" s="759"/>
      <c r="C29" s="176"/>
      <c r="D29" s="2369" t="s">
        <v>304</v>
      </c>
      <c r="E29" s="2370"/>
      <c r="F29" s="2370"/>
      <c r="G29" s="887"/>
      <c r="H29" s="887"/>
      <c r="I29" s="887"/>
      <c r="J29" s="888"/>
      <c r="K29" s="2195"/>
      <c r="U29" s="675"/>
      <c r="V29" s="758">
        <v>15</v>
      </c>
    </row>
    <row r="30" ht="35.649999999999999" customHeight="1">
      <c r="C30" s="176"/>
      <c r="D30" s="761" t="s">
        <v>88</v>
      </c>
      <c r="E30" s="760" t="s">
        <v>306</v>
      </c>
      <c r="F30" s="760" t="s">
        <v>569</v>
      </c>
      <c r="G30" s="808" t="s">
        <v>307</v>
      </c>
      <c r="H30" s="807" t="s">
        <v>394</v>
      </c>
      <c r="I30" s="684" t="s">
        <v>307</v>
      </c>
      <c r="J30" s="465" t="s">
        <v>394</v>
      </c>
      <c r="K30" s="2201"/>
      <c r="V30" s="505">
        <v>34</v>
      </c>
    </row>
    <row r="31" ht="15" hidden="1" customHeight="1">
      <c r="C31" s="176"/>
      <c r="D31" s="593"/>
      <c r="E31" s="593"/>
      <c r="F31" s="593"/>
      <c r="G31" s="659"/>
      <c r="H31" s="659"/>
      <c r="I31" s="659"/>
      <c r="J31" s="659"/>
      <c r="K31" s="289"/>
      <c r="V31" s="505">
        <v>0</v>
      </c>
    </row>
    <row r="32" ht="24" customHeight="1">
      <c r="A32" s="505"/>
      <c r="B32" s="505" t="s">
        <v>954</v>
      </c>
      <c r="C32" s="526"/>
      <c r="D32" s="692">
        <v>1</v>
      </c>
      <c r="E32" s="693" t="s">
        <v>955</v>
      </c>
      <c r="F32" s="691" t="s">
        <v>310</v>
      </c>
      <c r="G32" s="813" t="s">
        <v>310</v>
      </c>
      <c r="H32" s="813" t="s">
        <v>310</v>
      </c>
      <c r="I32" s="691" t="s">
        <v>310</v>
      </c>
      <c r="J32" s="691" t="s">
        <v>310</v>
      </c>
      <c r="K32" s="289"/>
      <c r="V32" s="505">
        <v>23</v>
      </c>
    </row>
    <row r="33" ht="11.5" customHeight="1">
      <c r="A33" s="505"/>
      <c r="C33" s="505"/>
      <c r="D33" s="347"/>
      <c r="E33" s="580" t="s">
        <v>589</v>
      </c>
      <c r="F33" s="572"/>
      <c r="G33" s="572"/>
      <c r="H33" s="572"/>
      <c r="I33" s="572"/>
      <c r="J33" s="572"/>
      <c r="K33" s="573"/>
      <c r="U33" s="505"/>
      <c r="V33" s="505">
        <v>11</v>
      </c>
    </row>
    <row r="34" ht="24" customHeight="1">
      <c r="A34" s="505"/>
      <c r="B34" s="581" t="s">
        <v>639</v>
      </c>
      <c r="C34" s="526"/>
      <c r="D34" s="692">
        <v>2</v>
      </c>
      <c r="E34" s="693" t="s">
        <v>956</v>
      </c>
      <c r="F34" s="820" t="s">
        <v>310</v>
      </c>
      <c r="G34" s="820" t="s">
        <v>310</v>
      </c>
      <c r="H34" s="820" t="s">
        <v>310</v>
      </c>
      <c r="I34" s="691"/>
      <c r="J34" s="691"/>
      <c r="K34" s="289"/>
      <c r="V34" s="505">
        <v>23</v>
      </c>
    </row>
    <row r="35" ht="11.5" customHeight="1">
      <c r="A35" s="505"/>
      <c r="C35" s="505"/>
      <c r="D35" s="347"/>
      <c r="E35" s="580" t="s">
        <v>957</v>
      </c>
      <c r="F35" s="572"/>
      <c r="G35" s="694"/>
      <c r="H35" s="572"/>
      <c r="I35" s="694"/>
      <c r="J35" s="572"/>
      <c r="K35" s="573"/>
      <c r="U35" s="505"/>
      <c r="V35" s="505">
        <v>11</v>
      </c>
    </row>
    <row r="36" ht="71.25" customHeight="1">
      <c r="A36" s="505"/>
      <c r="B36" s="505" t="s">
        <v>958</v>
      </c>
      <c r="C36" s="526"/>
      <c r="D36" s="692">
        <v>3</v>
      </c>
      <c r="E36" s="693" t="s">
        <v>959</v>
      </c>
      <c r="F36" s="695" t="s">
        <v>310</v>
      </c>
      <c r="G36" s="814" t="s">
        <v>960</v>
      </c>
      <c r="H36" s="813" t="s">
        <v>310</v>
      </c>
      <c r="I36" s="524" t="s">
        <v>960</v>
      </c>
      <c r="J36" s="691" t="s">
        <v>310</v>
      </c>
      <c r="K36" s="289" t="s">
        <v>961</v>
      </c>
      <c r="V36" s="505">
        <v>68</v>
      </c>
    </row>
    <row r="37" ht="11.5" customHeight="1">
      <c r="A37" s="505"/>
      <c r="C37" s="505"/>
      <c r="D37" s="347"/>
      <c r="E37" s="580" t="s">
        <v>962</v>
      </c>
      <c r="F37" s="572"/>
      <c r="G37" s="694"/>
      <c r="H37" s="694"/>
      <c r="I37" s="694"/>
      <c r="J37" s="694"/>
      <c r="K37" s="573"/>
      <c r="U37" s="505"/>
      <c r="V37" s="505">
        <v>11</v>
      </c>
    </row>
    <row r="38" ht="71.25" customHeight="1">
      <c r="A38" s="505"/>
      <c r="B38" s="505" t="s">
        <v>963</v>
      </c>
      <c r="C38" s="526"/>
      <c r="D38" s="692">
        <v>4</v>
      </c>
      <c r="E38" s="693" t="s">
        <v>964</v>
      </c>
      <c r="F38" s="695" t="s">
        <v>310</v>
      </c>
      <c r="G38" s="814" t="s">
        <v>960</v>
      </c>
      <c r="H38" s="815" t="s">
        <v>310</v>
      </c>
      <c r="I38" s="524" t="s">
        <v>960</v>
      </c>
      <c r="J38" s="521" t="s">
        <v>310</v>
      </c>
      <c r="K38" s="679" t="s">
        <v>965</v>
      </c>
      <c r="V38" s="505">
        <v>68</v>
      </c>
    </row>
    <row r="39" ht="11.5" customHeight="1">
      <c r="A39" s="505"/>
      <c r="C39" s="505"/>
      <c r="D39" s="347"/>
      <c r="E39" s="580" t="s">
        <v>966</v>
      </c>
      <c r="F39" s="572"/>
      <c r="G39" s="572"/>
      <c r="H39" s="696"/>
      <c r="I39" s="572"/>
      <c r="J39" s="696"/>
      <c r="K39" s="573"/>
      <c r="U39" s="505"/>
      <c r="V39" s="505">
        <v>11</v>
      </c>
    </row>
    <row r="40" ht="22.5" hidden="1" customHeight="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autoFilter="0" deleteColumns="1" deleteRows="1" formatColumns="0" formatRows="0" insertColumns="1" insertRows="1" sheet="1" sort="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I36 G38 I38 G36" allowBlank="1" prompt="Для выбора выполните двойной щелчок левой клавиши мыши по ячейке."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80044-0095-4C0D-BA00-003C000F00C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 xr:uid="{00EE0097-008C-48F1-9AF4-007800B80074}"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defaultRowHeight="10.5" customHeight="1"/>
  <cols>
    <col customWidth="1" hidden="1" min="1" max="3" style="1166" width="6.7109375"/>
    <col customWidth="1" hidden="1" min="4" max="4" style="1366" width="6.7109375"/>
    <col customWidth="1" min="5" max="5" style="1635" width="3.00390625"/>
    <col customWidth="1" min="6" max="6" style="1635" width="6.00390625"/>
    <col customWidth="1" min="7" max="7" style="1635" width="37.00390625"/>
    <col customWidth="1" min="8" max="8" style="1635" width="16.00390625"/>
    <col customWidth="1" min="9" max="10" style="1635" width="19.00390625"/>
    <col customWidth="1" min="11" max="11" style="1635" width="24.00390625"/>
    <col customWidth="1" min="12" max="13" style="1635" width="25.00390625"/>
    <col customWidth="1" min="14" max="16" style="1635" width="17.00390625"/>
    <col customWidth="1" min="17" max="24" style="1635" width="19.00390625"/>
    <col customWidth="1" min="25" max="25" style="1635" width="7.00390625"/>
    <col customWidth="1" min="26" max="26" style="1635" width="3.00390625"/>
    <col customWidth="1" min="27" max="27" style="1635" width="6.00390625"/>
    <col customWidth="1" min="28" max="28" style="1635" width="34.00390625"/>
    <col customWidth="1" min="29" max="30" style="1635" width="8.00390625"/>
    <col hidden="1" min="31" max="31" style="1635" width="9.140625"/>
  </cols>
  <sheetData>
    <row r="1" s="1366" customFormat="1" ht="10.5" hidden="1" customHeight="1">
      <c r="A1" s="895"/>
      <c r="B1" s="895"/>
      <c r="C1" s="895"/>
      <c r="E1" s="537"/>
      <c r="H1" s="1160"/>
      <c r="AE1" s="417" t="s">
        <v>14</v>
      </c>
    </row>
    <row r="2" ht="10.5" hidden="1" customHeight="1">
      <c r="AE2" s="758">
        <v>0</v>
      </c>
    </row>
    <row r="3" s="1632" customFormat="1" ht="10.5" hidden="1" customHeight="1">
      <c r="A3" s="895"/>
      <c r="B3" s="895"/>
      <c r="C3" s="895"/>
      <c r="D3" s="417"/>
      <c r="E3" s="362"/>
      <c r="G3" s="1632" t="s">
        <v>967</v>
      </c>
      <c r="H3" s="1156"/>
      <c r="AE3" s="759">
        <v>0</v>
      </c>
    </row>
    <row r="4" ht="3" customHeight="1">
      <c r="AE4" s="758">
        <v>3</v>
      </c>
    </row>
    <row r="5" ht="27.300000000000001" customHeight="1">
      <c r="F5" s="2248"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r="6" s="1635" customFormat="1" ht="16.800000000000001" customHeight="1">
      <c r="A6" s="1166"/>
      <c r="B6" s="1166"/>
      <c r="C6" s="1166"/>
      <c r="D6" s="1160"/>
      <c r="E6" s="1635"/>
      <c r="F6" s="2249" t="str">
        <f>IF(org=0,"Не определено",org)</f>
        <v xml:space="preserve">АО "ДГК"</v>
      </c>
      <c r="G6" s="2249"/>
      <c r="H6" s="2249"/>
      <c r="I6" s="2249"/>
      <c r="J6" s="2249"/>
      <c r="K6" s="2249"/>
      <c r="M6" s="582"/>
      <c r="AB6" s="1148"/>
      <c r="AE6" s="1631">
        <v>16</v>
      </c>
    </row>
    <row r="7" ht="10.5" customHeight="1">
      <c r="AE7" s="758">
        <v>10</v>
      </c>
    </row>
    <row r="8" ht="10.5" customHeight="1">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r="9" ht="43.049999999999997" customHeight="1">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r="10" ht="43.049999999999997" customHeight="1">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r="11" s="1642" customFormat="1" ht="5.25" hidden="1" customHeight="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r="12" s="1642" customFormat="1" ht="5.25" hidden="1" customHeight="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r="13" ht="10.5" customHeight="1">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r="14" ht="10.5" customHeight="1">
      <c r="AE14" s="758">
        <v>10</v>
      </c>
    </row>
    <row r="15" s="1642" customFormat="1" ht="10.5" customHeight="1">
      <c r="A15" s="1167"/>
      <c r="B15" s="1167"/>
      <c r="C15" s="1167"/>
      <c r="E15" s="518"/>
      <c r="H15" s="511">
        <f>_xlfn.IFERROR(MATCH("нет",IP_MAIN_DIFFERENTIATION_EVENTS_FLAG,0),0)</f>
        <v>0</v>
      </c>
      <c r="AE15" s="511">
        <v>10</v>
      </c>
    </row>
    <row r="16" ht="10.5" hidden="1" customHeight="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autoFilter="0" deleteColumns="1" deleteRows="1" formatColumns="0" formatRows="0" insertColumns="1" insertRows="1" sheet="1" sort="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defaultRowHeight="10.5" customHeight="1"/>
  <cols>
    <col customWidth="1" hidden="1" min="1" max="3" style="1166" width="4.140625"/>
    <col customWidth="1" hidden="1" min="4" max="4" style="1366" width="4.140625"/>
    <col customWidth="1" min="5" max="5" style="1635" width="3.00390625"/>
    <col customWidth="1" min="6" max="6" style="1635" width="14.00390625"/>
    <col customWidth="1" min="7" max="7" style="1635" width="3.00390625"/>
    <col customWidth="1" min="8" max="8" style="1635" width="7.00390625"/>
    <col customWidth="1" min="9" max="10" style="1635" width="16.00390625"/>
    <col customWidth="1" min="11" max="11" style="1635" width="25.00390625"/>
    <col customWidth="1" min="12" max="12" style="1635" width="7.00390625"/>
    <col customWidth="1" min="13" max="13" style="1635" width="15.00390625"/>
    <col customWidth="1" min="14" max="14" style="1635" width="3.00390625"/>
    <col customWidth="1" min="15" max="15" style="1635" width="4.00390625"/>
    <col customWidth="1" min="16" max="16" style="1635" width="8.00390625"/>
    <col customWidth="1" min="17" max="17" style="1635" width="21.00390625"/>
    <col customWidth="1" min="18" max="18" style="1635" width="14.00390625"/>
    <col customWidth="1" min="19" max="20" style="1635" width="17.00390625"/>
    <col customWidth="1" min="21" max="21" style="1635" width="9.00390625"/>
    <col customWidth="1" min="22" max="22" style="1635" width="12.00390625"/>
    <col customWidth="1" min="23" max="23" style="1635" width="9.00390625"/>
    <col customWidth="1" min="24" max="24" style="1635" width="21.00390625"/>
    <col customWidth="1" min="25" max="25" style="1635" width="12.00390625"/>
    <col customWidth="1" min="26" max="26" style="1635" width="3.00390625"/>
    <col customWidth="1" min="27" max="27" style="1635" width="6.00390625"/>
    <col customWidth="1" min="28" max="28" style="1635" width="38.00390625"/>
    <col customWidth="1" min="29" max="29" style="1635" width="15.00390625"/>
    <col customWidth="1" hidden="1" min="30" max="30" style="1635" width="37.57421875"/>
    <col customWidth="1" hidden="1" min="31" max="31" style="1635" width="15.7109375"/>
    <col customWidth="1" min="32" max="34" style="1635" width="16.00390625"/>
    <col customWidth="1" hidden="1" min="35" max="37" style="1635" width="16.7109375"/>
    <col customWidth="1" min="38" max="58" style="1635" width="8.00390625"/>
    <col hidden="1" min="59" max="59" style="1635" width="9.140625"/>
  </cols>
  <sheetData>
    <row r="1" s="1366" customFormat="1" ht="10.5" hidden="1" customHeight="1">
      <c r="A1" s="895"/>
      <c r="B1" s="895"/>
      <c r="C1" s="895"/>
      <c r="E1" s="537"/>
      <c r="H1" s="1160"/>
      <c r="L1" s="1128"/>
      <c r="M1" s="1128"/>
      <c r="AD1" s="1128"/>
      <c r="AH1" s="1147"/>
      <c r="AI1" s="1140"/>
      <c r="BG1" s="417" t="s">
        <v>14</v>
      </c>
    </row>
    <row r="2" ht="10.5" hidden="1" customHeight="1">
      <c r="BG2" s="758">
        <v>0</v>
      </c>
    </row>
    <row r="3" s="1632" customFormat="1" ht="10.5" hidden="1" customHeight="1">
      <c r="A3" s="895"/>
      <c r="B3" s="895"/>
      <c r="C3" s="895"/>
      <c r="D3" s="417"/>
      <c r="E3" s="362"/>
      <c r="H3" s="1156"/>
      <c r="L3" s="1126"/>
      <c r="M3" s="1126"/>
      <c r="AD3" s="1126"/>
      <c r="AH3" s="1145"/>
      <c r="AI3" s="1138"/>
      <c r="BG3" s="759">
        <v>0</v>
      </c>
    </row>
    <row r="4" ht="3" customHeight="1">
      <c r="BG4" s="758">
        <v>3</v>
      </c>
    </row>
    <row r="5" ht="27.300000000000001" customHeight="1">
      <c r="F5" s="2248"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r="6" ht="10.5" customHeight="1">
      <c r="F6" s="2176" t="str">
        <f>IF(org=0,"Не определено",org)</f>
        <v xml:space="preserve">АО "ДГК"</v>
      </c>
      <c r="G6" s="2176"/>
      <c r="H6" s="2176"/>
      <c r="I6" s="2176"/>
      <c r="J6" s="2176"/>
      <c r="K6" s="2176"/>
      <c r="L6" s="1136"/>
      <c r="M6" s="1136"/>
      <c r="BG6" s="758">
        <v>10</v>
      </c>
    </row>
    <row r="7" ht="11.5" customHeight="1">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r="8" ht="10.5" customHeight="1">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r="9" ht="24" customHeight="1">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r="10" ht="25.199999999999999" customHeight="1">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r="11" s="1635" customFormat="1" ht="25.199999999999999" customHeight="1">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r="12" ht="35.649999999999999" customHeight="1">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r="13" ht="1.05" customHeight="1">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r="14" ht="10.5" customHeight="1">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r="15" ht="13.5" customHeight="1">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r="16" ht="10.5" customHeight="1">
      <c r="BG16" s="758">
        <v>10</v>
      </c>
    </row>
    <row r="17" ht="10.5" customHeight="1">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r="18" ht="10.5" customHeight="1">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r="19" ht="10.5" customHeight="1">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r="20" ht="10.5" hidden="1" customHeight="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autoFilter="0" deleteColumns="1" deleteRows="1" formatColumns="0" formatRows="0" insertColumns="1" insertRows="1" sheet="1" sort="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defaultRowHeight="10.5" customHeight="1"/>
  <cols>
    <col customWidth="1" hidden="1" min="1" max="3" style="1166" width="4.140625"/>
    <col customWidth="1" hidden="1" min="4" max="4" style="1366" width="4.140625"/>
    <col customWidth="1" min="5" max="5" style="1635" width="3.00390625"/>
    <col customWidth="1" min="6" max="6" style="1635" width="6.00390625"/>
    <col customWidth="1" min="7" max="7" style="1635" width="60.00390625"/>
    <col customWidth="1" hidden="1" min="8" max="9" style="1635" width="21.7109375"/>
    <col customWidth="1" min="10" max="10" style="1635" width="0.140625"/>
    <col customWidth="1" min="11" max="11" style="1635" width="1.00390625"/>
    <col customWidth="1" min="12" max="22" style="1635" width="8.00390625"/>
    <col hidden="1" min="23" max="23" style="1635" width="9.140625"/>
  </cols>
  <sheetData>
    <row r="1" s="1366" customFormat="1" ht="10.5" hidden="1" customHeight="1">
      <c r="A1" s="1166"/>
      <c r="B1" s="1166"/>
      <c r="C1" s="1166"/>
      <c r="E1" s="537"/>
      <c r="W1" s="1160" t="s">
        <v>14</v>
      </c>
    </row>
    <row r="2" ht="10.5" hidden="1" customHeight="1">
      <c r="W2" s="1155">
        <v>0</v>
      </c>
    </row>
    <row r="3" s="1632" customFormat="1" ht="10.5" hidden="1" customHeight="1">
      <c r="A3" s="1166"/>
      <c r="B3" s="1166"/>
      <c r="C3" s="1166"/>
      <c r="D3" s="1160"/>
      <c r="E3" s="362"/>
      <c r="W3" s="1156">
        <v>0</v>
      </c>
    </row>
    <row r="4" ht="3" customHeight="1">
      <c r="W4" s="1155">
        <v>3</v>
      </c>
    </row>
    <row r="5" ht="27.300000000000001" customHeight="1">
      <c r="F5" s="2248"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r="6" ht="10.5" customHeight="1">
      <c r="F6" s="2176" t="str">
        <f>IF(org=0,"Не определено",org)</f>
        <v xml:space="preserve">АО "ДГК"</v>
      </c>
      <c r="G6" s="2176"/>
      <c r="H6" s="2176"/>
      <c r="I6" s="2176"/>
      <c r="J6" s="2176"/>
      <c r="W6" s="1155">
        <v>10</v>
      </c>
    </row>
    <row r="7" ht="11.5" customHeight="1">
      <c r="E7" s="1170"/>
      <c r="F7" s="1227"/>
      <c r="G7" s="1227"/>
      <c r="H7" s="1227"/>
      <c r="I7" s="1227"/>
      <c r="J7" s="1227"/>
      <c r="K7" s="1157"/>
      <c r="L7" s="1157"/>
      <c r="M7" s="1157"/>
      <c r="N7" s="1157"/>
      <c r="O7" s="1157"/>
      <c r="P7" s="1157"/>
      <c r="Q7" s="1157"/>
      <c r="R7" s="1157"/>
      <c r="S7" s="1157"/>
      <c r="T7" s="1157"/>
      <c r="U7" s="1157"/>
      <c r="V7" s="1157"/>
      <c r="W7" s="1155">
        <v>11</v>
      </c>
    </row>
    <row r="8" s="1642" customFormat="1" ht="4.2000000000000002" customHeight="1">
      <c r="A8" s="1167"/>
      <c r="B8" s="1167"/>
      <c r="C8" s="1167"/>
      <c r="E8" s="1228"/>
      <c r="F8" s="1229"/>
      <c r="G8" s="1229"/>
      <c r="H8" s="1229"/>
      <c r="I8" s="1229"/>
      <c r="J8" s="1229"/>
      <c r="K8" s="1228"/>
      <c r="L8" s="1228"/>
      <c r="M8" s="1228"/>
      <c r="N8" s="1228"/>
      <c r="O8" s="1228"/>
      <c r="P8" s="1228"/>
      <c r="Q8" s="1228"/>
      <c r="R8" s="1228"/>
      <c r="S8" s="1228"/>
      <c r="T8" s="1228"/>
      <c r="U8" s="1228"/>
      <c r="V8" s="1228"/>
      <c r="W8" s="511">
        <v>4</v>
      </c>
    </row>
    <row r="9" ht="10.5" customHeight="1">
      <c r="E9" s="1170"/>
      <c r="F9" s="2419" t="s">
        <v>304</v>
      </c>
      <c r="G9" s="2420"/>
      <c r="H9" s="2420"/>
      <c r="I9" s="2420"/>
      <c r="J9" s="2420"/>
      <c r="K9" s="1240"/>
      <c r="L9" s="1157"/>
      <c r="M9" s="1157"/>
      <c r="N9" s="1157"/>
      <c r="O9" s="1157"/>
      <c r="P9" s="1157"/>
      <c r="Q9" s="1157"/>
      <c r="R9" s="1157"/>
      <c r="S9" s="1157"/>
      <c r="T9" s="1157"/>
      <c r="U9" s="1157"/>
      <c r="V9" s="1157"/>
      <c r="W9" s="1155">
        <v>10</v>
      </c>
    </row>
    <row r="10" ht="25.199999999999999" customHeight="1">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r="11" ht="25.5" customHeight="1">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r="12" ht="10.5" customHeight="1">
      <c r="F12" s="2425"/>
      <c r="G12" s="2428"/>
      <c r="H12" s="1226" t="s">
        <v>1021</v>
      </c>
      <c r="I12" s="1232"/>
      <c r="J12" s="1226"/>
      <c r="K12" s="1234"/>
      <c r="W12" s="1155">
        <v>10</v>
      </c>
    </row>
    <row r="13" ht="10.5" hidden="1" customHeight="1">
      <c r="F13" s="1226">
        <v>1</v>
      </c>
      <c r="G13" s="1226">
        <v>2</v>
      </c>
      <c r="H13" s="1226">
        <v>3</v>
      </c>
      <c r="I13" s="1226">
        <v>4</v>
      </c>
      <c r="J13" s="1226">
        <v>5</v>
      </c>
      <c r="K13" s="1234"/>
      <c r="W13" s="1155">
        <v>0</v>
      </c>
    </row>
    <row r="14" ht="11.5" customHeight="1">
      <c r="F14" s="1225" t="s">
        <v>1022</v>
      </c>
      <c r="G14" s="2421" t="s">
        <v>1023</v>
      </c>
      <c r="H14" s="2421"/>
      <c r="I14" s="2421"/>
      <c r="J14" s="2421"/>
      <c r="K14" s="1234"/>
      <c r="W14" s="1155">
        <v>11</v>
      </c>
    </row>
    <row r="15" ht="11.5" customHeight="1">
      <c r="F15" s="1230">
        <v>1</v>
      </c>
      <c r="G15" s="690" t="s">
        <v>1024</v>
      </c>
      <c r="H15" s="1236">
        <f>SUM(I15:J15)</f>
        <v>0</v>
      </c>
      <c r="I15" s="1236">
        <f>SUM(I16:I27)</f>
        <v>0</v>
      </c>
      <c r="J15" s="1225"/>
      <c r="K15" s="1234"/>
      <c r="W15" s="1155">
        <v>11</v>
      </c>
    </row>
    <row r="16" ht="24" customHeight="1">
      <c r="F16" s="1230" t="s">
        <v>1025</v>
      </c>
      <c r="G16" s="1237" t="s">
        <v>1026</v>
      </c>
      <c r="H16" s="1236">
        <f>SUM(I16:J16)</f>
        <v>0</v>
      </c>
      <c r="I16" s="1235"/>
      <c r="J16" s="1225"/>
      <c r="K16" s="1234"/>
      <c r="W16" s="1155">
        <v>23</v>
      </c>
    </row>
    <row r="17" ht="24" customHeight="1">
      <c r="F17" s="1230" t="s">
        <v>1027</v>
      </c>
      <c r="G17" s="1237" t="s">
        <v>1028</v>
      </c>
      <c r="H17" s="1236">
        <f>SUM(I17:J17)</f>
        <v>0</v>
      </c>
      <c r="I17" s="1235"/>
      <c r="J17" s="1225"/>
      <c r="K17" s="1234"/>
      <c r="W17" s="1155">
        <v>23</v>
      </c>
    </row>
    <row r="18" ht="35.649999999999999" customHeight="1">
      <c r="F18" s="1230" t="s">
        <v>1029</v>
      </c>
      <c r="G18" s="1237" t="s">
        <v>1030</v>
      </c>
      <c r="H18" s="1236">
        <f>SUM(I18:J18)</f>
        <v>0</v>
      </c>
      <c r="I18" s="1235"/>
      <c r="J18" s="1225"/>
      <c r="K18" s="1234"/>
      <c r="W18" s="1155">
        <v>34</v>
      </c>
    </row>
    <row r="19" ht="35.649999999999999" customHeight="1">
      <c r="F19" s="1230" t="s">
        <v>1031</v>
      </c>
      <c r="G19" s="1237" t="s">
        <v>1032</v>
      </c>
      <c r="H19" s="1236">
        <f>SUM(I19:J19)</f>
        <v>0</v>
      </c>
      <c r="I19" s="1235"/>
      <c r="J19" s="1225"/>
      <c r="K19" s="1234"/>
      <c r="W19" s="1155">
        <v>34</v>
      </c>
    </row>
    <row r="20" ht="48.25" customHeight="1">
      <c r="F20" s="1230" t="s">
        <v>1033</v>
      </c>
      <c r="G20" s="1237" t="s">
        <v>1034</v>
      </c>
      <c r="H20" s="1236">
        <f>SUM(I20:J20)</f>
        <v>0</v>
      </c>
      <c r="I20" s="1235"/>
      <c r="J20" s="1225"/>
      <c r="K20" s="1234"/>
      <c r="W20" s="1155">
        <v>46</v>
      </c>
    </row>
    <row r="21" ht="35.649999999999999" customHeight="1">
      <c r="F21" s="1230" t="s">
        <v>1035</v>
      </c>
      <c r="G21" s="1237" t="s">
        <v>1036</v>
      </c>
      <c r="H21" s="1236">
        <f>SUM(I21:J21)</f>
        <v>0</v>
      </c>
      <c r="I21" s="1235"/>
      <c r="J21" s="1225"/>
      <c r="K21" s="1234"/>
      <c r="W21" s="1155">
        <v>34</v>
      </c>
    </row>
    <row r="22" ht="35.649999999999999" customHeight="1">
      <c r="F22" s="1230" t="s">
        <v>1037</v>
      </c>
      <c r="G22" s="1237" t="s">
        <v>1038</v>
      </c>
      <c r="H22" s="1236">
        <f>SUM(I22:J22)</f>
        <v>0</v>
      </c>
      <c r="I22" s="1235"/>
      <c r="J22" s="1225"/>
      <c r="K22" s="1234"/>
      <c r="W22" s="1155">
        <v>34</v>
      </c>
    </row>
    <row r="23" ht="24" customHeight="1">
      <c r="F23" s="1230" t="s">
        <v>1039</v>
      </c>
      <c r="G23" s="1237" t="s">
        <v>1040</v>
      </c>
      <c r="H23" s="1236">
        <f>SUM(I23:J23)</f>
        <v>0</v>
      </c>
      <c r="I23" s="1235"/>
      <c r="J23" s="1225"/>
      <c r="K23" s="1234"/>
      <c r="W23" s="1155">
        <v>23</v>
      </c>
    </row>
    <row r="24" ht="24" customHeight="1">
      <c r="F24" s="1230" t="s">
        <v>1041</v>
      </c>
      <c r="G24" s="1237" t="s">
        <v>1042</v>
      </c>
      <c r="H24" s="1236">
        <f>SUM(I24:J24)</f>
        <v>0</v>
      </c>
      <c r="I24" s="1235"/>
      <c r="J24" s="1225"/>
      <c r="K24" s="1234"/>
      <c r="W24" s="1155">
        <v>23</v>
      </c>
    </row>
    <row r="25" ht="35.649999999999999" customHeight="1">
      <c r="F25" s="1230" t="s">
        <v>1043</v>
      </c>
      <c r="G25" s="1237" t="s">
        <v>1044</v>
      </c>
      <c r="H25" s="1236">
        <f>SUM(I25:J25)</f>
        <v>0</v>
      </c>
      <c r="I25" s="1235"/>
      <c r="J25" s="1225"/>
      <c r="K25" s="1234"/>
      <c r="W25" s="1155">
        <v>34</v>
      </c>
    </row>
    <row r="26" ht="35.649999999999999" customHeight="1">
      <c r="F26" s="1230" t="s">
        <v>1045</v>
      </c>
      <c r="G26" s="1237" t="s">
        <v>1046</v>
      </c>
      <c r="H26" s="1236">
        <f>SUM(I26:J26)</f>
        <v>0</v>
      </c>
      <c r="I26" s="1235"/>
      <c r="J26" s="1225"/>
      <c r="K26" s="1234"/>
      <c r="W26" s="1155">
        <v>34</v>
      </c>
    </row>
    <row r="27" ht="11.5" customHeight="1">
      <c r="F27" s="1230" t="s">
        <v>1047</v>
      </c>
      <c r="G27" s="1237" t="s">
        <v>1048</v>
      </c>
      <c r="H27" s="1236">
        <f>SUM(I27:J27)</f>
        <v>0</v>
      </c>
      <c r="I27" s="1235"/>
      <c r="J27" s="1225"/>
      <c r="K27" s="1234"/>
      <c r="W27" s="1155">
        <v>11</v>
      </c>
    </row>
    <row r="28" ht="11.5" customHeight="1">
      <c r="F28" s="1230">
        <v>2</v>
      </c>
      <c r="G28" s="690" t="s">
        <v>1049</v>
      </c>
      <c r="H28" s="1236">
        <f>SUM(I28:J28)</f>
        <v>0</v>
      </c>
      <c r="I28" s="1236">
        <f>SUM(I29:I31)</f>
        <v>0</v>
      </c>
      <c r="J28" s="1225"/>
      <c r="K28" s="1234"/>
      <c r="W28" s="1155">
        <v>11</v>
      </c>
    </row>
    <row r="29" ht="11.5" customHeight="1">
      <c r="F29" s="1230" t="s">
        <v>712</v>
      </c>
      <c r="G29" s="1237" t="s">
        <v>1050</v>
      </c>
      <c r="H29" s="1236">
        <f>SUM(I29:J29)</f>
        <v>0</v>
      </c>
      <c r="I29" s="1235"/>
      <c r="J29" s="1225"/>
      <c r="K29" s="1234"/>
      <c r="W29" s="1155">
        <v>11</v>
      </c>
    </row>
    <row r="30" ht="11.5" customHeight="1">
      <c r="F30" s="1230" t="s">
        <v>311</v>
      </c>
      <c r="G30" s="1237" t="s">
        <v>1051</v>
      </c>
      <c r="H30" s="1236">
        <f>SUM(I30:J30)</f>
        <v>0</v>
      </c>
      <c r="I30" s="1235"/>
      <c r="J30" s="1225"/>
      <c r="K30" s="1234"/>
      <c r="W30" s="1155">
        <v>11</v>
      </c>
    </row>
    <row r="31" ht="11.5" customHeight="1">
      <c r="F31" s="1230" t="s">
        <v>314</v>
      </c>
      <c r="G31" s="1237" t="s">
        <v>1052</v>
      </c>
      <c r="H31" s="1236">
        <f>SUM(I31:J31)</f>
        <v>0</v>
      </c>
      <c r="I31" s="1235"/>
      <c r="J31" s="1225"/>
      <c r="K31" s="1234"/>
      <c r="W31" s="1155">
        <v>11</v>
      </c>
    </row>
    <row r="32" ht="11.5" customHeight="1">
      <c r="F32" s="1230">
        <v>3</v>
      </c>
      <c r="G32" s="690" t="s">
        <v>1053</v>
      </c>
      <c r="H32" s="1236">
        <f>SUM(I32:J32)</f>
        <v>0</v>
      </c>
      <c r="I32" s="1236">
        <f>SUM(I33:I34)</f>
        <v>0</v>
      </c>
      <c r="J32" s="1225"/>
      <c r="K32" s="1234"/>
      <c r="W32" s="1155">
        <v>11</v>
      </c>
    </row>
    <row r="33" ht="48.25" customHeight="1">
      <c r="F33" s="1230" t="s">
        <v>328</v>
      </c>
      <c r="G33" s="1237" t="s">
        <v>1054</v>
      </c>
      <c r="H33" s="1236">
        <f>SUM(I33:J33)</f>
        <v>0</v>
      </c>
      <c r="I33" s="1235"/>
      <c r="J33" s="1225"/>
      <c r="K33" s="1234"/>
      <c r="W33" s="1155">
        <v>46</v>
      </c>
    </row>
    <row r="34" ht="11.5" customHeight="1">
      <c r="F34" s="1230" t="s">
        <v>336</v>
      </c>
      <c r="G34" s="1237" t="s">
        <v>1055</v>
      </c>
      <c r="H34" s="1236">
        <f>SUM(I34:J34)</f>
        <v>0</v>
      </c>
      <c r="I34" s="1235"/>
      <c r="J34" s="1225"/>
      <c r="K34" s="1234"/>
      <c r="W34" s="1155">
        <v>11</v>
      </c>
    </row>
    <row r="35" ht="11.5" customHeight="1">
      <c r="F35" s="1230">
        <v>4</v>
      </c>
      <c r="G35" s="690" t="s">
        <v>1056</v>
      </c>
      <c r="H35" s="1236">
        <f>SUM(I35:J35)</f>
        <v>0</v>
      </c>
      <c r="I35" s="1235"/>
      <c r="J35" s="1225"/>
      <c r="K35" s="1234"/>
      <c r="W35" s="1155">
        <v>11</v>
      </c>
    </row>
    <row r="36" ht="11.5" customHeight="1">
      <c r="F36" s="1230"/>
      <c r="G36" s="693" t="s">
        <v>1057</v>
      </c>
      <c r="H36" s="1236">
        <f>SUM(I36:J36)</f>
        <v>0</v>
      </c>
      <c r="I36" s="1236">
        <f>SUM(I15,I28,I32,I35)</f>
        <v>0</v>
      </c>
      <c r="J36" s="1225"/>
      <c r="K36" s="1234"/>
      <c r="W36" s="1155">
        <v>11</v>
      </c>
    </row>
    <row r="37" ht="29.25" customHeight="1">
      <c r="F37" s="1231" t="s">
        <v>1058</v>
      </c>
      <c r="G37" s="2422" t="s">
        <v>1059</v>
      </c>
      <c r="H37" s="2422"/>
      <c r="I37" s="2422"/>
      <c r="J37" s="2422"/>
      <c r="K37" s="1234"/>
      <c r="W37" s="1155">
        <v>28</v>
      </c>
    </row>
    <row r="38" ht="24" customHeight="1">
      <c r="F38" s="1230" t="s">
        <v>108</v>
      </c>
      <c r="G38" s="690" t="s">
        <v>1060</v>
      </c>
      <c r="H38" s="1236">
        <f>SUM(I38:J38)</f>
        <v>0</v>
      </c>
      <c r="I38" s="1236">
        <f>SUM(I39,I44,I47)</f>
        <v>0</v>
      </c>
      <c r="J38" s="1225"/>
      <c r="K38" s="1234"/>
      <c r="W38" s="1155">
        <v>23</v>
      </c>
    </row>
    <row r="39" ht="11.5" customHeight="1">
      <c r="F39" s="1230" t="s">
        <v>1025</v>
      </c>
      <c r="G39" s="1237" t="s">
        <v>1024</v>
      </c>
      <c r="H39" s="1236">
        <f>SUM(I39:J39)</f>
        <v>0</v>
      </c>
      <c r="I39" s="1236">
        <f>SUM(I40:I43)</f>
        <v>0</v>
      </c>
      <c r="J39" s="1225"/>
      <c r="K39" s="1234"/>
      <c r="W39" s="1155">
        <v>11</v>
      </c>
    </row>
    <row r="40" ht="24" customHeight="1">
      <c r="F40" s="1230" t="s">
        <v>1061</v>
      </c>
      <c r="G40" s="1238" t="s">
        <v>1062</v>
      </c>
      <c r="H40" s="1236">
        <f>SUM(I40:J40)</f>
        <v>0</v>
      </c>
      <c r="I40" s="1235"/>
      <c r="J40" s="1225"/>
      <c r="K40" s="1234"/>
      <c r="W40" s="1155">
        <v>23</v>
      </c>
    </row>
    <row r="41" ht="11.5" customHeight="1">
      <c r="F41" s="1230" t="s">
        <v>1063</v>
      </c>
      <c r="G41" s="1238" t="s">
        <v>1064</v>
      </c>
      <c r="H41" s="1236">
        <f>SUM(I41:J41)</f>
        <v>0</v>
      </c>
      <c r="I41" s="1235"/>
      <c r="J41" s="1225"/>
      <c r="K41" s="1234"/>
      <c r="W41" s="1155">
        <v>11</v>
      </c>
    </row>
    <row r="42" ht="11.5" customHeight="1">
      <c r="F42" s="1230" t="s">
        <v>1065</v>
      </c>
      <c r="G42" s="1238" t="s">
        <v>1066</v>
      </c>
      <c r="H42" s="1236">
        <f>SUM(I42:J42)</f>
        <v>0</v>
      </c>
      <c r="I42" s="1235"/>
      <c r="J42" s="1225"/>
      <c r="K42" s="1234"/>
      <c r="W42" s="1155">
        <v>11</v>
      </c>
    </row>
    <row r="43" ht="35.649999999999999" customHeight="1">
      <c r="F43" s="1230" t="s">
        <v>1067</v>
      </c>
      <c r="G43" s="1238" t="s">
        <v>1068</v>
      </c>
      <c r="H43" s="1236">
        <f>SUM(I43:J43)</f>
        <v>0</v>
      </c>
      <c r="I43" s="1235"/>
      <c r="J43" s="1225"/>
      <c r="K43" s="1234"/>
      <c r="W43" s="1155">
        <v>34</v>
      </c>
    </row>
    <row r="44" ht="11.5" customHeight="1">
      <c r="F44" s="1230" t="s">
        <v>1027</v>
      </c>
      <c r="G44" s="1237" t="s">
        <v>1053</v>
      </c>
      <c r="H44" s="1236">
        <f>SUM(I44:J44)</f>
        <v>0</v>
      </c>
      <c r="I44" s="1236">
        <f>SUM(I45:I46)</f>
        <v>0</v>
      </c>
      <c r="J44" s="1225"/>
      <c r="K44" s="1234"/>
      <c r="W44" s="1155">
        <v>11</v>
      </c>
    </row>
    <row r="45" ht="48.25" customHeight="1">
      <c r="F45" s="1230" t="s">
        <v>1069</v>
      </c>
      <c r="G45" s="1238" t="s">
        <v>1054</v>
      </c>
      <c r="H45" s="1236">
        <f>SUM(I45:J45)</f>
        <v>0</v>
      </c>
      <c r="I45" s="1235"/>
      <c r="J45" s="1225"/>
      <c r="K45" s="1234"/>
      <c r="W45" s="1155">
        <v>46</v>
      </c>
    </row>
    <row r="46" ht="11.5" customHeight="1">
      <c r="F46" s="1230" t="s">
        <v>1070</v>
      </c>
      <c r="G46" s="1238" t="s">
        <v>1055</v>
      </c>
      <c r="H46" s="1236">
        <f>SUM(I46:J46)</f>
        <v>0</v>
      </c>
      <c r="I46" s="1235"/>
      <c r="J46" s="1225"/>
      <c r="K46" s="1234"/>
      <c r="W46" s="1155">
        <v>11</v>
      </c>
    </row>
    <row r="47" ht="11.5" customHeight="1">
      <c r="F47" s="1230" t="s">
        <v>1029</v>
      </c>
      <c r="G47" s="1237" t="s">
        <v>1071</v>
      </c>
      <c r="H47" s="1236">
        <f>SUM(I47:J47)</f>
        <v>0</v>
      </c>
      <c r="I47" s="1235"/>
      <c r="J47" s="1225"/>
      <c r="K47" s="1234"/>
      <c r="W47" s="1155">
        <v>11</v>
      </c>
    </row>
    <row r="48" ht="24" customHeight="1">
      <c r="F48" s="1230" t="s">
        <v>109</v>
      </c>
      <c r="G48" s="690" t="s">
        <v>1072</v>
      </c>
      <c r="H48" s="1236">
        <f>SUM(I48:J48)</f>
        <v>0</v>
      </c>
      <c r="I48" s="1236">
        <f>SUM(I49,I54,I57)</f>
        <v>0</v>
      </c>
      <c r="J48" s="1225"/>
      <c r="K48" s="1234"/>
      <c r="W48" s="1155">
        <v>23</v>
      </c>
    </row>
    <row r="49" ht="11.5" customHeight="1">
      <c r="F49" s="1230" t="s">
        <v>712</v>
      </c>
      <c r="G49" s="1237" t="s">
        <v>1024</v>
      </c>
      <c r="H49" s="1236">
        <f>SUM(I49:J49)</f>
        <v>0</v>
      </c>
      <c r="I49" s="1236">
        <f>SUM(I50:I53)</f>
        <v>0</v>
      </c>
      <c r="J49" s="1225"/>
      <c r="K49" s="1234"/>
      <c r="W49" s="1155">
        <v>11</v>
      </c>
    </row>
    <row r="50" ht="24" customHeight="1">
      <c r="F50" s="1230" t="s">
        <v>715</v>
      </c>
      <c r="G50" s="1238" t="s">
        <v>1062</v>
      </c>
      <c r="H50" s="1236">
        <f>SUM(I50:J50)</f>
        <v>0</v>
      </c>
      <c r="I50" s="1235"/>
      <c r="J50" s="1225"/>
      <c r="K50" s="1234"/>
      <c r="W50" s="1155">
        <v>23</v>
      </c>
    </row>
    <row r="51" ht="11.5" customHeight="1">
      <c r="F51" s="1230" t="s">
        <v>718</v>
      </c>
      <c r="G51" s="1238" t="s">
        <v>1064</v>
      </c>
      <c r="H51" s="1236">
        <f>SUM(I51:J51)</f>
        <v>0</v>
      </c>
      <c r="I51" s="1235"/>
      <c r="J51" s="1225"/>
      <c r="K51" s="1234"/>
      <c r="W51" s="1155">
        <v>11</v>
      </c>
    </row>
    <row r="52" ht="11.5" customHeight="1">
      <c r="F52" s="1230" t="s">
        <v>1073</v>
      </c>
      <c r="G52" s="1238" t="s">
        <v>1066</v>
      </c>
      <c r="H52" s="1236">
        <f>SUM(I52:J52)</f>
        <v>0</v>
      </c>
      <c r="I52" s="1235"/>
      <c r="J52" s="1225"/>
      <c r="K52" s="1234"/>
      <c r="W52" s="1155">
        <v>11</v>
      </c>
    </row>
    <row r="53" ht="35.649999999999999" customHeight="1">
      <c r="F53" s="1230" t="s">
        <v>1074</v>
      </c>
      <c r="G53" s="1238" t="s">
        <v>1068</v>
      </c>
      <c r="H53" s="1236">
        <f>SUM(I53:J53)</f>
        <v>0</v>
      </c>
      <c r="I53" s="1235"/>
      <c r="J53" s="1225"/>
      <c r="K53" s="1234"/>
      <c r="W53" s="1155">
        <v>34</v>
      </c>
    </row>
    <row r="54" ht="11.5" customHeight="1">
      <c r="F54" s="1230" t="s">
        <v>311</v>
      </c>
      <c r="G54" s="1237" t="s">
        <v>1053</v>
      </c>
      <c r="H54" s="1236">
        <f>SUM(I54:J54)</f>
        <v>0</v>
      </c>
      <c r="I54" s="1236">
        <f>SUM(I55:I56)</f>
        <v>0</v>
      </c>
      <c r="J54" s="1225"/>
      <c r="K54" s="1234"/>
      <c r="W54" s="1155">
        <v>11</v>
      </c>
    </row>
    <row r="55" ht="48.25" customHeight="1">
      <c r="F55" s="1230" t="s">
        <v>722</v>
      </c>
      <c r="G55" s="1238" t="s">
        <v>1054</v>
      </c>
      <c r="H55" s="1236">
        <f>SUM(I55:J55)</f>
        <v>0</v>
      </c>
      <c r="I55" s="1235"/>
      <c r="J55" s="1225"/>
      <c r="K55" s="1234"/>
      <c r="W55" s="1155">
        <v>46</v>
      </c>
    </row>
    <row r="56" ht="11.5" customHeight="1">
      <c r="F56" s="1230" t="s">
        <v>724</v>
      </c>
      <c r="G56" s="1238" t="s">
        <v>1055</v>
      </c>
      <c r="H56" s="1236">
        <f>SUM(I56:J56)</f>
        <v>0</v>
      </c>
      <c r="I56" s="1235"/>
      <c r="J56" s="1225"/>
      <c r="K56" s="1234"/>
      <c r="W56" s="1155">
        <v>11</v>
      </c>
    </row>
    <row r="57" ht="11.5" customHeight="1">
      <c r="F57" s="1230" t="s">
        <v>314</v>
      </c>
      <c r="G57" s="1237" t="s">
        <v>1071</v>
      </c>
      <c r="H57" s="1236">
        <f>SUM(I57:J57)</f>
        <v>0</v>
      </c>
      <c r="I57" s="1235"/>
      <c r="J57" s="1225"/>
      <c r="K57" s="1234"/>
      <c r="W57" s="1155">
        <v>11</v>
      </c>
    </row>
    <row r="58" ht="11.5" customHeight="1">
      <c r="F58" s="1230"/>
      <c r="G58" s="1239" t="s">
        <v>1057</v>
      </c>
      <c r="H58" s="1236">
        <f>SUM(I58:J58)</f>
        <v>0</v>
      </c>
      <c r="I58" s="1236">
        <f>SUM(I38,I48)</f>
        <v>0</v>
      </c>
      <c r="J58" s="1225"/>
      <c r="K58" s="1234"/>
      <c r="W58" s="1155">
        <v>11</v>
      </c>
    </row>
    <row r="59" ht="10.5" hidden="1" customHeight="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autoFilter="0" deleteColumns="1" deleteRows="1" formatColumns="0" formatRows="0" insertColumns="1" insertRows="1" sheet="1" sort="1"/>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CB00B6-00AB-4E03-940B-00CB000100E8}"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defaultRowHeight="12" customHeight="1"/>
  <cols>
    <col customWidth="1" hidden="1" min="1" max="1" style="1063" width="4.7109375"/>
    <col customWidth="1" hidden="1" min="2" max="2" style="936" width="4.7109375"/>
    <col customWidth="1" hidden="1" min="3" max="4" style="1063" width="4.7109375"/>
    <col customWidth="1" min="5" max="5" style="1063" width="3.00390625"/>
    <col customWidth="1" min="6" max="6" style="1063" width="6.00390625"/>
    <col customWidth="1" min="7" max="7" style="1063" width="18.00390625"/>
    <col customWidth="1" min="8" max="8" style="1063" width="27.00390625"/>
    <col customWidth="1" min="9" max="9" style="1063" width="18.00390625"/>
    <col customWidth="1" hidden="1" min="10" max="14" style="1063" width="0.8515625"/>
    <col customWidth="1" min="15" max="28" style="1063" width="21.7109375"/>
    <col customWidth="1" min="29" max="71" style="1063" width="0.8515625"/>
    <col customWidth="1" hidden="1" min="72" max="79" style="1063" width="21.7109375"/>
    <col customWidth="1" hidden="1" min="80" max="81" style="1063" width="29.140625"/>
    <col customWidth="1" hidden="1" min="82" max="89" style="1063" width="21.7109375"/>
    <col customWidth="1" hidden="1" min="90" max="102" style="1063" width="0.7109375"/>
    <col customWidth="1" hidden="1" min="103" max="114" style="1063" width="21.7109375"/>
    <col customWidth="1" hidden="1" min="115" max="178" style="1063" width="0.7109375"/>
    <col customWidth="1" min="179" max="179" style="1063" width="0.140625"/>
    <col customWidth="1" min="180" max="184" style="1063" width="8.00390625"/>
    <col hidden="1" min="185" max="185" style="1063" width="9.140625"/>
  </cols>
  <sheetData>
    <row r="1" s="925" customFormat="1" ht="12" hidden="1" customHeight="1">
      <c r="B1" s="923"/>
      <c r="C1" s="924"/>
      <c r="D1" s="924"/>
      <c r="GC1" s="922" t="s">
        <v>14</v>
      </c>
    </row>
    <row r="2" s="925" customFormat="1" ht="12" hidden="1" customHeight="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r="3" s="925" customFormat="1" ht="12" hidden="1" customHeight="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r="4" ht="10.5" customHeight="1">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r="5" s="1873" customFormat="1" ht="27.300000000000001" customHeight="1">
      <c r="B5" s="1872"/>
      <c r="E5" s="1874"/>
      <c r="F5" s="2432"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r="6" s="2138" customFormat="1" ht="18.75" customHeight="1">
      <c r="B6" s="943"/>
      <c r="E6" s="945"/>
      <c r="F6" s="2214" t="str">
        <f>IF(org=0,"Не определено",org)</f>
        <v xml:space="preserve">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r="7" s="933" customFormat="1" ht="10.5" customHeight="1">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r="8" s="933" customFormat="1" ht="11.25" hidden="1" customHeight="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r="9" s="933" customFormat="1" ht="11.25" hidden="1" customHeight="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r="10" s="933" customFormat="1" ht="11.5" customHeight="1">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r="11" ht="12.75" customHeight="1">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r="12" ht="12.75" customHeight="1">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r="13" ht="37.799999999999997" customHeight="1">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r="14" ht="37.799999999999997" customHeight="1">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r="15" ht="37.799999999999997" customHeight="1">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r="16" ht="12.75" customHeight="1">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r="17" ht="15.75" customHeight="1">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r="18" s="925" customFormat="1" ht="12" hidden="1" customHeight="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r="19" s="925" customFormat="1" ht="11.25" hidden="1" customHeight="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r="20" s="925" customFormat="1" ht="11.25" hidden="1" customHeight="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r="21" s="925" customFormat="1" ht="12.75" customHeight="1">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r="22" s="925" customFormat="1" ht="12.75" customHeight="1">
      <c r="A22" s="941"/>
      <c r="B22" s="941"/>
      <c r="C22" s="941"/>
      <c r="D22" s="941"/>
      <c r="E22" s="941"/>
      <c r="FX22" s="941"/>
      <c r="FY22" s="941"/>
      <c r="FZ22" s="941"/>
      <c r="GA22" s="941"/>
      <c r="GB22" s="941"/>
      <c r="GC22" s="922">
        <v>12</v>
      </c>
    </row>
    <row r="23" s="1063" customFormat="1" ht="12.75" customHeight="1">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r="24" ht="12.75" customHeight="1">
      <c r="S24" s="938"/>
      <c r="T24" s="938"/>
      <c r="U24" s="938"/>
      <c r="V24" s="938"/>
      <c r="W24" s="938"/>
      <c r="X24" s="938"/>
      <c r="Y24" s="938"/>
      <c r="Z24" s="938"/>
      <c r="AA24" s="938"/>
      <c r="AB24" s="938"/>
      <c r="FX24" s="938"/>
      <c r="FY24" s="938"/>
      <c r="FZ24" s="938"/>
      <c r="GA24" s="938"/>
      <c r="GB24" s="938"/>
      <c r="GC24" s="926">
        <v>12</v>
      </c>
    </row>
    <row r="25" ht="12" hidden="1" customHeight="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autoFilter="0" deleteColumns="1" deleteRows="1" formatColumns="0" formatRows="0" insertColumns="1" insertRows="1" sheet="1" sort="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defaultRowHeight="15" customHeight="1"/>
  <cols>
    <col customWidth="1" hidden="1" min="1" max="1" style="1632" width="9.140625"/>
    <col customWidth="1" hidden="1" min="2" max="2" style="1635" width="9.140625"/>
    <col customWidth="1" min="3" max="3" style="683" width="4.00390625"/>
    <col customWidth="1" min="4" max="4" style="1635" width="6.00390625"/>
    <col customWidth="1" min="5" max="5" style="1635" width="36.00390625"/>
    <col customWidth="1" min="6" max="6" style="1635" width="9.00390625"/>
    <col customWidth="1" hidden="1" min="7" max="7" style="1635" width="42.421875"/>
    <col customWidth="1" min="8" max="8" style="1635" width="40.7109375"/>
    <col customWidth="1" min="9" max="9" style="1366" width="93.00390625"/>
    <col customWidth="1" min="10" max="17" style="1635" width="10.00390625"/>
    <col customWidth="1" min="18" max="18" style="675" width="10.00390625"/>
    <col hidden="1" min="19" max="19" style="1635" width="10.57421875"/>
  </cols>
  <sheetData>
    <row r="1" s="1366" customFormat="1" ht="15" hidden="1" customHeight="1">
      <c r="C1" s="672"/>
      <c r="H1" s="417">
        <v>4</v>
      </c>
      <c r="R1" s="420"/>
      <c r="S1" s="417" t="s">
        <v>14</v>
      </c>
    </row>
    <row r="2" ht="22.5" hidden="1" customHeight="1">
      <c r="C2" s="1928" t="s">
        <v>692</v>
      </c>
      <c r="D2" s="539"/>
      <c r="E2" s="663"/>
      <c r="F2" s="1761" t="str">
        <f>IF(TEMPLATE_SPHERE="HEAT","Гкал/час","тыс. куб. м/сутки")</f>
        <v>Гкал/час</v>
      </c>
      <c r="G2" s="680"/>
      <c r="H2" s="680"/>
      <c r="I2" s="289"/>
      <c r="S2" s="505">
        <v>0</v>
      </c>
    </row>
    <row r="3" s="1366" customFormat="1" ht="15" hidden="1" customHeight="1">
      <c r="C3" s="672"/>
      <c r="R3" s="420"/>
      <c r="S3" s="417">
        <v>0</v>
      </c>
    </row>
    <row r="4" ht="15.75" customHeight="1">
      <c r="C4" s="176"/>
      <c r="D4" s="509"/>
      <c r="E4" s="509"/>
      <c r="F4" s="509"/>
      <c r="G4" s="509"/>
      <c r="H4" s="509"/>
      <c r="S4" s="505">
        <v>15</v>
      </c>
    </row>
    <row r="5" ht="39.75" customHeight="1">
      <c r="C5" s="176"/>
      <c r="D5" s="2237"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r="6" ht="15.75" customHeight="1">
      <c r="C6" s="176"/>
      <c r="D6" s="2176" t="str">
        <f>IF(org=0,"Не определено",org)</f>
        <v xml:space="preserve">АО "ДГК"</v>
      </c>
      <c r="E6" s="2176"/>
      <c r="F6" s="2176"/>
      <c r="G6" s="2176"/>
      <c r="H6" s="2176"/>
      <c r="I6" s="537"/>
      <c r="S6" s="505">
        <v>15</v>
      </c>
    </row>
    <row r="7" s="1635" customFormat="1" ht="15.75" customHeight="1">
      <c r="A7" s="759"/>
      <c r="C7" s="176"/>
      <c r="D7" s="676"/>
      <c r="E7" s="676"/>
      <c r="F7" s="676"/>
      <c r="G7" s="676"/>
      <c r="H7" s="752"/>
      <c r="I7" s="537"/>
      <c r="R7" s="675"/>
      <c r="S7" s="758">
        <v>15</v>
      </c>
    </row>
    <row r="8" ht="1.05" customHeight="1">
      <c r="C8" s="176"/>
      <c r="D8" s="509"/>
      <c r="E8" s="509"/>
      <c r="F8" s="509"/>
      <c r="G8" s="509"/>
      <c r="H8" s="537" t="s">
        <v>116</v>
      </c>
      <c r="S8" s="505">
        <v>1</v>
      </c>
    </row>
    <row r="9" ht="15.75" customHeight="1">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r="10" s="1635" customFormat="1" ht="15.75" customHeight="1">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r="11" s="1635" customFormat="1" ht="15.75" customHeight="1">
      <c r="A11" s="759"/>
      <c r="C11" s="176"/>
      <c r="D11" s="711"/>
      <c r="E11" s="2367" t="s">
        <v>568</v>
      </c>
      <c r="F11" s="2368"/>
      <c r="G11" s="816" t="str">
        <f>IF(G8="","",INDEX(DIFFERENTIATION_UNMERGE_SYSTEM,MATCH(G8,DIFFERENTIATION_ID_DIFF,0)))</f>
        <v/>
      </c>
      <c r="H11" s="816" t="str">
        <f>IF(H8="","",INDEX(DIFFERENTIATION_UNMERGE_SYSTEM,MATCH(H8,DIFFERENTIATION_ID_DIFF,0)))</f>
        <v xml:space="preserve">без дифференциации</v>
      </c>
      <c r="I11" s="2127"/>
      <c r="R11" s="675"/>
      <c r="S11" s="758">
        <v>15</v>
      </c>
    </row>
    <row r="12" s="1635" customFormat="1" ht="15.75" customHeight="1">
      <c r="A12" s="759"/>
      <c r="C12" s="176"/>
      <c r="D12" s="2369" t="s">
        <v>304</v>
      </c>
      <c r="E12" s="2370"/>
      <c r="F12" s="2370"/>
      <c r="G12" s="887"/>
      <c r="H12" s="887"/>
      <c r="I12" s="2127"/>
      <c r="R12" s="675"/>
      <c r="S12" s="758">
        <v>15</v>
      </c>
    </row>
    <row r="13" ht="35.649999999999999" customHeight="1">
      <c r="C13" s="176"/>
      <c r="D13" s="761" t="s">
        <v>88</v>
      </c>
      <c r="E13" s="760" t="s">
        <v>306</v>
      </c>
      <c r="F13" s="760" t="s">
        <v>569</v>
      </c>
      <c r="G13" s="808" t="s">
        <v>307</v>
      </c>
      <c r="H13" s="754" t="s">
        <v>307</v>
      </c>
      <c r="I13" s="2127"/>
      <c r="S13" s="505">
        <v>34</v>
      </c>
    </row>
    <row r="14" ht="15" hidden="1" customHeight="1">
      <c r="C14" s="176"/>
      <c r="D14" s="593" t="s">
        <v>108</v>
      </c>
      <c r="E14" s="593" t="s">
        <v>109</v>
      </c>
      <c r="F14" s="593" t="s">
        <v>90</v>
      </c>
      <c r="G14" s="659" t="str">
        <f>G1&amp;".1"</f>
        <v>.1</v>
      </c>
      <c r="H14" s="659" t="str">
        <f>H1&amp;".1"</f>
        <v>4.1</v>
      </c>
      <c r="I14" s="289"/>
      <c r="S14" s="505">
        <v>0</v>
      </c>
    </row>
    <row r="15" ht="15.75" customHeight="1">
      <c r="A15" s="505"/>
      <c r="C15" s="526"/>
      <c r="D15" s="521">
        <v>1</v>
      </c>
      <c r="E15" s="1930" t="str">
        <f>TP_P_A</f>
        <v xml:space="preserve">Количество поданных заявок</v>
      </c>
      <c r="F15" s="521" t="s">
        <v>1118</v>
      </c>
      <c r="G15" s="685"/>
      <c r="H15" s="685"/>
      <c r="I15" s="208"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r="16" ht="15.75" customHeight="1">
      <c r="A16" s="505"/>
      <c r="C16" s="526"/>
      <c r="D16" s="521">
        <v>2</v>
      </c>
      <c r="E16" s="1930" t="str">
        <f>TP_P_B</f>
        <v xml:space="preserve">Количество рассмотренных заявок</v>
      </c>
      <c r="F16" s="521" t="s">
        <v>1118</v>
      </c>
      <c r="G16" s="685"/>
      <c r="H16" s="685"/>
      <c r="I16" s="208"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r="17" ht="77.700000000000003" customHeight="1">
      <c r="A17" s="505"/>
      <c r="C17" s="526"/>
      <c r="D17" s="521">
        <v>3</v>
      </c>
      <c r="E17" s="1930"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 xml:space="preserve">Указывается количество заявок с решением об отказе в течение отчетного квартала.</v>
      </c>
      <c r="S17" s="505">
        <v>74</v>
      </c>
    </row>
    <row r="18" ht="54.75" customHeight="1">
      <c r="A18" s="505"/>
      <c r="C18" s="526"/>
      <c r="D18" s="521">
        <v>4</v>
      </c>
      <c r="E18" s="1930" t="str">
        <f>TP_P_V_1</f>
        <v xml:space="preserve">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r="19" ht="60" customHeight="1">
      <c r="A19" s="505"/>
      <c r="C19" s="526"/>
      <c r="D19" s="521">
        <v>5</v>
      </c>
      <c r="E19" s="1930" t="str">
        <f>TP_P_G</f>
        <v xml:space="preserve">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5">
        <v>57</v>
      </c>
    </row>
    <row r="20" ht="15" hidden="1" customHeight="1">
      <c r="D20" s="509" t="s">
        <v>1119</v>
      </c>
      <c r="E20" s="688"/>
      <c r="F20" s="509"/>
      <c r="G20" s="509"/>
      <c r="H20" s="509"/>
      <c r="I20" s="1763"/>
      <c r="S20" s="505">
        <v>0</v>
      </c>
    </row>
    <row r="21" ht="29.25" customHeight="1">
      <c r="C21" s="451"/>
      <c r="D21" s="539" t="s">
        <v>317</v>
      </c>
      <c r="E21" s="670"/>
      <c r="F21" s="1761" t="str">
        <f>IF(TEMPLATE_SPHERE="HEAT","Гкал/час","тыс. куб. м/сутки")</f>
        <v>Гкал/час</v>
      </c>
      <c r="G21" s="680"/>
      <c r="H21" s="680"/>
      <c r="I21" s="216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5">
        <v>28</v>
      </c>
    </row>
    <row r="22" ht="15.75" customHeight="1">
      <c r="A22" s="505"/>
      <c r="C22" s="505"/>
      <c r="D22" s="347"/>
      <c r="E22" s="580" t="s">
        <v>1120</v>
      </c>
      <c r="F22" s="572"/>
      <c r="G22" s="572"/>
      <c r="H22" s="572"/>
      <c r="I22" s="2171"/>
      <c r="R22" s="505"/>
      <c r="S22" s="505">
        <v>15</v>
      </c>
    </row>
    <row r="23" ht="22.5" hidden="1" customHeight="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autoFilter="0" deleteColumns="1" deleteRows="1" formatColumns="0" formatRows="0" insertColumns="1" insertRows="1" sheet="1" sort="1"/>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1500CC-0051-4452-AE50-001200DA00D9}"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 xr:uid="{00130066-0078-429E-A5C9-003400090060}"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53000F-0045-456B-A150-00AE00DF0030}"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defaultRowHeight="14.25" customHeight="1"/>
  <cols>
    <col customWidth="1" hidden="1" min="1" max="1" style="2397" width="9.140625"/>
    <col customWidth="1" hidden="1" min="2" max="2" style="1366" width="9.140625"/>
    <col customWidth="1" min="3" max="3" style="344" width="3.00390625"/>
    <col customWidth="1" min="4" max="4" style="1635" width="6.00390625"/>
    <col customWidth="1" min="5" max="6" style="1635" width="64.00390625"/>
    <col customWidth="1" min="7" max="7" style="1635" width="140.00390625"/>
    <col customWidth="1" min="8" max="8" style="1635" width="10.00390625"/>
    <col customWidth="1" min="9" max="10" style="1624" width="10.00390625"/>
    <col customWidth="1" min="11" max="16" style="1635" width="10.00390625"/>
    <col hidden="1" min="17" max="17" style="1635" width="10.57421875"/>
  </cols>
  <sheetData>
    <row r="1" ht="22.5" hidden="1" customHeight="1">
      <c r="M1" s="255"/>
      <c r="N1" s="255"/>
      <c r="P1" s="255"/>
      <c r="Q1" s="83" t="s">
        <v>14</v>
      </c>
    </row>
    <row r="2" ht="14.25" hidden="1" customHeight="1">
      <c r="Q2" s="83">
        <v>0</v>
      </c>
    </row>
    <row r="3" ht="14.25" hidden="1" customHeight="1">
      <c r="Q3" s="83">
        <v>0</v>
      </c>
    </row>
    <row r="4" ht="3" customHeight="1">
      <c r="C4" s="96"/>
      <c r="D4" s="84"/>
      <c r="E4" s="84"/>
      <c r="F4" s="85"/>
      <c r="G4" s="85"/>
      <c r="Q4" s="83">
        <v>3</v>
      </c>
    </row>
    <row r="5" ht="29.25" customHeight="1">
      <c r="C5" s="96"/>
      <c r="D5" s="2454"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r="6" s="1635" customFormat="1" ht="18.75" customHeight="1">
      <c r="A6" s="882"/>
      <c r="B6" s="417"/>
      <c r="C6" s="376"/>
      <c r="D6" s="2457" t="str">
        <f>IF(org=0,"Не определено",org)</f>
        <v xml:space="preserve">АО "ДГК"</v>
      </c>
      <c r="E6" s="2458"/>
      <c r="F6" s="2458"/>
      <c r="G6" s="2459"/>
      <c r="I6" s="500"/>
      <c r="J6" s="500"/>
      <c r="Q6" s="758">
        <v>18</v>
      </c>
    </row>
    <row r="7" ht="14.65" customHeight="1">
      <c r="C7" s="96"/>
      <c r="D7" s="84"/>
      <c r="E7" s="95"/>
      <c r="F7" s="752"/>
      <c r="G7" s="193"/>
      <c r="Q7" s="83">
        <v>14</v>
      </c>
    </row>
    <row r="8" s="1635" customFormat="1" ht="1.05" customHeight="1">
      <c r="A8" s="1669"/>
      <c r="B8" s="1160"/>
      <c r="C8" s="376"/>
      <c r="D8" s="363"/>
      <c r="E8" s="389"/>
      <c r="F8" s="752"/>
      <c r="G8" s="193"/>
      <c r="I8" s="1624"/>
      <c r="J8" s="1624"/>
      <c r="Q8" s="1631">
        <v>1</v>
      </c>
    </row>
    <row r="9" ht="14.65" customHeight="1">
      <c r="C9" s="96"/>
      <c r="D9" s="2209" t="s">
        <v>304</v>
      </c>
      <c r="E9" s="2209"/>
      <c r="F9" s="2209"/>
      <c r="G9" s="2389" t="s">
        <v>305</v>
      </c>
      <c r="Q9" s="83">
        <v>14</v>
      </c>
    </row>
    <row r="10" ht="24" customHeight="1">
      <c r="C10" s="96"/>
      <c r="D10" s="105" t="s">
        <v>88</v>
      </c>
      <c r="E10" s="108" t="s">
        <v>306</v>
      </c>
      <c r="F10" s="108" t="s">
        <v>394</v>
      </c>
      <c r="G10" s="2389"/>
      <c r="Q10" s="83">
        <v>23</v>
      </c>
    </row>
    <row r="11" ht="12" hidden="1" customHeight="1">
      <c r="C11" s="96"/>
      <c r="D11" s="87"/>
      <c r="E11" s="87"/>
      <c r="F11" s="87"/>
      <c r="G11" s="87"/>
      <c r="Q11" s="83">
        <v>0</v>
      </c>
    </row>
    <row r="12" ht="65.25" customHeight="1">
      <c r="A12" s="192"/>
      <c r="C12" s="96"/>
      <c r="D12" s="147">
        <v>1</v>
      </c>
      <c r="E12" s="197"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r="13" ht="24" customHeight="1">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8" t="s">
        <v>310</v>
      </c>
      <c r="G13" s="151"/>
      <c r="Q13" s="83">
        <v>23</v>
      </c>
    </row>
    <row r="14" ht="14.65" customHeight="1">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r="15" ht="15.75" customHeight="1">
      <c r="A15" s="192"/>
      <c r="C15" s="96"/>
      <c r="D15" s="109"/>
      <c r="E15" s="349" t="s">
        <v>1121</v>
      </c>
      <c r="F15" s="201"/>
      <c r="G15" s="2171"/>
      <c r="Q15" s="83">
        <v>15</v>
      </c>
    </row>
    <row r="16" ht="14.65" customHeight="1">
      <c r="A16" s="192"/>
      <c r="C16" s="96"/>
      <c r="D16" s="147" t="s">
        <v>1027</v>
      </c>
      <c r="E16" s="194"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198" t="s">
        <v>310</v>
      </c>
      <c r="G16" s="337"/>
      <c r="Q16" s="83">
        <v>14</v>
      </c>
    </row>
    <row r="17" ht="14.65" customHeight="1">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r="18" s="1635" customFormat="1" ht="22" customHeight="1">
      <c r="A18" s="343"/>
      <c r="B18" s="146"/>
      <c r="C18" s="307"/>
      <c r="D18" s="347"/>
      <c r="E18" s="349" t="s">
        <v>1122</v>
      </c>
      <c r="F18" s="338"/>
      <c r="G18" s="2171"/>
      <c r="I18" s="350"/>
      <c r="J18" s="350"/>
      <c r="Q18" s="342">
        <v>21</v>
      </c>
    </row>
    <row r="19" s="1635" customFormat="1" ht="256.5" hidden="1" customHeight="1">
      <c r="A19" s="343"/>
      <c r="B19" s="417"/>
      <c r="C19" s="376"/>
      <c r="D19" s="884" t="s">
        <v>1029</v>
      </c>
      <c r="E19" s="883" t="s">
        <v>1123</v>
      </c>
      <c r="F19" s="385"/>
      <c r="G19" s="337" t="s">
        <v>1124</v>
      </c>
      <c r="I19" s="500"/>
      <c r="J19" s="500"/>
      <c r="Q19" s="758">
        <v>0</v>
      </c>
    </row>
    <row r="20" s="1635" customFormat="1" ht="14.65" customHeight="1">
      <c r="A20" s="343"/>
      <c r="B20" s="146"/>
      <c r="C20" s="307"/>
      <c r="D20" s="885">
        <v>2</v>
      </c>
      <c r="E20" s="330" t="s">
        <v>1125</v>
      </c>
      <c r="F20" s="198" t="s">
        <v>310</v>
      </c>
      <c r="G20" s="337"/>
      <c r="I20" s="350"/>
      <c r="J20" s="350"/>
      <c r="Q20" s="342">
        <v>14</v>
      </c>
    </row>
    <row r="21" s="1635" customFormat="1" ht="18.75" hidden="1" customHeight="1">
      <c r="A21" s="343"/>
      <c r="B21" s="146"/>
      <c r="C21" s="307"/>
      <c r="D21" s="333" t="s">
        <v>639</v>
      </c>
      <c r="E21" s="332"/>
      <c r="F21" s="331"/>
      <c r="G21" s="341"/>
      <c r="H21" s="334"/>
      <c r="I21" s="350"/>
      <c r="J21" s="350"/>
      <c r="Q21" s="342">
        <v>0</v>
      </c>
    </row>
    <row r="22" ht="15.75" customHeight="1">
      <c r="A22" s="192"/>
      <c r="C22" s="96"/>
      <c r="D22" s="109"/>
      <c r="E22" s="203" t="s">
        <v>326</v>
      </c>
      <c r="F22" s="338"/>
      <c r="G22" s="339"/>
      <c r="Q22" s="83">
        <v>15</v>
      </c>
    </row>
    <row r="23" s="1635" customFormat="1" ht="22.5" hidden="1" customHeight="1">
      <c r="A23" s="343"/>
      <c r="B23" s="1160"/>
      <c r="C23" s="376"/>
      <c r="D23" s="1673" t="s">
        <v>109</v>
      </c>
      <c r="E23" s="197" t="s">
        <v>1126</v>
      </c>
      <c r="F23" s="1670" t="s">
        <v>310</v>
      </c>
      <c r="G23" s="345"/>
      <c r="I23" s="1624"/>
      <c r="J23" s="1624"/>
      <c r="Q23" s="1631">
        <v>0</v>
      </c>
    </row>
    <row r="24" s="1635" customFormat="1" ht="14.25" hidden="1" customHeight="1">
      <c r="A24" s="343"/>
      <c r="B24" s="1160"/>
      <c r="C24" s="376"/>
      <c r="D24" s="1673" t="s">
        <v>712</v>
      </c>
      <c r="E24" s="1672" t="s">
        <v>1127</v>
      </c>
      <c r="F24" s="1670" t="s">
        <v>310</v>
      </c>
      <c r="G24" s="337"/>
      <c r="I24" s="1624"/>
      <c r="J24" s="1624"/>
      <c r="Q24" s="1631">
        <v>0</v>
      </c>
    </row>
    <row r="25" s="1635" customFormat="1" ht="14.25" hidden="1" customHeight="1">
      <c r="A25" s="343"/>
      <c r="B25" s="1160"/>
      <c r="C25" s="376"/>
      <c r="D25" s="1673" t="s">
        <v>715</v>
      </c>
      <c r="E25" s="195"/>
      <c r="F25" s="385"/>
      <c r="G25" s="2169" t="s">
        <v>1128</v>
      </c>
      <c r="I25" s="1624"/>
      <c r="J25" s="1624"/>
      <c r="Q25" s="1631">
        <v>0</v>
      </c>
    </row>
    <row r="26" s="1635" customFormat="1" ht="22.5" hidden="1" customHeight="1">
      <c r="A26" s="343"/>
      <c r="B26" s="1160"/>
      <c r="C26" s="376"/>
      <c r="D26" s="347"/>
      <c r="E26" s="349" t="s">
        <v>1129</v>
      </c>
      <c r="F26" s="338"/>
      <c r="G26" s="2171"/>
      <c r="I26" s="1624"/>
      <c r="J26" s="1624"/>
      <c r="Q26" s="1631">
        <v>0</v>
      </c>
    </row>
    <row r="27" ht="3" customHeight="1">
      <c r="Q27" s="83">
        <v>3</v>
      </c>
    </row>
    <row r="28" ht="14.65" customHeight="1">
      <c r="D28" s="336"/>
      <c r="E28" s="335"/>
      <c r="F28" s="315"/>
      <c r="G28" s="315"/>
      <c r="H28" s="315"/>
      <c r="I28" s="315"/>
      <c r="J28" s="315"/>
      <c r="K28" s="315"/>
      <c r="L28" s="315"/>
      <c r="M28" s="315"/>
      <c r="N28" s="315"/>
      <c r="O28" s="315"/>
      <c r="P28" s="315"/>
      <c r="Q28" s="83">
        <v>14</v>
      </c>
    </row>
    <row r="29" ht="14.65" customHeight="1">
      <c r="D29" s="336"/>
      <c r="E29" s="582"/>
      <c r="Q29" s="83">
        <v>14</v>
      </c>
    </row>
    <row r="30" ht="14.65" customHeight="1">
      <c r="Q30" s="83">
        <v>14</v>
      </c>
    </row>
    <row r="31" ht="14.65" customHeight="1">
      <c r="E31" s="758"/>
      <c r="Q31" s="83">
        <v>14</v>
      </c>
    </row>
    <row r="32" ht="22.5" hidden="1" customHeight="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autoFilter="0" deleteColumns="1" deleteRows="1" formatColumns="0" formatRows="0" insertColumns="1" insertRows="1" sheet="1" sort="1"/>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F0015-0036-4186-95CE-008000DB004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DA0078-00A6-4079-BC94-00D900280010}"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defaultRowHeight="14.25" customHeight="1"/>
  <cols>
    <col customWidth="1" hidden="1" min="1" max="1" style="1776" width="9.140625"/>
    <col customWidth="1" hidden="1" min="2" max="2" style="1366" width="9.140625"/>
    <col customWidth="1" min="3" max="3" style="344" width="3.00390625"/>
    <col customWidth="1" min="4" max="4" style="1635" width="6.00390625"/>
    <col customWidth="1" min="5" max="5" style="1635" width="63.00390625"/>
    <col customWidth="1" hidden="1" min="6" max="6" style="1635" width="1.7109375"/>
    <col customWidth="1" min="7" max="8" style="1635" width="35.00390625"/>
    <col customWidth="1" min="9" max="9" style="1635" width="91.00390625"/>
    <col customWidth="1" min="10" max="10" style="1635" width="68.00390625"/>
    <col customWidth="1" min="11" max="12" style="1624" width="10.00390625"/>
    <col hidden="1" min="13" max="13" style="1635" width="10.57421875"/>
  </cols>
  <sheetData>
    <row r="1" ht="22.5" hidden="1" customHeight="1">
      <c r="M1" s="83" t="s">
        <v>14</v>
      </c>
    </row>
    <row r="2" s="1635" customFormat="1" ht="18.75" hidden="1" customHeight="1">
      <c r="A2" s="1683"/>
      <c r="B2" s="1160"/>
      <c r="C2" s="1730" t="s">
        <v>692</v>
      </c>
      <c r="D2" s="1673"/>
      <c r="E2" s="199"/>
      <c r="F2" s="1670"/>
      <c r="G2" s="1670" t="s">
        <v>310</v>
      </c>
      <c r="H2" s="1161"/>
      <c r="K2" s="1624"/>
      <c r="L2" s="1624"/>
      <c r="M2" s="1631">
        <v>0</v>
      </c>
    </row>
    <row r="3" s="1635" customFormat="1" ht="14.25" hidden="1" customHeight="1">
      <c r="A3" s="1362"/>
      <c r="B3" s="1160"/>
      <c r="C3" s="344"/>
      <c r="K3" s="1624"/>
      <c r="L3" s="1624"/>
      <c r="M3" s="1631">
        <v>0</v>
      </c>
    </row>
    <row r="4" s="1635" customFormat="1" ht="18.75" hidden="1" customHeight="1">
      <c r="A4" s="1683"/>
      <c r="B4" s="1160"/>
      <c r="C4" s="1730" t="s">
        <v>692</v>
      </c>
      <c r="D4" s="1673"/>
      <c r="E4" s="205" t="s">
        <v>1130</v>
      </c>
      <c r="F4" s="1670"/>
      <c r="G4" s="257"/>
      <c r="H4" s="1670" t="s">
        <v>310</v>
      </c>
      <c r="K4" s="1624"/>
      <c r="L4" s="1624"/>
      <c r="M4" s="1631">
        <v>0</v>
      </c>
    </row>
    <row r="5" s="1635" customFormat="1" ht="14.25" hidden="1" customHeight="1">
      <c r="A5" s="1362"/>
      <c r="B5" s="1160"/>
      <c r="C5" s="344"/>
      <c r="K5" s="1624"/>
      <c r="L5" s="1624"/>
      <c r="M5" s="1631">
        <v>0</v>
      </c>
    </row>
    <row r="6" s="1635" customFormat="1" ht="18.75" hidden="1" customHeight="1">
      <c r="A6" s="1683"/>
      <c r="B6" s="1160"/>
      <c r="C6" s="1730" t="s">
        <v>692</v>
      </c>
      <c r="D6" s="1673"/>
      <c r="E6" s="206" t="s">
        <v>1131</v>
      </c>
      <c r="F6" s="1670"/>
      <c r="G6" s="257"/>
      <c r="H6" s="1670" t="s">
        <v>310</v>
      </c>
      <c r="K6" s="1624"/>
      <c r="L6" s="1624"/>
      <c r="M6" s="1631">
        <v>0</v>
      </c>
    </row>
    <row r="7" s="1635" customFormat="1" ht="14.25" hidden="1" customHeight="1">
      <c r="A7" s="1362"/>
      <c r="B7" s="1160"/>
      <c r="C7" s="344"/>
      <c r="K7" s="1624"/>
      <c r="L7" s="1624"/>
      <c r="M7" s="1631">
        <v>0</v>
      </c>
    </row>
    <row r="8" s="1635" customFormat="1" ht="18.75" hidden="1" customHeight="1">
      <c r="A8" s="1683"/>
      <c r="B8" s="1160"/>
      <c r="C8" s="1730" t="s">
        <v>692</v>
      </c>
      <c r="D8" s="1673"/>
      <c r="E8" s="206" t="s">
        <v>1132</v>
      </c>
      <c r="F8" s="1670"/>
      <c r="G8" s="257"/>
      <c r="H8" s="1670" t="s">
        <v>310</v>
      </c>
      <c r="K8" s="1624"/>
      <c r="L8" s="1624"/>
      <c r="M8" s="1631">
        <v>0</v>
      </c>
    </row>
    <row r="9" s="1635" customFormat="1" ht="14.25" hidden="1" customHeight="1">
      <c r="A9" s="1362"/>
      <c r="B9" s="1160"/>
      <c r="C9" s="344"/>
      <c r="K9" s="1624"/>
      <c r="L9" s="1624"/>
      <c r="M9" s="1631">
        <v>0</v>
      </c>
    </row>
    <row r="10" s="1635" customFormat="1" ht="18.75" hidden="1" customHeight="1">
      <c r="A10" s="1683"/>
      <c r="B10" s="1160"/>
      <c r="C10" s="1730" t="s">
        <v>692</v>
      </c>
      <c r="D10" s="1673"/>
      <c r="E10" s="206" t="s">
        <v>1133</v>
      </c>
      <c r="F10" s="1670"/>
      <c r="G10" s="1674"/>
      <c r="H10" s="1670" t="s">
        <v>310</v>
      </c>
      <c r="K10" s="1624"/>
      <c r="L10" s="1624" t="s">
        <v>1134</v>
      </c>
      <c r="M10" s="1631">
        <v>0</v>
      </c>
    </row>
    <row r="11" ht="14.25" hidden="1" customHeight="1">
      <c r="M11" s="83">
        <v>0</v>
      </c>
    </row>
    <row r="12" ht="14.25" hidden="1" customHeight="1">
      <c r="M12" s="83">
        <v>0</v>
      </c>
    </row>
    <row r="13" ht="14.65" customHeight="1">
      <c r="C13" s="96"/>
      <c r="D13" s="84"/>
      <c r="E13" s="84"/>
      <c r="F13" s="84"/>
      <c r="G13" s="84"/>
      <c r="H13" s="85"/>
      <c r="I13" s="85"/>
      <c r="M13" s="83">
        <v>14</v>
      </c>
    </row>
    <row r="14" ht="29.25" customHeight="1">
      <c r="C14" s="96"/>
      <c r="D14" s="2454"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r="15" s="1635" customFormat="1" ht="14.65" customHeight="1">
      <c r="A15" s="1362"/>
      <c r="B15" s="1160"/>
      <c r="C15" s="376"/>
      <c r="D15" s="2457" t="str">
        <f>IF(org=0,"Не определено",org)</f>
        <v xml:space="preserve">АО "ДГК"</v>
      </c>
      <c r="E15" s="2458"/>
      <c r="F15" s="2458"/>
      <c r="G15" s="2458"/>
      <c r="H15" s="2459"/>
      <c r="J15" s="852"/>
      <c r="K15" s="1624"/>
      <c r="L15" s="1624"/>
      <c r="M15" s="1631">
        <v>14</v>
      </c>
    </row>
    <row r="16" ht="14.65" customHeight="1">
      <c r="C16" s="96"/>
      <c r="D16" s="84"/>
      <c r="E16" s="95"/>
      <c r="F16" s="95"/>
      <c r="G16" s="95"/>
      <c r="H16" s="752"/>
      <c r="I16" s="193"/>
      <c r="M16" s="83">
        <v>14</v>
      </c>
    </row>
    <row r="17" s="1635" customFormat="1" ht="14.25" hidden="1" customHeight="1">
      <c r="A17" s="1362"/>
      <c r="B17" s="1160"/>
      <c r="C17" s="376"/>
      <c r="D17" s="363"/>
      <c r="E17" s="389"/>
      <c r="F17" s="389"/>
      <c r="G17" s="389"/>
      <c r="H17" s="752"/>
      <c r="I17" s="193"/>
      <c r="K17" s="1624"/>
      <c r="L17" s="1624"/>
      <c r="M17" s="1631">
        <v>0</v>
      </c>
    </row>
    <row r="18" ht="22" customHeight="1">
      <c r="C18" s="96"/>
      <c r="D18" s="2209" t="s">
        <v>304</v>
      </c>
      <c r="E18" s="2209"/>
      <c r="F18" s="2209"/>
      <c r="G18" s="2209"/>
      <c r="H18" s="2209"/>
      <c r="I18" s="2389" t="s">
        <v>305</v>
      </c>
      <c r="M18" s="83">
        <v>21</v>
      </c>
    </row>
    <row r="19" ht="22" customHeight="1">
      <c r="C19" s="96"/>
      <c r="D19" s="105" t="s">
        <v>88</v>
      </c>
      <c r="E19" s="108" t="s">
        <v>306</v>
      </c>
      <c r="F19" s="108"/>
      <c r="G19" s="108" t="s">
        <v>307</v>
      </c>
      <c r="H19" s="108" t="s">
        <v>394</v>
      </c>
      <c r="I19" s="2389"/>
      <c r="M19" s="83">
        <v>21</v>
      </c>
    </row>
    <row r="20" ht="12" hidden="1" customHeight="1">
      <c r="C20" s="96"/>
      <c r="D20" s="87"/>
      <c r="E20" s="87"/>
      <c r="F20" s="87"/>
      <c r="G20" s="87"/>
      <c r="H20" s="87"/>
      <c r="I20" s="87"/>
      <c r="M20" s="83">
        <v>0</v>
      </c>
    </row>
    <row r="21" ht="14.65" customHeight="1">
      <c r="A21" s="1683"/>
      <c r="C21" s="96"/>
      <c r="D21" s="147">
        <v>1</v>
      </c>
      <c r="E21" s="2461" t="s">
        <v>1135</v>
      </c>
      <c r="F21" s="2461"/>
      <c r="G21" s="2461"/>
      <c r="H21" s="2461"/>
      <c r="I21" s="208"/>
      <c r="M21" s="83">
        <v>14</v>
      </c>
    </row>
    <row r="22" ht="21" customHeight="1">
      <c r="A22" s="1683"/>
      <c r="C22" s="96"/>
      <c r="D22" s="147" t="s">
        <v>1025</v>
      </c>
      <c r="E22" s="194" t="s">
        <v>1136</v>
      </c>
      <c r="F22" s="198"/>
      <c r="G22" s="1737"/>
      <c r="H22" s="198" t="s">
        <v>310</v>
      </c>
      <c r="I22" s="151" t="s">
        <v>1137</v>
      </c>
      <c r="M22" s="83">
        <v>20</v>
      </c>
    </row>
    <row r="23" ht="60" customHeight="1">
      <c r="A23" s="1683"/>
      <c r="C23" s="96"/>
      <c r="D23" s="147" t="s">
        <v>1027</v>
      </c>
      <c r="E23" s="194" t="s">
        <v>1138</v>
      </c>
      <c r="F23" s="198"/>
      <c r="G23" s="257"/>
      <c r="H23" s="213"/>
      <c r="I23" s="258" t="s">
        <v>1139</v>
      </c>
      <c r="M23" s="83">
        <v>57</v>
      </c>
    </row>
    <row r="24" ht="14.65" customHeight="1">
      <c r="A24" s="1683"/>
      <c r="B24" s="146">
        <v>3</v>
      </c>
      <c r="C24" s="96"/>
      <c r="D24" s="147">
        <v>2</v>
      </c>
      <c r="E24" s="222"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r="25" ht="48.25" customHeight="1">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r="26" ht="14.65" customHeight="1">
      <c r="A26" s="1683"/>
      <c r="C26" s="96"/>
      <c r="D26" s="147" t="s">
        <v>328</v>
      </c>
      <c r="E26" s="199"/>
      <c r="F26" s="198"/>
      <c r="G26" s="198" t="s">
        <v>310</v>
      </c>
      <c r="H26" s="213"/>
      <c r="I26" s="2169" t="s">
        <v>1140</v>
      </c>
      <c r="M26" s="83">
        <v>14</v>
      </c>
    </row>
    <row r="27" ht="15.75" customHeight="1">
      <c r="A27" s="1683" t="s">
        <v>108</v>
      </c>
      <c r="C27" s="96"/>
      <c r="D27" s="109"/>
      <c r="E27" s="203" t="s">
        <v>326</v>
      </c>
      <c r="F27" s="204"/>
      <c r="G27" s="204"/>
      <c r="H27" s="201"/>
      <c r="I27" s="2171"/>
      <c r="M27" s="83">
        <v>15</v>
      </c>
    </row>
    <row r="28" ht="39.75" customHeight="1">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r="29" ht="21" customHeight="1">
      <c r="A29" s="1683"/>
      <c r="C29" s="96"/>
      <c r="D29" s="147" t="s">
        <v>757</v>
      </c>
      <c r="E29" s="205" t="s">
        <v>1130</v>
      </c>
      <c r="F29" s="198"/>
      <c r="G29" s="257"/>
      <c r="H29" s="198" t="s">
        <v>310</v>
      </c>
      <c r="I29" s="2169" t="s">
        <v>1141</v>
      </c>
      <c r="M29" s="83">
        <v>20</v>
      </c>
    </row>
    <row r="30" ht="15.75" customHeight="1">
      <c r="A30" s="1683" t="s">
        <v>109</v>
      </c>
      <c r="C30" s="96"/>
      <c r="D30" s="109"/>
      <c r="E30" s="203" t="s">
        <v>326</v>
      </c>
      <c r="F30" s="204"/>
      <c r="G30" s="204"/>
      <c r="H30" s="201"/>
      <c r="I30" s="2171"/>
      <c r="M30" s="83">
        <v>15</v>
      </c>
    </row>
    <row r="31" ht="31.5" customHeight="1">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r="32" ht="27.300000000000001" customHeight="1">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r="33" ht="14.65" customHeight="1">
      <c r="A33" s="1683"/>
      <c r="C33" s="96"/>
      <c r="D33" s="147" t="s">
        <v>1142</v>
      </c>
      <c r="E33" s="206" t="s">
        <v>1131</v>
      </c>
      <c r="F33" s="198"/>
      <c r="G33" s="257"/>
      <c r="H33" s="198" t="s">
        <v>310</v>
      </c>
      <c r="I33" s="2169" t="s">
        <v>1143</v>
      </c>
      <c r="M33" s="83">
        <v>14</v>
      </c>
    </row>
    <row r="34" ht="15.75" customHeight="1">
      <c r="A34" s="1683" t="s">
        <v>90</v>
      </c>
      <c r="C34" s="96"/>
      <c r="D34" s="109"/>
      <c r="E34" s="204" t="s">
        <v>326</v>
      </c>
      <c r="F34" s="200"/>
      <c r="G34" s="200"/>
      <c r="H34" s="201"/>
      <c r="I34" s="2171"/>
      <c r="M34" s="83">
        <v>15</v>
      </c>
    </row>
    <row r="35" ht="25.199999999999999" customHeight="1">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r="36" ht="14.65" customHeight="1">
      <c r="A36" s="1683"/>
      <c r="C36" s="96"/>
      <c r="D36" s="147" t="s">
        <v>1144</v>
      </c>
      <c r="E36" s="206" t="s">
        <v>1132</v>
      </c>
      <c r="F36" s="198"/>
      <c r="G36" s="257"/>
      <c r="H36" s="198" t="s">
        <v>310</v>
      </c>
      <c r="I36" s="2143" t="s">
        <v>1145</v>
      </c>
      <c r="M36" s="83">
        <v>14</v>
      </c>
    </row>
    <row r="37" ht="15.75" customHeight="1">
      <c r="A37" s="1683" t="s">
        <v>91</v>
      </c>
      <c r="C37" s="96"/>
      <c r="D37" s="109"/>
      <c r="E37" s="204" t="s">
        <v>326</v>
      </c>
      <c r="F37" s="200"/>
      <c r="G37" s="200"/>
      <c r="H37" s="201"/>
      <c r="I37" s="2143"/>
      <c r="M37" s="83">
        <v>15</v>
      </c>
    </row>
    <row r="38" ht="27.300000000000001" customHeight="1">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r="39" ht="14.65" customHeight="1">
      <c r="A39" s="1683"/>
      <c r="C39" s="96"/>
      <c r="D39" s="147" t="s">
        <v>887</v>
      </c>
      <c r="E39" s="206" t="s">
        <v>1133</v>
      </c>
      <c r="F39" s="198"/>
      <c r="G39" s="207"/>
      <c r="H39" s="198" t="s">
        <v>310</v>
      </c>
      <c r="I39" s="2169" t="s">
        <v>1146</v>
      </c>
      <c r="L39" s="155" t="s">
        <v>1134</v>
      </c>
      <c r="M39" s="83">
        <v>14</v>
      </c>
    </row>
    <row r="40" ht="15.75" customHeight="1">
      <c r="A40" s="1683" t="s">
        <v>110</v>
      </c>
      <c r="C40" s="96"/>
      <c r="D40" s="109"/>
      <c r="E40" s="204" t="s">
        <v>326</v>
      </c>
      <c r="F40" s="200"/>
      <c r="G40" s="200"/>
      <c r="H40" s="201"/>
      <c r="I40" s="2171"/>
      <c r="M40" s="83">
        <v>15</v>
      </c>
    </row>
    <row r="41" s="1823" customFormat="1" ht="3" customHeight="1">
      <c r="A41" s="1683"/>
      <c r="K41" s="196"/>
      <c r="L41" s="196"/>
      <c r="M41" s="140">
        <v>3</v>
      </c>
    </row>
    <row r="42" ht="26.25" customHeight="1">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r="43" ht="22.5" hidden="1" customHeight="1">
      <c r="A43" s="1362" t="s">
        <v>82</v>
      </c>
      <c r="B43" s="146">
        <v>0</v>
      </c>
      <c r="C43" s="97">
        <v>3</v>
      </c>
      <c r="D43" s="83">
        <v>6</v>
      </c>
      <c r="E43" s="83">
        <v>63</v>
      </c>
      <c r="F43" s="83">
        <v>0</v>
      </c>
      <c r="G43" s="83">
        <v>35</v>
      </c>
      <c r="H43" s="83">
        <v>35</v>
      </c>
      <c r="I43" s="83">
        <v>91</v>
      </c>
      <c r="J43" s="83">
        <v>68</v>
      </c>
      <c r="K43" s="155">
        <v>10</v>
      </c>
      <c r="L43" s="155">
        <v>10</v>
      </c>
      <c r="M43" s="83">
        <v>23</v>
      </c>
    </row>
  </sheetData>
  <sheetProtection autoFilter="0" deleteColumns="1" deleteRows="1" formatColumns="0" formatRows="0" insertColumns="1" insertRows="1" sheet="1" sort="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540060-00AE-4724-BDDF-004800AC00AF}"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9B004B-0085-4454-9814-0075000F008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120045-00FB-4801-B16C-00E600CB006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abSelected="1" zoomScale="90" workbookViewId="0">
      <pane xSplit="7" ySplit="21" topLeftCell="H22" activePane="bottomRight" state="frozen"/>
      <selection pane="bottomLeft" activeCell="A22" sqref="A22"/>
      <selection pane="topRight" activeCell="H1" sqref="H1"/>
      <selection pane="bottomRight" activeCell="F331" sqref="F331:M331"/>
    </sheetView>
  </sheetViews>
  <sheetFormatPr defaultColWidth="10.57421875" defaultRowHeight="14.25" customHeight="1"/>
  <cols>
    <col customWidth="1" hidden="1" min="1" max="2" style="1779" width="25.140625"/>
    <col customWidth="1" hidden="1" min="3" max="3" style="1687" width="9.140625"/>
    <col customWidth="1" min="4" max="4" style="344" width="3.00390625"/>
    <col customWidth="1" min="5" max="5" style="1635" width="6.00390625"/>
    <col customWidth="1" min="6" max="6" style="1635" width="46.7109375"/>
    <col customWidth="1" min="7" max="7" style="1635" width="44.12109375"/>
    <col customWidth="1" min="8" max="8" style="1635" width="3.00390625"/>
    <col customWidth="1" min="9" max="9" style="1635" width="13.65234375"/>
    <col customWidth="1" min="10" max="10" style="1635" width="14.28125"/>
    <col customWidth="1" min="11" max="12" style="1635" width="35.00390625"/>
    <col customWidth="1" min="13" max="13" style="1635" width="84.00390625"/>
    <col customWidth="1" min="14" max="14" style="1635" width="10.00390625"/>
    <col customWidth="1" min="15" max="16" style="1624" width="10.00390625"/>
    <col customWidth="1" min="17" max="33" style="1635" width="10.00390625"/>
    <col hidden="1" min="34" max="34" style="1635" width="10.57421875"/>
  </cols>
  <sheetData>
    <row r="1" s="1635" customFormat="1" ht="22.5" hidden="1" customHeight="1">
      <c r="A1" s="1779"/>
      <c r="B1" s="1779"/>
      <c r="C1" s="369"/>
      <c r="D1" s="344"/>
      <c r="N1" s="1636">
        <f>_xlfn.IFERROR(MATCH("метод экономически обоснованных расходов (затрат)",OFFER_METHOD,0),0)</f>
        <v>25</v>
      </c>
      <c r="O1" s="1624"/>
      <c r="P1" s="1624"/>
      <c r="T1" s="831"/>
      <c r="AG1" s="255"/>
      <c r="AH1" s="1631" t="s">
        <v>14</v>
      </c>
    </row>
    <row r="2" s="1635" customFormat="1" ht="18.75" hidden="1" customHeight="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r="3" s="1635" customFormat="1" ht="18.75" hidden="1" customHeight="1">
      <c r="A3" s="1780"/>
      <c r="B3" s="1780"/>
      <c r="C3" s="369" t="s">
        <v>1147</v>
      </c>
      <c r="D3" s="344"/>
      <c r="E3" s="1031"/>
      <c r="F3" s="1031"/>
      <c r="G3" s="2427"/>
      <c r="H3" s="1500"/>
      <c r="I3" s="651" t="s">
        <v>1148</v>
      </c>
      <c r="J3" s="571"/>
      <c r="K3" s="1500"/>
      <c r="L3" s="214"/>
      <c r="M3" s="1875"/>
      <c r="N3" s="334"/>
      <c r="O3" s="1624"/>
      <c r="P3" s="1624"/>
      <c r="AH3" s="1631">
        <v>0</v>
      </c>
    </row>
    <row r="4" s="1635" customFormat="1" ht="14.25" hidden="1" customHeight="1">
      <c r="A4" s="1779"/>
      <c r="B4" s="1779"/>
      <c r="C4" s="369"/>
      <c r="D4" s="344"/>
      <c r="N4" s="1636">
        <f>_xlfn.IFERROR(MATCH("метод экономически обоснованных расходов (затрат)",OFFER_METHOD,0),0)</f>
        <v>25</v>
      </c>
      <c r="O4" s="1624"/>
      <c r="P4" s="1624"/>
      <c r="T4" s="831"/>
      <c r="AG4" s="255"/>
      <c r="AH4" s="1631">
        <v>0</v>
      </c>
    </row>
    <row r="5" s="1635" customFormat="1" ht="18.75" hidden="1" customHeight="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r="6" s="1635" customFormat="1" ht="18.75" hidden="1" customHeight="1">
      <c r="A6" s="1780"/>
      <c r="B6" s="1780"/>
      <c r="C6" s="369" t="s">
        <v>1149</v>
      </c>
      <c r="D6" s="344"/>
      <c r="E6" s="1031"/>
      <c r="F6" s="1031"/>
      <c r="G6" s="2427"/>
      <c r="H6" s="1500"/>
      <c r="I6" s="651" t="s">
        <v>1148</v>
      </c>
      <c r="J6" s="571"/>
      <c r="K6" s="1500"/>
      <c r="L6" s="214"/>
      <c r="M6" s="1875"/>
      <c r="N6" s="334"/>
      <c r="O6" s="1624"/>
      <c r="P6" s="1624"/>
      <c r="AH6" s="1631">
        <v>0</v>
      </c>
    </row>
    <row r="7" s="1635" customFormat="1" ht="14.25" hidden="1" customHeight="1">
      <c r="A7" s="1779"/>
      <c r="B7" s="1779"/>
      <c r="C7" s="369"/>
      <c r="D7" s="344"/>
      <c r="N7" s="1636">
        <f>_xlfn.IFERROR(MATCH("метод экономически обоснованных расходов (затрат)",OFFER_METHOD,0),0)</f>
        <v>25</v>
      </c>
      <c r="O7" s="1624"/>
      <c r="P7" s="1624"/>
      <c r="T7" s="831"/>
      <c r="AG7" s="255"/>
      <c r="AH7" s="1631">
        <v>0</v>
      </c>
    </row>
    <row r="8" s="1635" customFormat="1" ht="56.25" hidden="1" customHeight="1">
      <c r="A8" s="1780"/>
      <c r="B8" s="1780"/>
      <c r="C8" s="369"/>
      <c r="D8" s="344"/>
      <c r="E8" s="1031"/>
      <c r="F8" s="1031"/>
      <c r="G8" s="1031"/>
      <c r="H8" s="1771"/>
      <c r="I8" s="1739"/>
      <c r="J8" s="1773"/>
      <c r="K8" s="1865"/>
      <c r="L8" s="1771" t="s">
        <v>310</v>
      </c>
      <c r="M8" s="1875"/>
      <c r="N8" s="334"/>
      <c r="O8" s="1624"/>
      <c r="P8" s="1624"/>
      <c r="AH8" s="1631">
        <v>0</v>
      </c>
    </row>
    <row r="9" ht="14.25" hidden="1" customHeight="1">
      <c r="T9" s="397"/>
      <c r="AG9" s="255"/>
      <c r="AH9" s="374">
        <v>0</v>
      </c>
    </row>
    <row r="10" s="1635" customFormat="1" ht="56.25" hidden="1" customHeight="1">
      <c r="A10" s="1780"/>
      <c r="B10" s="1780"/>
      <c r="C10" s="369"/>
      <c r="D10" s="344"/>
      <c r="E10" s="1031"/>
      <c r="F10" s="1031"/>
      <c r="G10" s="1031"/>
      <c r="H10" s="1770"/>
      <c r="I10" s="1739"/>
      <c r="J10" s="1773"/>
      <c r="K10" s="1778"/>
      <c r="L10" s="1771" t="s">
        <v>310</v>
      </c>
      <c r="M10" s="1875"/>
      <c r="N10" s="334"/>
      <c r="O10" s="1624"/>
      <c r="P10" s="1624"/>
      <c r="AH10" s="1631">
        <v>0</v>
      </c>
    </row>
    <row r="11" ht="14.25" hidden="1" customHeight="1">
      <c r="AH11" s="374">
        <v>0</v>
      </c>
    </row>
    <row r="12" ht="14.25" hidden="1" customHeight="1">
      <c r="AH12" s="374">
        <v>0</v>
      </c>
    </row>
    <row r="13" ht="6.2999999999999998" customHeight="1">
      <c r="D13" s="376"/>
      <c r="E13" s="363"/>
      <c r="F13" s="363"/>
      <c r="G13" s="363"/>
      <c r="H13" s="363"/>
      <c r="I13" s="363"/>
      <c r="J13" s="363"/>
      <c r="K13" s="363"/>
      <c r="L13" s="85"/>
      <c r="M13" s="85"/>
      <c r="AH13" s="374">
        <v>6</v>
      </c>
    </row>
    <row r="14" ht="14.65" customHeight="1">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r="15" ht="6.2999999999999998" customHeight="1">
      <c r="D15" s="376"/>
      <c r="E15" s="363"/>
      <c r="F15" s="389"/>
      <c r="G15" s="389"/>
      <c r="H15" s="389"/>
      <c r="I15" s="389"/>
      <c r="J15" s="389"/>
      <c r="K15" s="389"/>
      <c r="L15" s="322"/>
      <c r="M15" s="193"/>
      <c r="AH15" s="374">
        <v>6</v>
      </c>
    </row>
    <row r="16" ht="24" customHeight="1">
      <c r="D16" s="376"/>
      <c r="E16" s="363"/>
      <c r="F16" s="305" t="str">
        <f>"Дата подачи заявления об "&amp;IF(TITLE_DATE_PR_CHANGE="","утверждении","изменении")&amp;" тарифов"</f>
        <v xml:space="preserve">Дата подачи заявления об утверждении тарифов</v>
      </c>
      <c r="G16" s="2264" t="str">
        <f>IF(TITLE_DATE_PR_CHANGE="",IF(TITLE_DATE_PR="","",TITLE_DATE_PR),TITLE_DATE_PR_CHANGE)</f>
        <v>45841</v>
      </c>
      <c r="H16" s="2264"/>
      <c r="I16" s="2264"/>
      <c r="J16" s="2264"/>
      <c r="K16" s="2264"/>
      <c r="L16" s="2264"/>
      <c r="M16" s="398"/>
      <c r="N16" s="326"/>
      <c r="AH16" s="374">
        <v>23</v>
      </c>
    </row>
    <row r="17" ht="24" customHeight="1">
      <c r="D17" s="376"/>
      <c r="E17" s="363"/>
      <c r="F17" s="305" t="str">
        <f>"Номер подачи заявления об "&amp;IF(TITLE_DATE_PR_CHANGE="","утверждении","изменении")&amp;" тарифов"</f>
        <v xml:space="preserve">Номер подачи заявления об утверждении тарифов</v>
      </c>
      <c r="G17" s="2251" t="str">
        <f>IF(TITLE_NUMBER_PR_CHANGE="",IF(TITLE_NUMBER_PR="","",TITLE_NUMBER_PR),TITLE_NUMBER_PR_CHANGE)</f>
        <v>27-3420</v>
      </c>
      <c r="H17" s="2251"/>
      <c r="I17" s="2251"/>
      <c r="J17" s="2251"/>
      <c r="K17" s="2251"/>
      <c r="L17" s="2251"/>
      <c r="M17" s="398"/>
      <c r="N17" s="326"/>
      <c r="AH17" s="374">
        <v>23</v>
      </c>
    </row>
    <row r="18" ht="14.65" customHeight="1">
      <c r="D18" s="376"/>
      <c r="E18" s="363"/>
      <c r="F18" s="389"/>
      <c r="G18" s="389"/>
      <c r="H18" s="389"/>
      <c r="I18" s="389"/>
      <c r="J18" s="389"/>
      <c r="K18" s="389"/>
      <c r="L18" s="752"/>
      <c r="M18" s="193"/>
      <c r="AH18" s="374">
        <v>14</v>
      </c>
    </row>
    <row r="19" ht="22" customHeight="1">
      <c r="D19" s="376"/>
      <c r="E19" s="2209" t="s">
        <v>304</v>
      </c>
      <c r="F19" s="2209"/>
      <c r="G19" s="2209"/>
      <c r="H19" s="2209"/>
      <c r="I19" s="2209"/>
      <c r="J19" s="2209"/>
      <c r="K19" s="2209"/>
      <c r="L19" s="2209"/>
      <c r="M19" s="2389" t="s">
        <v>305</v>
      </c>
      <c r="AH19" s="374">
        <v>21</v>
      </c>
    </row>
    <row r="20" ht="22" customHeight="1">
      <c r="D20" s="376"/>
      <c r="E20" s="2277" t="s">
        <v>88</v>
      </c>
      <c r="F20" s="2224" t="s">
        <v>121</v>
      </c>
      <c r="G20" s="2224" t="s">
        <v>122</v>
      </c>
      <c r="H20" s="2386" t="s">
        <v>1150</v>
      </c>
      <c r="I20" s="2387"/>
      <c r="J20" s="2433"/>
      <c r="K20" s="2224" t="s">
        <v>307</v>
      </c>
      <c r="L20" s="2224" t="s">
        <v>394</v>
      </c>
      <c r="M20" s="2389"/>
      <c r="AH20" s="374">
        <v>21</v>
      </c>
    </row>
    <row r="21" ht="22" customHeight="1">
      <c r="D21" s="376"/>
      <c r="E21" s="2279"/>
      <c r="F21" s="2225"/>
      <c r="G21" s="2225"/>
      <c r="H21" s="2218" t="s">
        <v>1151</v>
      </c>
      <c r="I21" s="2220"/>
      <c r="J21" s="108" t="s">
        <v>1152</v>
      </c>
      <c r="K21" s="2225"/>
      <c r="L21" s="2225"/>
      <c r="M21" s="2389"/>
      <c r="AH21" s="374">
        <v>21</v>
      </c>
    </row>
    <row r="22" ht="12.75" customHeight="1">
      <c r="D22" s="376"/>
      <c r="E22" s="281"/>
      <c r="F22" s="281"/>
      <c r="G22" s="281"/>
      <c r="H22" s="2467"/>
      <c r="I22" s="2467"/>
      <c r="J22" s="281"/>
      <c r="K22" s="281"/>
      <c r="L22" s="281"/>
      <c r="M22" s="281"/>
      <c r="AH22" s="374">
        <v>12</v>
      </c>
    </row>
    <row r="23" ht="19.949999999999999" customHeight="1">
      <c r="A23" s="1780"/>
      <c r="B23" s="1780"/>
      <c r="D23" s="376"/>
      <c r="E23" s="1866" t="s">
        <v>108</v>
      </c>
      <c r="F23" s="2468" t="str">
        <f>"Предлагаемый метод регулирования"&amp;IF(TEMPLATE_SPHERE="HEAT"," в сфере "&amp;TEMPLATE_SPHERE_RUS,"")</f>
        <v xml:space="preserve">Предлагаемый метод регулирования в сфере теплоснабжения</v>
      </c>
      <c r="G23" s="2469"/>
      <c r="H23" s="2461"/>
      <c r="I23" s="2461"/>
      <c r="J23" s="2461"/>
      <c r="K23" s="2469" t="s">
        <v>310</v>
      </c>
      <c r="L23" s="2461"/>
      <c r="M23" s="1769"/>
      <c r="N23" s="334"/>
      <c r="AH23" s="374">
        <v>19</v>
      </c>
    </row>
    <row r="24" ht="60.75" hidden="1" customHeight="1">
      <c r="A24" s="1780" t="s">
        <v>154</v>
      </c>
      <c r="B24" s="1780" t="s">
        <v>155</v>
      </c>
      <c r="D24" s="2466"/>
      <c r="E24" s="2204"/>
      <c r="F24" s="247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r="25" s="1635" customFormat="1" ht="18.75" hidden="1" customHeight="1">
      <c r="A25" s="1780"/>
      <c r="B25" s="1780"/>
      <c r="C25" s="369" t="s">
        <v>1147</v>
      </c>
      <c r="D25" s="2466"/>
      <c r="E25" s="2204"/>
      <c r="F25" s="2470"/>
      <c r="G25" s="2427"/>
      <c r="H25" s="1500"/>
      <c r="I25" s="651" t="s">
        <v>1148</v>
      </c>
      <c r="J25" s="571"/>
      <c r="K25" s="1500"/>
      <c r="L25" s="214"/>
      <c r="M25" s="2170"/>
      <c r="N25" s="334"/>
      <c r="O25" s="1624"/>
      <c r="P25" s="1624"/>
      <c r="AH25" s="1631">
        <v>0</v>
      </c>
    </row>
    <row r="26" ht="0.75" hidden="1" customHeight="1">
      <c r="A26" s="1780"/>
      <c r="B26" s="1780"/>
      <c r="C26" s="369" t="s">
        <v>1153</v>
      </c>
      <c r="D26" s="2466"/>
      <c r="E26" s="2204"/>
      <c r="F26" s="2383"/>
      <c r="G26" s="400"/>
      <c r="H26" s="1500"/>
      <c r="I26" s="395"/>
      <c r="J26" s="349"/>
      <c r="K26" s="1500"/>
      <c r="L26" s="201"/>
      <c r="M26" s="2170"/>
      <c r="N26" s="334"/>
      <c r="AH26" s="374">
        <v>0</v>
      </c>
    </row>
    <row r="27" s="1635" customFormat="1" ht="45" hidden="1" customHeight="1">
      <c r="A27" s="1780" t="s">
        <v>160</v>
      </c>
      <c r="B27" s="1780" t="s">
        <v>161</v>
      </c>
      <c r="C27" s="369"/>
      <c r="D27" s="2462"/>
      <c r="E27" s="2463"/>
      <c r="F27" s="2464"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r="28" s="1635" customFormat="1" ht="18.75" hidden="1" customHeight="1">
      <c r="A28" s="1780"/>
      <c r="B28" s="1780"/>
      <c r="C28" s="369" t="s">
        <v>1147</v>
      </c>
      <c r="D28" s="2462"/>
      <c r="E28" s="2463"/>
      <c r="F28" s="2464"/>
      <c r="G28" s="2427"/>
      <c r="H28" s="1500"/>
      <c r="I28" s="651" t="s">
        <v>1148</v>
      </c>
      <c r="J28" s="571"/>
      <c r="K28" s="1500"/>
      <c r="L28" s="214"/>
      <c r="M28" s="2170"/>
      <c r="N28" s="334"/>
      <c r="O28" s="1624"/>
      <c r="P28" s="1624"/>
      <c r="AH28" s="1631">
        <v>0</v>
      </c>
    </row>
    <row r="29" s="1635" customFormat="1" ht="0.75" hidden="1" customHeight="1">
      <c r="A29" s="1780"/>
      <c r="B29" s="1780"/>
      <c r="C29" s="369" t="s">
        <v>1153</v>
      </c>
      <c r="D29" s="2462"/>
      <c r="E29" s="2204"/>
      <c r="F29" s="2383"/>
      <c r="G29" s="400"/>
      <c r="H29" s="1500"/>
      <c r="I29" s="651"/>
      <c r="J29" s="571"/>
      <c r="K29" s="1500"/>
      <c r="L29" s="214"/>
      <c r="M29" s="2170"/>
      <c r="N29" s="334"/>
      <c r="O29" s="1624"/>
      <c r="P29" s="1624"/>
      <c r="AH29" s="1631">
        <v>0</v>
      </c>
    </row>
    <row r="30" s="1635" customFormat="1" ht="45" hidden="1" customHeight="1">
      <c r="A30" s="1780" t="s">
        <v>166</v>
      </c>
      <c r="B30" s="1780" t="s">
        <v>167</v>
      </c>
      <c r="C30" s="369"/>
      <c r="D30" s="2462"/>
      <c r="E30" s="2204"/>
      <c r="F30" s="2383"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r="31" s="1635" customFormat="1" ht="18.75" hidden="1" customHeight="1">
      <c r="A31" s="1780"/>
      <c r="B31" s="1780"/>
      <c r="C31" s="369" t="s">
        <v>1147</v>
      </c>
      <c r="D31" s="2462"/>
      <c r="E31" s="2204"/>
      <c r="F31" s="2383"/>
      <c r="G31" s="2427"/>
      <c r="H31" s="1500"/>
      <c r="I31" s="651" t="s">
        <v>1148</v>
      </c>
      <c r="J31" s="571"/>
      <c r="K31" s="1500"/>
      <c r="L31" s="214"/>
      <c r="M31" s="2170"/>
      <c r="N31" s="334"/>
      <c r="O31" s="1624"/>
      <c r="P31" s="1624"/>
      <c r="AH31" s="1631">
        <v>0</v>
      </c>
    </row>
    <row r="32" s="1635" customFormat="1" ht="0.75" hidden="1" customHeight="1">
      <c r="A32" s="1780"/>
      <c r="B32" s="1780"/>
      <c r="C32" s="369" t="s">
        <v>1153</v>
      </c>
      <c r="D32" s="2462"/>
      <c r="E32" s="2204"/>
      <c r="F32" s="2383"/>
      <c r="G32" s="400"/>
      <c r="H32" s="1500"/>
      <c r="I32" s="651"/>
      <c r="J32" s="571"/>
      <c r="K32" s="1500"/>
      <c r="L32" s="214"/>
      <c r="M32" s="2170"/>
      <c r="N32" s="334"/>
      <c r="O32" s="1624"/>
      <c r="P32" s="1624"/>
      <c r="AH32" s="1631">
        <v>0</v>
      </c>
    </row>
    <row r="33" s="1635" customFormat="1" ht="45" hidden="1" customHeight="1">
      <c r="A33" s="1780" t="s">
        <v>172</v>
      </c>
      <c r="B33" s="1780" t="s">
        <v>173</v>
      </c>
      <c r="C33" s="369"/>
      <c r="D33" s="2462"/>
      <c r="E33" s="2204"/>
      <c r="F33" s="2383"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r="34" s="1635" customFormat="1" ht="18.75" hidden="1" customHeight="1">
      <c r="A34" s="1780"/>
      <c r="B34" s="1780"/>
      <c r="C34" s="369" t="s">
        <v>1147</v>
      </c>
      <c r="D34" s="2462"/>
      <c r="E34" s="2204"/>
      <c r="F34" s="2383"/>
      <c r="G34" s="2427"/>
      <c r="H34" s="1500"/>
      <c r="I34" s="651" t="s">
        <v>1148</v>
      </c>
      <c r="J34" s="571"/>
      <c r="K34" s="1500"/>
      <c r="L34" s="214"/>
      <c r="M34" s="2170"/>
      <c r="N34" s="334"/>
      <c r="O34" s="1624"/>
      <c r="P34" s="1624"/>
      <c r="AH34" s="1631">
        <v>0</v>
      </c>
    </row>
    <row r="35" s="1635" customFormat="1" ht="0.75" hidden="1" customHeight="1">
      <c r="A35" s="1780"/>
      <c r="B35" s="1780"/>
      <c r="C35" s="369" t="s">
        <v>1153</v>
      </c>
      <c r="D35" s="2462"/>
      <c r="E35" s="2204"/>
      <c r="F35" s="2383"/>
      <c r="G35" s="400"/>
      <c r="H35" s="1500"/>
      <c r="I35" s="651"/>
      <c r="J35" s="571"/>
      <c r="K35" s="1500"/>
      <c r="L35" s="214"/>
      <c r="M35" s="2170"/>
      <c r="N35" s="334"/>
      <c r="O35" s="1624"/>
      <c r="P35" s="1624"/>
      <c r="AH35" s="1631">
        <v>0</v>
      </c>
    </row>
    <row r="36" s="1635" customFormat="1" ht="18.75" hidden="1" customHeight="1">
      <c r="A36" s="1780" t="s">
        <v>178</v>
      </c>
      <c r="B36" s="1780" t="s">
        <v>179</v>
      </c>
      <c r="C36" s="369"/>
      <c r="D36" s="2462"/>
      <c r="E36" s="2204"/>
      <c r="F36" s="2383" t="str">
        <f>INDEX(PT_DIFFERENTIATION_VTAR,MATCH(A36,PT_DIFFERENTIATION_VTAR_ID,0))</f>
        <v xml:space="preserve">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r="37" s="1635" customFormat="1" ht="18.75" hidden="1" customHeight="1">
      <c r="A37" s="1780"/>
      <c r="B37" s="1780"/>
      <c r="C37" s="369" t="s">
        <v>1147</v>
      </c>
      <c r="D37" s="2462"/>
      <c r="E37" s="2204"/>
      <c r="F37" s="2383"/>
      <c r="G37" s="2427"/>
      <c r="H37" s="1500"/>
      <c r="I37" s="651" t="s">
        <v>1148</v>
      </c>
      <c r="J37" s="571"/>
      <c r="K37" s="1500"/>
      <c r="L37" s="214"/>
      <c r="M37" s="2170"/>
      <c r="N37" s="334"/>
      <c r="O37" s="1624"/>
      <c r="P37" s="1624"/>
      <c r="AH37" s="1631">
        <v>0</v>
      </c>
    </row>
    <row r="38" s="1635" customFormat="1" ht="0.75" hidden="1" customHeight="1">
      <c r="A38" s="1780"/>
      <c r="B38" s="1780"/>
      <c r="C38" s="369" t="s">
        <v>1153</v>
      </c>
      <c r="D38" s="2462"/>
      <c r="E38" s="2204"/>
      <c r="F38" s="2383"/>
      <c r="G38" s="400"/>
      <c r="H38" s="1500"/>
      <c r="I38" s="651"/>
      <c r="J38" s="571"/>
      <c r="K38" s="1500"/>
      <c r="L38" s="214"/>
      <c r="M38" s="2170"/>
      <c r="N38" s="334"/>
      <c r="O38" s="1624"/>
      <c r="P38" s="1624"/>
      <c r="AH38" s="1631">
        <v>0</v>
      </c>
    </row>
    <row r="39" s="1635" customFormat="1" ht="18.75" hidden="1" customHeight="1">
      <c r="A39" s="1780" t="s">
        <v>184</v>
      </c>
      <c r="B39" s="1780" t="s">
        <v>185</v>
      </c>
      <c r="C39" s="369"/>
      <c r="D39" s="2462"/>
      <c r="E39" s="2204"/>
      <c r="F39" s="2383" t="str">
        <f>INDEX(PT_DIFFERENTIATION_VTAR,MATCH(A39,PT_DIFFERENTIATION_VTAR_ID,0))</f>
        <v xml:space="preserve">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r="40" s="1635" customFormat="1" ht="18.75" hidden="1" customHeight="1">
      <c r="A40" s="1780"/>
      <c r="B40" s="1780"/>
      <c r="C40" s="369" t="s">
        <v>1147</v>
      </c>
      <c r="D40" s="2462"/>
      <c r="E40" s="2204"/>
      <c r="F40" s="2383"/>
      <c r="G40" s="2427"/>
      <c r="H40" s="1500"/>
      <c r="I40" s="651" t="s">
        <v>1148</v>
      </c>
      <c r="J40" s="571"/>
      <c r="K40" s="1500"/>
      <c r="L40" s="214"/>
      <c r="M40" s="2170"/>
      <c r="N40" s="334"/>
      <c r="O40" s="1624"/>
      <c r="P40" s="1624"/>
      <c r="AH40" s="1631">
        <v>0</v>
      </c>
    </row>
    <row r="41" s="1635" customFormat="1" ht="0.75" hidden="1" customHeight="1">
      <c r="A41" s="1780"/>
      <c r="B41" s="1780"/>
      <c r="C41" s="369" t="s">
        <v>1153</v>
      </c>
      <c r="D41" s="2462"/>
      <c r="E41" s="2204"/>
      <c r="F41" s="2383"/>
      <c r="G41" s="400"/>
      <c r="H41" s="1500"/>
      <c r="I41" s="651"/>
      <c r="J41" s="571"/>
      <c r="K41" s="1500"/>
      <c r="L41" s="214"/>
      <c r="M41" s="2170"/>
      <c r="N41" s="334"/>
      <c r="O41" s="1624"/>
      <c r="P41" s="1624"/>
      <c r="AH41" s="1631">
        <v>0</v>
      </c>
    </row>
    <row r="42" s="1635" customFormat="1" ht="18.75" hidden="1" customHeight="1">
      <c r="A42" s="1780" t="s">
        <v>190</v>
      </c>
      <c r="B42" s="1780" t="s">
        <v>191</v>
      </c>
      <c r="C42" s="369"/>
      <c r="D42" s="2462"/>
      <c r="E42" s="2204"/>
      <c r="F42" s="2383"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r="43" s="1635" customFormat="1" ht="18.75" hidden="1" customHeight="1">
      <c r="A43" s="1780"/>
      <c r="B43" s="1780"/>
      <c r="C43" s="369" t="s">
        <v>1147</v>
      </c>
      <c r="D43" s="2462"/>
      <c r="E43" s="2204"/>
      <c r="F43" s="2383"/>
      <c r="G43" s="2427"/>
      <c r="H43" s="1500"/>
      <c r="I43" s="651" t="s">
        <v>1148</v>
      </c>
      <c r="J43" s="571"/>
      <c r="K43" s="1500"/>
      <c r="L43" s="214"/>
      <c r="M43" s="2170"/>
      <c r="N43" s="334"/>
      <c r="O43" s="1624"/>
      <c r="P43" s="1624"/>
      <c r="AH43" s="1631">
        <v>0</v>
      </c>
    </row>
    <row r="44" s="1635" customFormat="1" ht="0.75" hidden="1" customHeight="1">
      <c r="A44" s="1780"/>
      <c r="B44" s="1780"/>
      <c r="C44" s="369" t="s">
        <v>1153</v>
      </c>
      <c r="D44" s="2462"/>
      <c r="E44" s="2204"/>
      <c r="F44" s="2383"/>
      <c r="G44" s="400"/>
      <c r="H44" s="1500"/>
      <c r="I44" s="651"/>
      <c r="J44" s="571"/>
      <c r="K44" s="1500"/>
      <c r="L44" s="214"/>
      <c r="M44" s="2170"/>
      <c r="N44" s="334"/>
      <c r="O44" s="1624"/>
      <c r="P44" s="1624"/>
      <c r="AH44" s="1631">
        <v>0</v>
      </c>
    </row>
    <row r="45" s="1635" customFormat="1" ht="18.75" hidden="1" customHeight="1">
      <c r="A45" s="1780" t="s">
        <v>196</v>
      </c>
      <c r="B45" s="1780" t="s">
        <v>197</v>
      </c>
      <c r="C45" s="369"/>
      <c r="D45" s="2462"/>
      <c r="E45" s="2204"/>
      <c r="F45" s="2383" t="str">
        <f>INDEX(PT_DIFFERENTIATION_VTAR,MATCH(A45,PT_DIFFERENTIATION_VTAR_ID,0))</f>
        <v xml:space="preserve">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r="46" s="1635" customFormat="1" ht="18.75" hidden="1" customHeight="1">
      <c r="A46" s="1780"/>
      <c r="B46" s="1780"/>
      <c r="C46" s="369" t="s">
        <v>1147</v>
      </c>
      <c r="D46" s="2462"/>
      <c r="E46" s="2204"/>
      <c r="F46" s="2383"/>
      <c r="G46" s="2427"/>
      <c r="H46" s="1500"/>
      <c r="I46" s="651" t="s">
        <v>1148</v>
      </c>
      <c r="J46" s="571"/>
      <c r="K46" s="1500"/>
      <c r="L46" s="214"/>
      <c r="M46" s="2170"/>
      <c r="N46" s="334"/>
      <c r="O46" s="1624"/>
      <c r="P46" s="1624"/>
      <c r="AH46" s="1631">
        <v>0</v>
      </c>
    </row>
    <row r="47" s="1635" customFormat="1" ht="0.75" hidden="1" customHeight="1">
      <c r="A47" s="1780"/>
      <c r="B47" s="1780"/>
      <c r="C47" s="369" t="s">
        <v>1153</v>
      </c>
      <c r="D47" s="2462"/>
      <c r="E47" s="2204"/>
      <c r="F47" s="2383"/>
      <c r="G47" s="400"/>
      <c r="H47" s="1500"/>
      <c r="I47" s="651"/>
      <c r="J47" s="571"/>
      <c r="K47" s="1500"/>
      <c r="L47" s="214"/>
      <c r="M47" s="2170"/>
      <c r="N47" s="334"/>
      <c r="O47" s="1624"/>
      <c r="P47" s="1624"/>
      <c r="AH47" s="1631">
        <v>0</v>
      </c>
    </row>
    <row r="48" s="1635" customFormat="1" ht="65" customHeight="1">
      <c r="A48" s="1780" t="s">
        <v>205</v>
      </c>
      <c r="B48" s="1780" t="s">
        <v>206</v>
      </c>
      <c r="C48" s="369"/>
      <c r="D48" s="2462"/>
      <c r="E48" s="2204"/>
      <c r="F48" s="2383" t="str">
        <f>INDEX(PT_DIFFERENTIATION_VTAR,MATCH(A48,PT_DIFFERENTIATION_VTAR_ID,0))</f>
        <v xml:space="preserve">Плата за подключение (технологическое присоединение) к системе теплоснабжения (индивидуальная)</v>
      </c>
      <c r="G48" s="2427" t="str">
        <f>INDEX(PT_DIFFERENTIATION_NTAR,MATCH(B48,PT_DIFFERENTIATION_NTAR_ID,0))</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48" s="1989"/>
      <c r="I48" s="1739">
        <v>45855.414525462962</v>
      </c>
      <c r="J48" s="1773">
        <v>46404.415023148147</v>
      </c>
      <c r="K48" s="1865" t="s">
        <v>1154</v>
      </c>
      <c r="L48" s="1989" t="s">
        <v>310</v>
      </c>
      <c r="M48" s="2170"/>
      <c r="N48" s="334"/>
      <c r="O48" s="1624"/>
      <c r="P48" s="1624"/>
      <c r="AH48" s="1631">
        <v>0</v>
      </c>
    </row>
    <row r="49" s="1635" customFormat="1" ht="18.75" customHeight="1">
      <c r="A49" s="1780"/>
      <c r="B49" s="1780"/>
      <c r="C49" s="369" t="s">
        <v>1147</v>
      </c>
      <c r="D49" s="2462"/>
      <c r="E49" s="2204"/>
      <c r="F49" s="2383"/>
      <c r="G49" s="2427"/>
      <c r="H49" s="1500"/>
      <c r="I49" s="651" t="s">
        <v>1148</v>
      </c>
      <c r="J49" s="571"/>
      <c r="K49" s="1500"/>
      <c r="L49" s="214"/>
      <c r="M49" s="2170"/>
      <c r="N49" s="334"/>
      <c r="O49" s="1624"/>
      <c r="P49" s="1624"/>
      <c r="AH49" s="1631">
        <v>0</v>
      </c>
    </row>
    <row r="50" s="1635" customFormat="1" ht="0.75" customHeight="1">
      <c r="A50" s="1780"/>
      <c r="B50" s="1780"/>
      <c r="C50" s="369" t="s">
        <v>1153</v>
      </c>
      <c r="D50" s="2462"/>
      <c r="E50" s="2204"/>
      <c r="F50" s="2383"/>
      <c r="G50" s="400"/>
      <c r="H50" s="1500"/>
      <c r="I50" s="651"/>
      <c r="J50" s="571"/>
      <c r="K50" s="1500"/>
      <c r="L50" s="214"/>
      <c r="M50" s="2170"/>
      <c r="N50" s="334"/>
      <c r="O50" s="1624"/>
      <c r="P50" s="1624"/>
      <c r="AH50" s="1631">
        <v>0</v>
      </c>
    </row>
    <row r="51" s="1635" customFormat="1" ht="18.75" hidden="1" customHeight="1">
      <c r="A51" s="1780" t="s">
        <v>229</v>
      </c>
      <c r="B51" s="1780" t="s">
        <v>230</v>
      </c>
      <c r="C51" s="369"/>
      <c r="D51" s="2462"/>
      <c r="E51" s="2204"/>
      <c r="F51" s="2383" t="str">
        <f>INDEX(PT_DIFFERENTIATION_VTAR,MATCH(A51,PT_DIFFERENTIATION_VTAR_ID,0))</f>
        <v xml:space="preserve">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r="52" s="1635" customFormat="1" ht="18.75" hidden="1" customHeight="1">
      <c r="A52" s="1780"/>
      <c r="B52" s="1780"/>
      <c r="C52" s="369" t="s">
        <v>1147</v>
      </c>
      <c r="D52" s="2462"/>
      <c r="E52" s="2204"/>
      <c r="F52" s="2383"/>
      <c r="G52" s="2427"/>
      <c r="H52" s="1500"/>
      <c r="I52" s="651" t="s">
        <v>1148</v>
      </c>
      <c r="J52" s="571"/>
      <c r="K52" s="1500"/>
      <c r="L52" s="214"/>
      <c r="M52" s="2170"/>
      <c r="N52" s="334"/>
      <c r="O52" s="1624"/>
      <c r="P52" s="1624"/>
      <c r="AH52" s="1631">
        <v>0</v>
      </c>
    </row>
    <row r="53" s="1635" customFormat="1" ht="0.75" hidden="1" customHeight="1">
      <c r="A53" s="1780"/>
      <c r="B53" s="1780"/>
      <c r="C53" s="369" t="s">
        <v>1153</v>
      </c>
      <c r="D53" s="2462"/>
      <c r="E53" s="2204"/>
      <c r="F53" s="2383"/>
      <c r="G53" s="400"/>
      <c r="H53" s="1500"/>
      <c r="I53" s="651"/>
      <c r="J53" s="571"/>
      <c r="K53" s="1500"/>
      <c r="L53" s="214"/>
      <c r="M53" s="2170"/>
      <c r="N53" s="334"/>
      <c r="O53" s="1624"/>
      <c r="P53" s="1624"/>
      <c r="AH53" s="1631">
        <v>0</v>
      </c>
    </row>
    <row r="54" s="1635" customFormat="1" ht="18.75" hidden="1" customHeight="1">
      <c r="A54" s="1780" t="s">
        <v>234</v>
      </c>
      <c r="B54" s="1780" t="s">
        <v>235</v>
      </c>
      <c r="C54" s="369"/>
      <c r="D54" s="2462"/>
      <c r="E54" s="2204"/>
      <c r="F54" s="2383" t="str">
        <f>INDEX(PT_DIFFERENTIATION_VTAR,MATCH(A54,PT_DIFFERENTIATION_VTAR_ID,0))</f>
        <v xml:space="preserve">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r="55" s="1635" customFormat="1" ht="18.75" hidden="1" customHeight="1">
      <c r="A55" s="1780"/>
      <c r="B55" s="1780"/>
      <c r="C55" s="369" t="s">
        <v>1147</v>
      </c>
      <c r="D55" s="2462"/>
      <c r="E55" s="2204"/>
      <c r="F55" s="2383"/>
      <c r="G55" s="2427"/>
      <c r="H55" s="1500"/>
      <c r="I55" s="651" t="s">
        <v>1148</v>
      </c>
      <c r="J55" s="571"/>
      <c r="K55" s="1500"/>
      <c r="L55" s="214"/>
      <c r="M55" s="2170"/>
      <c r="N55" s="334"/>
      <c r="O55" s="1624"/>
      <c r="P55" s="1624"/>
      <c r="AH55" s="1631">
        <v>0</v>
      </c>
    </row>
    <row r="56" s="1635" customFormat="1" ht="0.75" hidden="1" customHeight="1">
      <c r="A56" s="1780"/>
      <c r="B56" s="1780"/>
      <c r="C56" s="369" t="s">
        <v>1153</v>
      </c>
      <c r="D56" s="2462"/>
      <c r="E56" s="2204"/>
      <c r="F56" s="2383"/>
      <c r="G56" s="400"/>
      <c r="H56" s="1500"/>
      <c r="I56" s="651"/>
      <c r="J56" s="571"/>
      <c r="K56" s="1500"/>
      <c r="L56" s="214"/>
      <c r="M56" s="2170"/>
      <c r="N56" s="334"/>
      <c r="O56" s="1624"/>
      <c r="P56" s="1624"/>
      <c r="AH56" s="1631">
        <v>0</v>
      </c>
    </row>
    <row r="57" s="1635" customFormat="1" ht="18.75" hidden="1" customHeight="1">
      <c r="A57" s="1780" t="s">
        <v>239</v>
      </c>
      <c r="B57" s="1780" t="s">
        <v>240</v>
      </c>
      <c r="C57" s="369"/>
      <c r="D57" s="2462"/>
      <c r="E57" s="2204"/>
      <c r="F57" s="2383" t="str">
        <f>INDEX(PT_DIFFERENTIATION_VTAR,MATCH(A57,PT_DIFFERENTIATION_VTAR_ID,0))</f>
        <v xml:space="preserve">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r="58" s="1635" customFormat="1" ht="18.75" hidden="1" customHeight="1">
      <c r="A58" s="1780"/>
      <c r="B58" s="1780"/>
      <c r="C58" s="369" t="s">
        <v>1147</v>
      </c>
      <c r="D58" s="2462"/>
      <c r="E58" s="2204"/>
      <c r="F58" s="2383"/>
      <c r="G58" s="2427"/>
      <c r="H58" s="1500"/>
      <c r="I58" s="651" t="s">
        <v>1148</v>
      </c>
      <c r="J58" s="571"/>
      <c r="K58" s="1500"/>
      <c r="L58" s="214"/>
      <c r="M58" s="2170"/>
      <c r="N58" s="334"/>
      <c r="O58" s="1624"/>
      <c r="P58" s="1624"/>
      <c r="AH58" s="1631">
        <v>0</v>
      </c>
    </row>
    <row r="59" s="1635" customFormat="1" ht="0.75" hidden="1" customHeight="1">
      <c r="A59" s="1780"/>
      <c r="B59" s="1780"/>
      <c r="C59" s="369" t="s">
        <v>1153</v>
      </c>
      <c r="D59" s="2462"/>
      <c r="E59" s="2204"/>
      <c r="F59" s="2383"/>
      <c r="G59" s="400"/>
      <c r="H59" s="1500"/>
      <c r="I59" s="651"/>
      <c r="J59" s="571"/>
      <c r="K59" s="1500"/>
      <c r="L59" s="214"/>
      <c r="M59" s="2170"/>
      <c r="N59" s="334"/>
      <c r="O59" s="1624"/>
      <c r="P59" s="1624"/>
      <c r="AH59" s="1631">
        <v>0</v>
      </c>
    </row>
    <row r="60" s="1635" customFormat="1" ht="18.75" hidden="1" customHeight="1">
      <c r="A60" s="1780" t="s">
        <v>244</v>
      </c>
      <c r="B60" s="1780" t="s">
        <v>245</v>
      </c>
      <c r="C60" s="369"/>
      <c r="D60" s="2462"/>
      <c r="E60" s="2204"/>
      <c r="F60" s="2383" t="str">
        <f>INDEX(PT_DIFFERENTIATION_VTAR,MATCH(A60,PT_DIFFERENTIATION_VTAR_ID,0))</f>
        <v xml:space="preserve">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r="61" s="1635" customFormat="1" ht="18.75" hidden="1" customHeight="1">
      <c r="A61" s="1780"/>
      <c r="B61" s="1780"/>
      <c r="C61" s="369" t="s">
        <v>1147</v>
      </c>
      <c r="D61" s="2462"/>
      <c r="E61" s="2204"/>
      <c r="F61" s="2383"/>
      <c r="G61" s="2427"/>
      <c r="H61" s="1500"/>
      <c r="I61" s="651" t="s">
        <v>1148</v>
      </c>
      <c r="J61" s="571"/>
      <c r="K61" s="1500"/>
      <c r="L61" s="214"/>
      <c r="M61" s="2170"/>
      <c r="N61" s="334"/>
      <c r="O61" s="1624"/>
      <c r="P61" s="1624"/>
      <c r="AH61" s="1631">
        <v>0</v>
      </c>
    </row>
    <row r="62" s="1635" customFormat="1" ht="0.75" hidden="1" customHeight="1">
      <c r="A62" s="1780"/>
      <c r="B62" s="1780"/>
      <c r="C62" s="369" t="s">
        <v>1153</v>
      </c>
      <c r="D62" s="2462"/>
      <c r="E62" s="2204"/>
      <c r="F62" s="2383"/>
      <c r="G62" s="400"/>
      <c r="H62" s="1500"/>
      <c r="I62" s="651"/>
      <c r="J62" s="571"/>
      <c r="K62" s="1500"/>
      <c r="L62" s="214"/>
      <c r="M62" s="2170"/>
      <c r="N62" s="334"/>
      <c r="O62" s="1624"/>
      <c r="P62" s="1624"/>
      <c r="AH62" s="1631">
        <v>0</v>
      </c>
    </row>
    <row r="63" s="1635" customFormat="1" ht="18.75" hidden="1" customHeight="1">
      <c r="A63" s="1780" t="s">
        <v>249</v>
      </c>
      <c r="B63" s="1780" t="s">
        <v>250</v>
      </c>
      <c r="C63" s="369"/>
      <c r="D63" s="2462"/>
      <c r="E63" s="2204"/>
      <c r="F63" s="2383"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r="64" s="1635" customFormat="1" ht="18.75" hidden="1" customHeight="1">
      <c r="A64" s="1780"/>
      <c r="B64" s="1780"/>
      <c r="C64" s="369" t="s">
        <v>1147</v>
      </c>
      <c r="D64" s="2462"/>
      <c r="E64" s="2204"/>
      <c r="F64" s="2383"/>
      <c r="G64" s="2427"/>
      <c r="H64" s="1500"/>
      <c r="I64" s="651" t="s">
        <v>1148</v>
      </c>
      <c r="J64" s="571"/>
      <c r="K64" s="1500"/>
      <c r="L64" s="214"/>
      <c r="M64" s="2170"/>
      <c r="N64" s="334"/>
      <c r="O64" s="1624"/>
      <c r="P64" s="1624"/>
      <c r="AH64" s="1631">
        <v>0</v>
      </c>
    </row>
    <row r="65" s="1635" customFormat="1" ht="0.75" hidden="1" customHeight="1">
      <c r="A65" s="1780"/>
      <c r="B65" s="1780"/>
      <c r="C65" s="369" t="s">
        <v>1153</v>
      </c>
      <c r="D65" s="2462"/>
      <c r="E65" s="2204"/>
      <c r="F65" s="2383"/>
      <c r="G65" s="400"/>
      <c r="H65" s="1500"/>
      <c r="I65" s="651"/>
      <c r="J65" s="571"/>
      <c r="K65" s="1500"/>
      <c r="L65" s="214"/>
      <c r="M65" s="2170"/>
      <c r="N65" s="334"/>
      <c r="O65" s="1624"/>
      <c r="P65" s="1624"/>
      <c r="AH65" s="1631">
        <v>0</v>
      </c>
    </row>
    <row r="66" s="1635" customFormat="1" ht="18.75" hidden="1" customHeight="1">
      <c r="A66" s="1780" t="s">
        <v>254</v>
      </c>
      <c r="B66" s="1780" t="s">
        <v>255</v>
      </c>
      <c r="C66" s="369"/>
      <c r="D66" s="2462"/>
      <c r="E66" s="2204"/>
      <c r="F66" s="2383" t="str">
        <f>INDEX(PT_DIFFERENTIATION_VTAR,MATCH(A66,PT_DIFFERENTIATION_VTAR_ID,0))</f>
        <v xml:space="preserve">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r="67" s="1635" customFormat="1" ht="18.75" hidden="1" customHeight="1">
      <c r="A67" s="1780"/>
      <c r="B67" s="1780"/>
      <c r="C67" s="369" t="s">
        <v>1147</v>
      </c>
      <c r="D67" s="2462"/>
      <c r="E67" s="2204"/>
      <c r="F67" s="2383"/>
      <c r="G67" s="2427"/>
      <c r="H67" s="1500"/>
      <c r="I67" s="651" t="s">
        <v>1148</v>
      </c>
      <c r="J67" s="571"/>
      <c r="K67" s="1500"/>
      <c r="L67" s="214"/>
      <c r="M67" s="2170"/>
      <c r="N67" s="334"/>
      <c r="O67" s="1624"/>
      <c r="P67" s="1624"/>
      <c r="AH67" s="1631">
        <v>0</v>
      </c>
    </row>
    <row r="68" s="1635" customFormat="1" ht="0.75" hidden="1" customHeight="1">
      <c r="A68" s="1780"/>
      <c r="B68" s="1780"/>
      <c r="C68" s="369" t="s">
        <v>1153</v>
      </c>
      <c r="D68" s="2462"/>
      <c r="E68" s="2204"/>
      <c r="F68" s="2383"/>
      <c r="G68" s="400"/>
      <c r="H68" s="1500"/>
      <c r="I68" s="651"/>
      <c r="J68" s="571"/>
      <c r="K68" s="1500"/>
      <c r="L68" s="214"/>
      <c r="M68" s="2170"/>
      <c r="N68" s="334"/>
      <c r="O68" s="1624"/>
      <c r="P68" s="1624"/>
      <c r="AH68" s="1631">
        <v>0</v>
      </c>
    </row>
    <row r="69" s="1635" customFormat="1" ht="18.75" hidden="1" customHeight="1">
      <c r="A69" s="1780" t="s">
        <v>259</v>
      </c>
      <c r="B69" s="1780" t="s">
        <v>260</v>
      </c>
      <c r="C69" s="369"/>
      <c r="D69" s="2462"/>
      <c r="E69" s="2204"/>
      <c r="F69" s="2383" t="str">
        <f>INDEX(PT_DIFFERENTIATION_VTAR,MATCH(A69,PT_DIFFERENTIATION_VTAR_ID,0))</f>
        <v xml:space="preserve">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r="70" s="1635" customFormat="1" ht="18.75" hidden="1" customHeight="1">
      <c r="A70" s="1780"/>
      <c r="B70" s="1780"/>
      <c r="C70" s="369" t="s">
        <v>1147</v>
      </c>
      <c r="D70" s="2462"/>
      <c r="E70" s="2204"/>
      <c r="F70" s="2383"/>
      <c r="G70" s="2427"/>
      <c r="H70" s="1500"/>
      <c r="I70" s="651" t="s">
        <v>1148</v>
      </c>
      <c r="J70" s="571"/>
      <c r="K70" s="1500"/>
      <c r="L70" s="214"/>
      <c r="M70" s="2170"/>
      <c r="N70" s="334"/>
      <c r="O70" s="1624"/>
      <c r="P70" s="1624"/>
      <c r="AH70" s="1631">
        <v>0</v>
      </c>
    </row>
    <row r="71" s="1635" customFormat="1" ht="0.75" hidden="1" customHeight="1">
      <c r="A71" s="1780"/>
      <c r="B71" s="1780"/>
      <c r="C71" s="369" t="s">
        <v>1153</v>
      </c>
      <c r="D71" s="2462"/>
      <c r="E71" s="2204"/>
      <c r="F71" s="2383"/>
      <c r="G71" s="400"/>
      <c r="H71" s="1500"/>
      <c r="I71" s="651"/>
      <c r="J71" s="571"/>
      <c r="K71" s="1500"/>
      <c r="L71" s="214"/>
      <c r="M71" s="2170"/>
      <c r="N71" s="334"/>
      <c r="O71" s="1624"/>
      <c r="P71" s="1624"/>
      <c r="AH71" s="1631">
        <v>0</v>
      </c>
    </row>
    <row r="72" s="1635" customFormat="1" ht="18.75" hidden="1" customHeight="1">
      <c r="A72" s="1780" t="s">
        <v>264</v>
      </c>
      <c r="B72" s="1780" t="s">
        <v>265</v>
      </c>
      <c r="C72" s="369"/>
      <c r="D72" s="2462"/>
      <c r="E72" s="2204"/>
      <c r="F72" s="2383"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r="73" s="1635" customFormat="1" ht="18.75" hidden="1" customHeight="1">
      <c r="A73" s="1780"/>
      <c r="B73" s="1780"/>
      <c r="C73" s="369" t="s">
        <v>1147</v>
      </c>
      <c r="D73" s="2462"/>
      <c r="E73" s="2204"/>
      <c r="F73" s="2383"/>
      <c r="G73" s="2427"/>
      <c r="H73" s="1500"/>
      <c r="I73" s="651" t="s">
        <v>1148</v>
      </c>
      <c r="J73" s="571"/>
      <c r="K73" s="1500"/>
      <c r="L73" s="214"/>
      <c r="M73" s="2170"/>
      <c r="N73" s="334"/>
      <c r="O73" s="1624"/>
      <c r="P73" s="1624"/>
      <c r="AH73" s="1631">
        <v>0</v>
      </c>
    </row>
    <row r="74" s="1635" customFormat="1" ht="0.75" hidden="1" customHeight="1">
      <c r="A74" s="1780"/>
      <c r="B74" s="1780"/>
      <c r="C74" s="369" t="s">
        <v>1153</v>
      </c>
      <c r="D74" s="2462"/>
      <c r="E74" s="2204"/>
      <c r="F74" s="2383"/>
      <c r="G74" s="400"/>
      <c r="H74" s="1500"/>
      <c r="I74" s="651"/>
      <c r="J74" s="571"/>
      <c r="K74" s="1500"/>
      <c r="L74" s="214"/>
      <c r="M74" s="2170"/>
      <c r="N74" s="334"/>
      <c r="O74" s="1624"/>
      <c r="P74" s="1624"/>
      <c r="AH74" s="1631">
        <v>0</v>
      </c>
    </row>
    <row r="75" s="1635" customFormat="1" ht="18.75" hidden="1" customHeight="1">
      <c r="A75" s="1780" t="s">
        <v>269</v>
      </c>
      <c r="B75" s="1780" t="s">
        <v>270</v>
      </c>
      <c r="C75" s="369"/>
      <c r="D75" s="2462"/>
      <c r="E75" s="2204"/>
      <c r="F75" s="2383" t="str">
        <f>INDEX(PT_DIFFERENTIATION_VTAR,MATCH(A75,PT_DIFFERENTIATION_VTAR_ID,0))</f>
        <v xml:space="preserve">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r="76" s="1635" customFormat="1" ht="18.75" hidden="1" customHeight="1">
      <c r="A76" s="1780"/>
      <c r="B76" s="1780"/>
      <c r="C76" s="369" t="s">
        <v>1147</v>
      </c>
      <c r="D76" s="2462"/>
      <c r="E76" s="2204"/>
      <c r="F76" s="2383"/>
      <c r="G76" s="2427"/>
      <c r="H76" s="1500"/>
      <c r="I76" s="651" t="s">
        <v>1148</v>
      </c>
      <c r="J76" s="571"/>
      <c r="K76" s="1500"/>
      <c r="L76" s="214"/>
      <c r="M76" s="2170"/>
      <c r="N76" s="334"/>
      <c r="O76" s="1624"/>
      <c r="P76" s="1624"/>
      <c r="AH76" s="1631">
        <v>0</v>
      </c>
    </row>
    <row r="77" s="1635" customFormat="1" ht="0.75" hidden="1" customHeight="1">
      <c r="A77" s="1780"/>
      <c r="B77" s="1780"/>
      <c r="C77" s="369" t="s">
        <v>1153</v>
      </c>
      <c r="D77" s="2462"/>
      <c r="E77" s="2204"/>
      <c r="F77" s="2383"/>
      <c r="G77" s="400"/>
      <c r="H77" s="1500"/>
      <c r="I77" s="651"/>
      <c r="J77" s="571"/>
      <c r="K77" s="1500"/>
      <c r="L77" s="214"/>
      <c r="M77" s="2170"/>
      <c r="N77" s="334"/>
      <c r="O77" s="1624"/>
      <c r="P77" s="1624"/>
      <c r="AH77" s="1631">
        <v>0</v>
      </c>
    </row>
    <row r="78" s="1635" customFormat="1" ht="18.75" hidden="1" customHeight="1">
      <c r="A78" s="1780" t="s">
        <v>274</v>
      </c>
      <c r="B78" s="1780" t="s">
        <v>275</v>
      </c>
      <c r="C78" s="369"/>
      <c r="D78" s="2462"/>
      <c r="E78" s="2204"/>
      <c r="F78" s="2383" t="str">
        <f>INDEX(PT_DIFFERENTIATION_VTAR,MATCH(A78,PT_DIFFERENTIATION_VTAR_ID,0))</f>
        <v xml:space="preserve">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r="79" s="1635" customFormat="1" ht="18.75" hidden="1" customHeight="1">
      <c r="A79" s="1780"/>
      <c r="B79" s="1780"/>
      <c r="C79" s="369" t="s">
        <v>1147</v>
      </c>
      <c r="D79" s="2462"/>
      <c r="E79" s="2204"/>
      <c r="F79" s="2383"/>
      <c r="G79" s="2427"/>
      <c r="H79" s="1500"/>
      <c r="I79" s="651" t="s">
        <v>1148</v>
      </c>
      <c r="J79" s="571"/>
      <c r="K79" s="1500"/>
      <c r="L79" s="214"/>
      <c r="M79" s="2170"/>
      <c r="N79" s="334"/>
      <c r="O79" s="1624"/>
      <c r="P79" s="1624"/>
      <c r="AH79" s="1631">
        <v>0</v>
      </c>
    </row>
    <row r="80" s="1635" customFormat="1" ht="0.75" hidden="1" customHeight="1">
      <c r="A80" s="1780"/>
      <c r="B80" s="1780"/>
      <c r="C80" s="369" t="s">
        <v>1153</v>
      </c>
      <c r="D80" s="2462"/>
      <c r="E80" s="2204"/>
      <c r="F80" s="2383"/>
      <c r="G80" s="400"/>
      <c r="H80" s="1500"/>
      <c r="I80" s="651"/>
      <c r="J80" s="571"/>
      <c r="K80" s="1500"/>
      <c r="L80" s="214"/>
      <c r="M80" s="2170"/>
      <c r="N80" s="334"/>
      <c r="O80" s="1624"/>
      <c r="P80" s="1624"/>
      <c r="AH80" s="1631">
        <v>0</v>
      </c>
    </row>
    <row r="81" s="1635" customFormat="1" ht="18.75" hidden="1" customHeight="1">
      <c r="A81" s="1780" t="s">
        <v>279</v>
      </c>
      <c r="B81" s="1780" t="s">
        <v>280</v>
      </c>
      <c r="C81" s="369"/>
      <c r="D81" s="2462"/>
      <c r="E81" s="2204"/>
      <c r="F81" s="2383" t="str">
        <f>INDEX(PT_DIFFERENTIATION_VTAR,MATCH(A81,PT_DIFFERENTIATION_VTAR_ID,0))</f>
        <v xml:space="preserve">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r="82" s="1635" customFormat="1" ht="18.75" hidden="1" customHeight="1">
      <c r="A82" s="1780"/>
      <c r="B82" s="1780"/>
      <c r="C82" s="369" t="s">
        <v>1147</v>
      </c>
      <c r="D82" s="2462"/>
      <c r="E82" s="2204"/>
      <c r="F82" s="2383"/>
      <c r="G82" s="2427"/>
      <c r="H82" s="1500"/>
      <c r="I82" s="651" t="s">
        <v>1148</v>
      </c>
      <c r="J82" s="571"/>
      <c r="K82" s="1500"/>
      <c r="L82" s="214"/>
      <c r="M82" s="2170"/>
      <c r="N82" s="334"/>
      <c r="O82" s="1624"/>
      <c r="P82" s="1624"/>
      <c r="AH82" s="1631">
        <v>0</v>
      </c>
    </row>
    <row r="83" s="1635" customFormat="1" ht="1.05" customHeight="1">
      <c r="A83" s="1780"/>
      <c r="B83" s="1780"/>
      <c r="C83" s="369" t="s">
        <v>1153</v>
      </c>
      <c r="D83" s="2462"/>
      <c r="E83" s="2204"/>
      <c r="F83" s="2383"/>
      <c r="G83" s="400"/>
      <c r="H83" s="1500"/>
      <c r="I83" s="651"/>
      <c r="J83" s="571"/>
      <c r="K83" s="1500"/>
      <c r="L83" s="214"/>
      <c r="M83" s="2170"/>
      <c r="N83" s="334"/>
      <c r="O83" s="1624"/>
      <c r="P83" s="1624"/>
      <c r="AH83" s="1631">
        <v>1</v>
      </c>
    </row>
    <row r="84" ht="19.949999999999999" customHeight="1">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r="85" ht="35.649999999999999" customHeight="1">
      <c r="A85" s="1780"/>
      <c r="B85" s="1780"/>
      <c r="D85" s="376"/>
      <c r="E85" s="399"/>
      <c r="F85" s="198" t="s">
        <v>310</v>
      </c>
      <c r="G85" s="198" t="s">
        <v>310</v>
      </c>
      <c r="H85" s="2218" t="s">
        <v>310</v>
      </c>
      <c r="I85" s="2220"/>
      <c r="J85" s="198" t="s">
        <v>310</v>
      </c>
      <c r="K85" s="198" t="s">
        <v>310</v>
      </c>
      <c r="L85" s="401"/>
      <c r="M85" s="345" t="s">
        <v>1155</v>
      </c>
      <c r="N85" s="334"/>
      <c r="AH85" s="374">
        <v>34</v>
      </c>
    </row>
    <row r="86" ht="19.949999999999999" customHeight="1">
      <c r="A86" s="1780"/>
      <c r="B86" s="1780"/>
      <c r="D86" s="376"/>
      <c r="E86" s="147" t="s">
        <v>90</v>
      </c>
      <c r="F86" s="2460" t="s">
        <v>1156</v>
      </c>
      <c r="G86" s="2460"/>
      <c r="H86" s="2460"/>
      <c r="I86" s="2460"/>
      <c r="J86" s="2460"/>
      <c r="K86" s="2460"/>
      <c r="L86" s="2460"/>
      <c r="M86" s="297"/>
      <c r="N86" s="334"/>
      <c r="AH86" s="374">
        <v>19</v>
      </c>
    </row>
    <row r="87" s="1635" customFormat="1" ht="60.75" hidden="1" customHeight="1">
      <c r="A87" s="1780" t="s">
        <v>154</v>
      </c>
      <c r="B87" s="1780" t="s">
        <v>155</v>
      </c>
      <c r="C87" s="369"/>
      <c r="D87" s="2462"/>
      <c r="E87" s="2204"/>
      <c r="F87" s="2383"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r="88" s="1635" customFormat="1" ht="18.75" hidden="1" customHeight="1">
      <c r="A88" s="1780"/>
      <c r="B88" s="1780"/>
      <c r="C88" s="369" t="s">
        <v>1149</v>
      </c>
      <c r="D88" s="2462"/>
      <c r="E88" s="2204"/>
      <c r="F88" s="2383"/>
      <c r="G88" s="2427"/>
      <c r="H88" s="1500"/>
      <c r="I88" s="651" t="s">
        <v>1148</v>
      </c>
      <c r="J88" s="571"/>
      <c r="K88" s="1500"/>
      <c r="L88" s="214"/>
      <c r="M88" s="2170"/>
      <c r="N88" s="334"/>
      <c r="O88" s="1624"/>
      <c r="P88" s="1624"/>
      <c r="AH88" s="1631">
        <v>0</v>
      </c>
    </row>
    <row r="89" s="1635" customFormat="1" ht="0.75" hidden="1" customHeight="1">
      <c r="A89" s="1780"/>
      <c r="B89" s="1780"/>
      <c r="C89" s="369" t="s">
        <v>1157</v>
      </c>
      <c r="D89" s="2462"/>
      <c r="E89" s="2204"/>
      <c r="F89" s="2383"/>
      <c r="G89" s="400"/>
      <c r="H89" s="1500"/>
      <c r="I89" s="651"/>
      <c r="J89" s="571"/>
      <c r="K89" s="1500"/>
      <c r="L89" s="214"/>
      <c r="M89" s="2170"/>
      <c r="N89" s="334"/>
      <c r="O89" s="1624"/>
      <c r="P89" s="1624"/>
      <c r="AH89" s="1631">
        <v>0</v>
      </c>
    </row>
    <row r="90" s="1635" customFormat="1" ht="45" hidden="1" customHeight="1">
      <c r="A90" s="1780" t="s">
        <v>160</v>
      </c>
      <c r="B90" s="1780" t="s">
        <v>161</v>
      </c>
      <c r="C90" s="369"/>
      <c r="D90" s="2462"/>
      <c r="E90" s="2204"/>
      <c r="F90" s="2383"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r="91" s="1635" customFormat="1" ht="18.75" hidden="1" customHeight="1">
      <c r="A91" s="1780"/>
      <c r="B91" s="1780"/>
      <c r="C91" s="369" t="s">
        <v>1149</v>
      </c>
      <c r="D91" s="2462"/>
      <c r="E91" s="2204"/>
      <c r="F91" s="2383"/>
      <c r="G91" s="2427"/>
      <c r="H91" s="1500"/>
      <c r="I91" s="651" t="s">
        <v>1148</v>
      </c>
      <c r="J91" s="571"/>
      <c r="K91" s="1500"/>
      <c r="L91" s="214"/>
      <c r="M91" s="1861"/>
      <c r="N91" s="334"/>
      <c r="O91" s="1624"/>
      <c r="P91" s="1624"/>
      <c r="AH91" s="1631">
        <v>0</v>
      </c>
    </row>
    <row r="92" s="1635" customFormat="1" ht="0.75" hidden="1" customHeight="1">
      <c r="A92" s="1780"/>
      <c r="B92" s="1780"/>
      <c r="C92" s="369" t="s">
        <v>1157</v>
      </c>
      <c r="D92" s="2462"/>
      <c r="E92" s="2204"/>
      <c r="F92" s="2383"/>
      <c r="G92" s="400"/>
      <c r="H92" s="1500"/>
      <c r="I92" s="651"/>
      <c r="J92" s="571"/>
      <c r="K92" s="1500"/>
      <c r="L92" s="214"/>
      <c r="M92" s="341"/>
      <c r="N92" s="334"/>
      <c r="O92" s="1624"/>
      <c r="P92" s="1624"/>
      <c r="AH92" s="1631">
        <v>0</v>
      </c>
    </row>
    <row r="93" s="1635" customFormat="1" ht="45" hidden="1" customHeight="1">
      <c r="A93" s="1780" t="s">
        <v>166</v>
      </c>
      <c r="B93" s="1780" t="s">
        <v>167</v>
      </c>
      <c r="C93" s="369"/>
      <c r="D93" s="2462"/>
      <c r="E93" s="2204"/>
      <c r="F93" s="2383"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r="94" s="1635" customFormat="1" ht="18.75" hidden="1" customHeight="1">
      <c r="A94" s="1780"/>
      <c r="B94" s="1780"/>
      <c r="C94" s="369" t="s">
        <v>1149</v>
      </c>
      <c r="D94" s="2462"/>
      <c r="E94" s="2204"/>
      <c r="F94" s="2383"/>
      <c r="G94" s="2427"/>
      <c r="H94" s="1500"/>
      <c r="I94" s="651" t="s">
        <v>1148</v>
      </c>
      <c r="J94" s="571"/>
      <c r="K94" s="1500"/>
      <c r="L94" s="214"/>
      <c r="M94" s="341"/>
      <c r="N94" s="334"/>
      <c r="O94" s="1624"/>
      <c r="P94" s="1624"/>
      <c r="AH94" s="1631">
        <v>0</v>
      </c>
    </row>
    <row r="95" s="1635" customFormat="1" ht="0.75" hidden="1" customHeight="1">
      <c r="A95" s="1780"/>
      <c r="B95" s="1780"/>
      <c r="C95" s="369" t="s">
        <v>1157</v>
      </c>
      <c r="D95" s="2462"/>
      <c r="E95" s="2204"/>
      <c r="F95" s="2383"/>
      <c r="G95" s="400"/>
      <c r="H95" s="1500"/>
      <c r="I95" s="651"/>
      <c r="J95" s="571"/>
      <c r="K95" s="1500"/>
      <c r="L95" s="214"/>
      <c r="M95" s="341"/>
      <c r="N95" s="334"/>
      <c r="O95" s="1624"/>
      <c r="P95" s="1624"/>
      <c r="AH95" s="1631">
        <v>0</v>
      </c>
    </row>
    <row r="96" s="1635" customFormat="1" ht="45" hidden="1" customHeight="1">
      <c r="A96" s="1780" t="s">
        <v>172</v>
      </c>
      <c r="B96" s="1780" t="s">
        <v>173</v>
      </c>
      <c r="C96" s="369"/>
      <c r="D96" s="2462"/>
      <c r="E96" s="2204"/>
      <c r="F96" s="2383"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r="97" s="1635" customFormat="1" ht="18.75" hidden="1" customHeight="1">
      <c r="A97" s="1780"/>
      <c r="B97" s="1780"/>
      <c r="C97" s="369" t="s">
        <v>1149</v>
      </c>
      <c r="D97" s="2462"/>
      <c r="E97" s="2204"/>
      <c r="F97" s="2383"/>
      <c r="G97" s="2427"/>
      <c r="H97" s="1500"/>
      <c r="I97" s="651" t="s">
        <v>1148</v>
      </c>
      <c r="J97" s="571"/>
      <c r="K97" s="1500"/>
      <c r="L97" s="214"/>
      <c r="M97" s="341"/>
      <c r="N97" s="334"/>
      <c r="O97" s="1624"/>
      <c r="P97" s="1624"/>
      <c r="AH97" s="1631">
        <v>0</v>
      </c>
    </row>
    <row r="98" s="1635" customFormat="1" ht="0.75" hidden="1" customHeight="1">
      <c r="A98" s="1780"/>
      <c r="B98" s="1780"/>
      <c r="C98" s="369" t="s">
        <v>1157</v>
      </c>
      <c r="D98" s="2462"/>
      <c r="E98" s="2204"/>
      <c r="F98" s="2383"/>
      <c r="G98" s="400"/>
      <c r="H98" s="1500"/>
      <c r="I98" s="651"/>
      <c r="J98" s="571"/>
      <c r="K98" s="1500"/>
      <c r="L98" s="214"/>
      <c r="M98" s="341"/>
      <c r="N98" s="334"/>
      <c r="O98" s="1624"/>
      <c r="P98" s="1624"/>
      <c r="AH98" s="1631">
        <v>0</v>
      </c>
    </row>
    <row r="99" s="1635" customFormat="1" ht="18.75" hidden="1" customHeight="1">
      <c r="A99" s="1780" t="s">
        <v>178</v>
      </c>
      <c r="B99" s="1780" t="s">
        <v>179</v>
      </c>
      <c r="C99" s="369"/>
      <c r="D99" s="2462"/>
      <c r="E99" s="2204"/>
      <c r="F99" s="2383" t="str">
        <f>INDEX(PT_DIFFERENTIATION_VTAR,MATCH(A99,PT_DIFFERENTIATION_VTAR_ID,0))</f>
        <v xml:space="preserve">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r="100" s="1635" customFormat="1" ht="18.75" hidden="1" customHeight="1">
      <c r="A100" s="1780"/>
      <c r="B100" s="1780"/>
      <c r="C100" s="369" t="s">
        <v>1149</v>
      </c>
      <c r="D100" s="2462"/>
      <c r="E100" s="2204"/>
      <c r="F100" s="2383"/>
      <c r="G100" s="2427"/>
      <c r="H100" s="1500"/>
      <c r="I100" s="651" t="s">
        <v>1148</v>
      </c>
      <c r="J100" s="571"/>
      <c r="K100" s="1500"/>
      <c r="L100" s="214"/>
      <c r="M100" s="341"/>
      <c r="N100" s="334"/>
      <c r="O100" s="1624"/>
      <c r="P100" s="1624"/>
      <c r="AH100" s="1631">
        <v>0</v>
      </c>
    </row>
    <row r="101" s="1635" customFormat="1" ht="0.75" hidden="1" customHeight="1">
      <c r="A101" s="1780"/>
      <c r="B101" s="1780"/>
      <c r="C101" s="369" t="s">
        <v>1157</v>
      </c>
      <c r="D101" s="2462"/>
      <c r="E101" s="2204"/>
      <c r="F101" s="2383"/>
      <c r="G101" s="400"/>
      <c r="H101" s="1500"/>
      <c r="I101" s="651"/>
      <c r="J101" s="571"/>
      <c r="K101" s="1500"/>
      <c r="L101" s="214"/>
      <c r="M101" s="341"/>
      <c r="N101" s="334"/>
      <c r="O101" s="1624"/>
      <c r="P101" s="1624"/>
      <c r="AH101" s="1631">
        <v>0</v>
      </c>
    </row>
    <row r="102" s="1635" customFormat="1" ht="18.75" hidden="1" customHeight="1">
      <c r="A102" s="1780" t="s">
        <v>184</v>
      </c>
      <c r="B102" s="1780" t="s">
        <v>185</v>
      </c>
      <c r="C102" s="369"/>
      <c r="D102" s="2462"/>
      <c r="E102" s="2204"/>
      <c r="F102" s="2383" t="str">
        <f>INDEX(PT_DIFFERENTIATION_VTAR,MATCH(A102,PT_DIFFERENTIATION_VTAR_ID,0))</f>
        <v xml:space="preserve">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r="103" s="1635" customFormat="1" ht="18.75" hidden="1" customHeight="1">
      <c r="A103" s="1780"/>
      <c r="B103" s="1780"/>
      <c r="C103" s="369" t="s">
        <v>1149</v>
      </c>
      <c r="D103" s="2462"/>
      <c r="E103" s="2204"/>
      <c r="F103" s="2383"/>
      <c r="G103" s="2427"/>
      <c r="H103" s="1500"/>
      <c r="I103" s="651" t="s">
        <v>1148</v>
      </c>
      <c r="J103" s="571"/>
      <c r="K103" s="1500"/>
      <c r="L103" s="214"/>
      <c r="M103" s="341"/>
      <c r="N103" s="334"/>
      <c r="O103" s="1624"/>
      <c r="P103" s="1624"/>
      <c r="AH103" s="1631">
        <v>0</v>
      </c>
    </row>
    <row r="104" s="1635" customFormat="1" ht="0.75" hidden="1" customHeight="1">
      <c r="A104" s="1780"/>
      <c r="B104" s="1780"/>
      <c r="C104" s="369" t="s">
        <v>1157</v>
      </c>
      <c r="D104" s="2462"/>
      <c r="E104" s="2204"/>
      <c r="F104" s="2383"/>
      <c r="G104" s="400"/>
      <c r="H104" s="1500"/>
      <c r="I104" s="651"/>
      <c r="J104" s="571"/>
      <c r="K104" s="1500"/>
      <c r="L104" s="214"/>
      <c r="M104" s="341"/>
      <c r="N104" s="334"/>
      <c r="O104" s="1624"/>
      <c r="P104" s="1624"/>
      <c r="AH104" s="1631">
        <v>0</v>
      </c>
    </row>
    <row r="105" s="1635" customFormat="1" ht="18.75" hidden="1" customHeight="1">
      <c r="A105" s="1780" t="s">
        <v>190</v>
      </c>
      <c r="B105" s="1780" t="s">
        <v>191</v>
      </c>
      <c r="C105" s="369"/>
      <c r="D105" s="2462"/>
      <c r="E105" s="2204"/>
      <c r="F105" s="2383"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r="106" s="1635" customFormat="1" ht="18.75" hidden="1" customHeight="1">
      <c r="A106" s="1780"/>
      <c r="B106" s="1780"/>
      <c r="C106" s="369" t="s">
        <v>1149</v>
      </c>
      <c r="D106" s="2462"/>
      <c r="E106" s="2204"/>
      <c r="F106" s="2383"/>
      <c r="G106" s="2427"/>
      <c r="H106" s="1500"/>
      <c r="I106" s="651" t="s">
        <v>1148</v>
      </c>
      <c r="J106" s="571"/>
      <c r="K106" s="1500"/>
      <c r="L106" s="214"/>
      <c r="M106" s="341"/>
      <c r="N106" s="334"/>
      <c r="O106" s="1624"/>
      <c r="P106" s="1624"/>
      <c r="AH106" s="1631">
        <v>0</v>
      </c>
    </row>
    <row r="107" s="1635" customFormat="1" ht="0.75" hidden="1" customHeight="1">
      <c r="A107" s="1780"/>
      <c r="B107" s="1780"/>
      <c r="C107" s="369" t="s">
        <v>1157</v>
      </c>
      <c r="D107" s="2462"/>
      <c r="E107" s="2204"/>
      <c r="F107" s="2383"/>
      <c r="G107" s="400"/>
      <c r="H107" s="1500"/>
      <c r="I107" s="651"/>
      <c r="J107" s="571"/>
      <c r="K107" s="1500"/>
      <c r="L107" s="214"/>
      <c r="M107" s="341"/>
      <c r="N107" s="334"/>
      <c r="O107" s="1624"/>
      <c r="P107" s="1624"/>
      <c r="AH107" s="1631">
        <v>0</v>
      </c>
    </row>
    <row r="108" s="1635" customFormat="1" ht="18.75" hidden="1" customHeight="1">
      <c r="A108" s="1780" t="s">
        <v>196</v>
      </c>
      <c r="B108" s="1780" t="s">
        <v>197</v>
      </c>
      <c r="C108" s="369"/>
      <c r="D108" s="2462"/>
      <c r="E108" s="2204"/>
      <c r="F108" s="2383" t="str">
        <f>INDEX(PT_DIFFERENTIATION_VTAR,MATCH(A108,PT_DIFFERENTIATION_VTAR_ID,0))</f>
        <v xml:space="preserve">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r="109" s="1635" customFormat="1" ht="18.75" hidden="1" customHeight="1">
      <c r="A109" s="1780"/>
      <c r="B109" s="1780"/>
      <c r="C109" s="369" t="s">
        <v>1149</v>
      </c>
      <c r="D109" s="2462"/>
      <c r="E109" s="2204"/>
      <c r="F109" s="2383"/>
      <c r="G109" s="2427"/>
      <c r="H109" s="1500"/>
      <c r="I109" s="651" t="s">
        <v>1148</v>
      </c>
      <c r="J109" s="571"/>
      <c r="K109" s="1500"/>
      <c r="L109" s="214"/>
      <c r="M109" s="341"/>
      <c r="N109" s="334"/>
      <c r="O109" s="1624"/>
      <c r="P109" s="1624"/>
      <c r="AH109" s="1631">
        <v>0</v>
      </c>
    </row>
    <row r="110" s="1635" customFormat="1" ht="0.75" hidden="1" customHeight="1">
      <c r="A110" s="1780"/>
      <c r="B110" s="1780"/>
      <c r="C110" s="369" t="s">
        <v>1157</v>
      </c>
      <c r="D110" s="2462"/>
      <c r="E110" s="2204"/>
      <c r="F110" s="2383"/>
      <c r="G110" s="400"/>
      <c r="H110" s="1500"/>
      <c r="I110" s="651"/>
      <c r="J110" s="571"/>
      <c r="K110" s="1500"/>
      <c r="L110" s="214"/>
      <c r="M110" s="341"/>
      <c r="N110" s="334"/>
      <c r="O110" s="1624"/>
      <c r="P110" s="1624"/>
      <c r="AH110" s="1631">
        <v>0</v>
      </c>
    </row>
    <row r="111" s="1635" customFormat="1" ht="18.75" hidden="1" customHeight="1">
      <c r="A111" s="1780" t="s">
        <v>205</v>
      </c>
      <c r="B111" s="1780" t="s">
        <v>206</v>
      </c>
      <c r="C111" s="369"/>
      <c r="D111" s="2462"/>
      <c r="E111" s="2204"/>
      <c r="F111" s="2383" t="str">
        <f>INDEX(PT_DIFFERENTIATION_VTAR,MATCH(A111,PT_DIFFERENTIATION_VTAR_ID,0))</f>
        <v xml:space="preserve">Плата за подключение (технологическое присоединение) к системе теплоснабжения (индивидуальная)</v>
      </c>
      <c r="G111" s="2427" t="str">
        <f>INDEX(PT_DIFFERENTIATION_NTAR,MATCH(B111,PT_DIFFERENTIATION_NTAR_ID,0))</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310</v>
      </c>
      <c r="M111" s="341"/>
      <c r="N111" s="334"/>
      <c r="O111" s="1624"/>
      <c r="P111" s="1624"/>
      <c r="AH111" s="1631">
        <v>0</v>
      </c>
    </row>
    <row r="112" s="1635" customFormat="1" ht="18.75" hidden="1" customHeight="1">
      <c r="A112" s="1780"/>
      <c r="B112" s="1780"/>
      <c r="C112" s="369" t="s">
        <v>1149</v>
      </c>
      <c r="D112" s="2462"/>
      <c r="E112" s="2204"/>
      <c r="F112" s="2383"/>
      <c r="G112" s="2427"/>
      <c r="H112" s="1500"/>
      <c r="I112" s="651" t="s">
        <v>1148</v>
      </c>
      <c r="J112" s="571"/>
      <c r="K112" s="1500"/>
      <c r="L112" s="214"/>
      <c r="M112" s="341"/>
      <c r="N112" s="334"/>
      <c r="O112" s="1624"/>
      <c r="P112" s="1624"/>
      <c r="AH112" s="1631">
        <v>0</v>
      </c>
    </row>
    <row r="113" s="1635" customFormat="1" ht="0.75" hidden="1" customHeight="1">
      <c r="A113" s="1780"/>
      <c r="B113" s="1780"/>
      <c r="C113" s="369" t="s">
        <v>1157</v>
      </c>
      <c r="D113" s="2462"/>
      <c r="E113" s="2204"/>
      <c r="F113" s="2383"/>
      <c r="G113" s="400"/>
      <c r="H113" s="1500"/>
      <c r="I113" s="651"/>
      <c r="J113" s="571"/>
      <c r="K113" s="1500"/>
      <c r="L113" s="214"/>
      <c r="M113" s="341"/>
      <c r="N113" s="334"/>
      <c r="O113" s="1624"/>
      <c r="P113" s="1624"/>
      <c r="AH113" s="1631">
        <v>0</v>
      </c>
    </row>
    <row r="114" s="1635" customFormat="1" ht="18.75" hidden="1" customHeight="1">
      <c r="A114" s="1780" t="s">
        <v>229</v>
      </c>
      <c r="B114" s="1780" t="s">
        <v>230</v>
      </c>
      <c r="C114" s="369"/>
      <c r="D114" s="2462"/>
      <c r="E114" s="2204"/>
      <c r="F114" s="2383" t="str">
        <f>INDEX(PT_DIFFERENTIATION_VTAR,MATCH(A114,PT_DIFFERENTIATION_VTAR_ID,0))</f>
        <v xml:space="preserve">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r="115" s="1635" customFormat="1" ht="18.75" hidden="1" customHeight="1">
      <c r="A115" s="1780"/>
      <c r="B115" s="1780"/>
      <c r="C115" s="369" t="s">
        <v>1149</v>
      </c>
      <c r="D115" s="2462"/>
      <c r="E115" s="2204"/>
      <c r="F115" s="2383"/>
      <c r="G115" s="2427"/>
      <c r="H115" s="1500"/>
      <c r="I115" s="651" t="s">
        <v>1148</v>
      </c>
      <c r="J115" s="571"/>
      <c r="K115" s="1500"/>
      <c r="L115" s="214"/>
      <c r="M115" s="341"/>
      <c r="N115" s="334"/>
      <c r="O115" s="1624"/>
      <c r="P115" s="1624"/>
      <c r="AH115" s="1631">
        <v>0</v>
      </c>
    </row>
    <row r="116" s="1635" customFormat="1" ht="0.75" hidden="1" customHeight="1">
      <c r="A116" s="1780"/>
      <c r="B116" s="1780"/>
      <c r="C116" s="369" t="s">
        <v>1157</v>
      </c>
      <c r="D116" s="2462"/>
      <c r="E116" s="2204"/>
      <c r="F116" s="2383"/>
      <c r="G116" s="400"/>
      <c r="H116" s="1500"/>
      <c r="I116" s="651"/>
      <c r="J116" s="571"/>
      <c r="K116" s="1500"/>
      <c r="L116" s="214"/>
      <c r="M116" s="341"/>
      <c r="N116" s="334"/>
      <c r="O116" s="1624"/>
      <c r="P116" s="1624"/>
      <c r="AH116" s="1631">
        <v>0</v>
      </c>
    </row>
    <row r="117" s="1635" customFormat="1" ht="18.75" hidden="1" customHeight="1">
      <c r="A117" s="1780" t="s">
        <v>234</v>
      </c>
      <c r="B117" s="1780" t="s">
        <v>235</v>
      </c>
      <c r="C117" s="369"/>
      <c r="D117" s="2462"/>
      <c r="E117" s="2204"/>
      <c r="F117" s="2383" t="str">
        <f>INDEX(PT_DIFFERENTIATION_VTAR,MATCH(A117,PT_DIFFERENTIATION_VTAR_ID,0))</f>
        <v xml:space="preserve">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r="118" s="1635" customFormat="1" ht="18.75" hidden="1" customHeight="1">
      <c r="A118" s="1780"/>
      <c r="B118" s="1780"/>
      <c r="C118" s="369" t="s">
        <v>1149</v>
      </c>
      <c r="D118" s="2462"/>
      <c r="E118" s="2204"/>
      <c r="F118" s="2383"/>
      <c r="G118" s="2427"/>
      <c r="H118" s="1500"/>
      <c r="I118" s="651" t="s">
        <v>1148</v>
      </c>
      <c r="J118" s="571"/>
      <c r="K118" s="1500"/>
      <c r="L118" s="214"/>
      <c r="M118" s="341"/>
      <c r="N118" s="334"/>
      <c r="O118" s="1624"/>
      <c r="P118" s="1624"/>
      <c r="AH118" s="1631">
        <v>0</v>
      </c>
    </row>
    <row r="119" s="1635" customFormat="1" ht="0.75" hidden="1" customHeight="1">
      <c r="A119" s="1780"/>
      <c r="B119" s="1780"/>
      <c r="C119" s="369" t="s">
        <v>1157</v>
      </c>
      <c r="D119" s="2462"/>
      <c r="E119" s="2204"/>
      <c r="F119" s="2383"/>
      <c r="G119" s="400"/>
      <c r="H119" s="1500"/>
      <c r="I119" s="651"/>
      <c r="J119" s="571"/>
      <c r="K119" s="1500"/>
      <c r="L119" s="214"/>
      <c r="M119" s="341"/>
      <c r="N119" s="334"/>
      <c r="O119" s="1624"/>
      <c r="P119" s="1624"/>
      <c r="AH119" s="1631">
        <v>0</v>
      </c>
    </row>
    <row r="120" s="1635" customFormat="1" ht="18.75" hidden="1" customHeight="1">
      <c r="A120" s="1780" t="s">
        <v>239</v>
      </c>
      <c r="B120" s="1780" t="s">
        <v>240</v>
      </c>
      <c r="C120" s="369"/>
      <c r="D120" s="2462"/>
      <c r="E120" s="2204"/>
      <c r="F120" s="2383" t="str">
        <f>INDEX(PT_DIFFERENTIATION_VTAR,MATCH(A120,PT_DIFFERENTIATION_VTAR_ID,0))</f>
        <v xml:space="preserve">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r="121" s="1635" customFormat="1" ht="18.75" hidden="1" customHeight="1">
      <c r="A121" s="1780"/>
      <c r="B121" s="1780"/>
      <c r="C121" s="369" t="s">
        <v>1149</v>
      </c>
      <c r="D121" s="2462"/>
      <c r="E121" s="2204"/>
      <c r="F121" s="2383"/>
      <c r="G121" s="2427"/>
      <c r="H121" s="1500"/>
      <c r="I121" s="651" t="s">
        <v>1148</v>
      </c>
      <c r="J121" s="571"/>
      <c r="K121" s="1500"/>
      <c r="L121" s="214"/>
      <c r="M121" s="341"/>
      <c r="N121" s="334"/>
      <c r="O121" s="1624"/>
      <c r="P121" s="1624"/>
      <c r="AH121" s="1631">
        <v>0</v>
      </c>
    </row>
    <row r="122" s="1635" customFormat="1" ht="0.75" hidden="1" customHeight="1">
      <c r="A122" s="1780"/>
      <c r="B122" s="1780"/>
      <c r="C122" s="369" t="s">
        <v>1157</v>
      </c>
      <c r="D122" s="2462"/>
      <c r="E122" s="2204"/>
      <c r="F122" s="2383"/>
      <c r="G122" s="400"/>
      <c r="H122" s="1500"/>
      <c r="I122" s="651"/>
      <c r="J122" s="571"/>
      <c r="K122" s="1500"/>
      <c r="L122" s="214"/>
      <c r="M122" s="341"/>
      <c r="N122" s="334"/>
      <c r="O122" s="1624"/>
      <c r="P122" s="1624"/>
      <c r="AH122" s="1631">
        <v>0</v>
      </c>
    </row>
    <row r="123" s="1635" customFormat="1" ht="18.75" hidden="1" customHeight="1">
      <c r="A123" s="1780" t="s">
        <v>244</v>
      </c>
      <c r="B123" s="1780" t="s">
        <v>245</v>
      </c>
      <c r="C123" s="369"/>
      <c r="D123" s="2462"/>
      <c r="E123" s="2204"/>
      <c r="F123" s="2383" t="str">
        <f>INDEX(PT_DIFFERENTIATION_VTAR,MATCH(A123,PT_DIFFERENTIATION_VTAR_ID,0))</f>
        <v xml:space="preserve">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r="124" s="1635" customFormat="1" ht="18.75" hidden="1" customHeight="1">
      <c r="A124" s="1780"/>
      <c r="B124" s="1780"/>
      <c r="C124" s="369" t="s">
        <v>1149</v>
      </c>
      <c r="D124" s="2462"/>
      <c r="E124" s="2204"/>
      <c r="F124" s="2383"/>
      <c r="G124" s="2427"/>
      <c r="H124" s="1500"/>
      <c r="I124" s="651" t="s">
        <v>1148</v>
      </c>
      <c r="J124" s="571"/>
      <c r="K124" s="1500"/>
      <c r="L124" s="214"/>
      <c r="M124" s="341"/>
      <c r="N124" s="334"/>
      <c r="O124" s="1624"/>
      <c r="P124" s="1624"/>
      <c r="AH124" s="1631">
        <v>0</v>
      </c>
    </row>
    <row r="125" s="1635" customFormat="1" ht="0.75" hidden="1" customHeight="1">
      <c r="A125" s="1780"/>
      <c r="B125" s="1780"/>
      <c r="C125" s="369" t="s">
        <v>1157</v>
      </c>
      <c r="D125" s="2462"/>
      <c r="E125" s="2204"/>
      <c r="F125" s="2383"/>
      <c r="G125" s="400"/>
      <c r="H125" s="1500"/>
      <c r="I125" s="651"/>
      <c r="J125" s="571"/>
      <c r="K125" s="1500"/>
      <c r="L125" s="214"/>
      <c r="M125" s="341"/>
      <c r="N125" s="334"/>
      <c r="O125" s="1624"/>
      <c r="P125" s="1624"/>
      <c r="AH125" s="1631">
        <v>0</v>
      </c>
    </row>
    <row r="126" s="1635" customFormat="1" ht="18.75" hidden="1" customHeight="1">
      <c r="A126" s="1780" t="s">
        <v>249</v>
      </c>
      <c r="B126" s="1780" t="s">
        <v>250</v>
      </c>
      <c r="C126" s="369"/>
      <c r="D126" s="2462"/>
      <c r="E126" s="2204"/>
      <c r="F126" s="2383"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r="127" s="1635" customFormat="1" ht="18.75" hidden="1" customHeight="1">
      <c r="A127" s="1780"/>
      <c r="B127" s="1780"/>
      <c r="C127" s="369" t="s">
        <v>1149</v>
      </c>
      <c r="D127" s="2462"/>
      <c r="E127" s="2204"/>
      <c r="F127" s="2383"/>
      <c r="G127" s="2427"/>
      <c r="H127" s="1500"/>
      <c r="I127" s="651" t="s">
        <v>1148</v>
      </c>
      <c r="J127" s="571"/>
      <c r="K127" s="1500"/>
      <c r="L127" s="214"/>
      <c r="M127" s="341"/>
      <c r="N127" s="334"/>
      <c r="O127" s="1624"/>
      <c r="P127" s="1624"/>
      <c r="AH127" s="1631">
        <v>0</v>
      </c>
    </row>
    <row r="128" s="1635" customFormat="1" ht="0.75" hidden="1" customHeight="1">
      <c r="A128" s="1780"/>
      <c r="B128" s="1780"/>
      <c r="C128" s="369" t="s">
        <v>1157</v>
      </c>
      <c r="D128" s="2462"/>
      <c r="E128" s="2204"/>
      <c r="F128" s="2383"/>
      <c r="G128" s="400"/>
      <c r="H128" s="1500"/>
      <c r="I128" s="651"/>
      <c r="J128" s="571"/>
      <c r="K128" s="1500"/>
      <c r="L128" s="214"/>
      <c r="M128" s="341"/>
      <c r="N128" s="334"/>
      <c r="O128" s="1624"/>
      <c r="P128" s="1624"/>
      <c r="AH128" s="1631">
        <v>0</v>
      </c>
    </row>
    <row r="129" s="1635" customFormat="1" ht="18.75" hidden="1" customHeight="1">
      <c r="A129" s="1780" t="s">
        <v>254</v>
      </c>
      <c r="B129" s="1780" t="s">
        <v>255</v>
      </c>
      <c r="C129" s="369"/>
      <c r="D129" s="2462"/>
      <c r="E129" s="2204"/>
      <c r="F129" s="2383" t="str">
        <f>INDEX(PT_DIFFERENTIATION_VTAR,MATCH(A129,PT_DIFFERENTIATION_VTAR_ID,0))</f>
        <v xml:space="preserve">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r="130" s="1635" customFormat="1" ht="18.75" hidden="1" customHeight="1">
      <c r="A130" s="1780"/>
      <c r="B130" s="1780"/>
      <c r="C130" s="369" t="s">
        <v>1149</v>
      </c>
      <c r="D130" s="2462"/>
      <c r="E130" s="2204"/>
      <c r="F130" s="2383"/>
      <c r="G130" s="2427"/>
      <c r="H130" s="1500"/>
      <c r="I130" s="651" t="s">
        <v>1148</v>
      </c>
      <c r="J130" s="571"/>
      <c r="K130" s="1500"/>
      <c r="L130" s="214"/>
      <c r="M130" s="341"/>
      <c r="N130" s="334"/>
      <c r="O130" s="1624"/>
      <c r="P130" s="1624"/>
      <c r="AH130" s="1631">
        <v>0</v>
      </c>
    </row>
    <row r="131" s="1635" customFormat="1" ht="0.75" hidden="1" customHeight="1">
      <c r="A131" s="1780"/>
      <c r="B131" s="1780"/>
      <c r="C131" s="369" t="s">
        <v>1157</v>
      </c>
      <c r="D131" s="2462"/>
      <c r="E131" s="2204"/>
      <c r="F131" s="2383"/>
      <c r="G131" s="400"/>
      <c r="H131" s="1500"/>
      <c r="I131" s="651"/>
      <c r="J131" s="571"/>
      <c r="K131" s="1500"/>
      <c r="L131" s="214"/>
      <c r="M131" s="341"/>
      <c r="N131" s="334"/>
      <c r="O131" s="1624"/>
      <c r="P131" s="1624"/>
      <c r="AH131" s="1631">
        <v>0</v>
      </c>
    </row>
    <row r="132" s="1635" customFormat="1" ht="18.75" hidden="1" customHeight="1">
      <c r="A132" s="1780" t="s">
        <v>259</v>
      </c>
      <c r="B132" s="1780" t="s">
        <v>260</v>
      </c>
      <c r="C132" s="369"/>
      <c r="D132" s="2462"/>
      <c r="E132" s="2204"/>
      <c r="F132" s="2383" t="str">
        <f>INDEX(PT_DIFFERENTIATION_VTAR,MATCH(A132,PT_DIFFERENTIATION_VTAR_ID,0))</f>
        <v xml:space="preserve">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r="133" s="1635" customFormat="1" ht="18.75" hidden="1" customHeight="1">
      <c r="A133" s="1780"/>
      <c r="B133" s="1780"/>
      <c r="C133" s="369" t="s">
        <v>1149</v>
      </c>
      <c r="D133" s="2462"/>
      <c r="E133" s="2204"/>
      <c r="F133" s="2383"/>
      <c r="G133" s="2427"/>
      <c r="H133" s="1500"/>
      <c r="I133" s="651" t="s">
        <v>1148</v>
      </c>
      <c r="J133" s="571"/>
      <c r="K133" s="1500"/>
      <c r="L133" s="214"/>
      <c r="M133" s="341"/>
      <c r="N133" s="334"/>
      <c r="O133" s="1624"/>
      <c r="P133" s="1624"/>
      <c r="AH133" s="1631">
        <v>0</v>
      </c>
    </row>
    <row r="134" s="1635" customFormat="1" ht="0.75" hidden="1" customHeight="1">
      <c r="A134" s="1780"/>
      <c r="B134" s="1780"/>
      <c r="C134" s="369" t="s">
        <v>1157</v>
      </c>
      <c r="D134" s="2462"/>
      <c r="E134" s="2204"/>
      <c r="F134" s="2383"/>
      <c r="G134" s="400"/>
      <c r="H134" s="1500"/>
      <c r="I134" s="651"/>
      <c r="J134" s="571"/>
      <c r="K134" s="1500"/>
      <c r="L134" s="214"/>
      <c r="M134" s="341"/>
      <c r="N134" s="334"/>
      <c r="O134" s="1624"/>
      <c r="P134" s="1624"/>
      <c r="AH134" s="1631">
        <v>0</v>
      </c>
    </row>
    <row r="135" s="1635" customFormat="1" ht="18.75" hidden="1" customHeight="1">
      <c r="A135" s="1780" t="s">
        <v>264</v>
      </c>
      <c r="B135" s="1780" t="s">
        <v>265</v>
      </c>
      <c r="C135" s="369"/>
      <c r="D135" s="2462"/>
      <c r="E135" s="2204"/>
      <c r="F135" s="2383"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r="136" s="1635" customFormat="1" ht="18.75" hidden="1" customHeight="1">
      <c r="A136" s="1780"/>
      <c r="B136" s="1780"/>
      <c r="C136" s="369" t="s">
        <v>1149</v>
      </c>
      <c r="D136" s="2462"/>
      <c r="E136" s="2204"/>
      <c r="F136" s="2383"/>
      <c r="G136" s="2427"/>
      <c r="H136" s="1500"/>
      <c r="I136" s="651" t="s">
        <v>1148</v>
      </c>
      <c r="J136" s="571"/>
      <c r="K136" s="1500"/>
      <c r="L136" s="214"/>
      <c r="M136" s="341"/>
      <c r="N136" s="334"/>
      <c r="O136" s="1624"/>
      <c r="P136" s="1624"/>
      <c r="AH136" s="1631">
        <v>0</v>
      </c>
    </row>
    <row r="137" s="1635" customFormat="1" ht="0.75" hidden="1" customHeight="1">
      <c r="A137" s="1780"/>
      <c r="B137" s="1780"/>
      <c r="C137" s="369" t="s">
        <v>1157</v>
      </c>
      <c r="D137" s="2462"/>
      <c r="E137" s="2204"/>
      <c r="F137" s="2383"/>
      <c r="G137" s="400"/>
      <c r="H137" s="1500"/>
      <c r="I137" s="651"/>
      <c r="J137" s="571"/>
      <c r="K137" s="1500"/>
      <c r="L137" s="214"/>
      <c r="M137" s="341"/>
      <c r="N137" s="334"/>
      <c r="O137" s="1624"/>
      <c r="P137" s="1624"/>
      <c r="AH137" s="1631">
        <v>0</v>
      </c>
    </row>
    <row r="138" s="1635" customFormat="1" ht="18.75" hidden="1" customHeight="1">
      <c r="A138" s="1780" t="s">
        <v>269</v>
      </c>
      <c r="B138" s="1780" t="s">
        <v>270</v>
      </c>
      <c r="C138" s="369"/>
      <c r="D138" s="2462"/>
      <c r="E138" s="2204"/>
      <c r="F138" s="2383" t="str">
        <f>INDEX(PT_DIFFERENTIATION_VTAR,MATCH(A138,PT_DIFFERENTIATION_VTAR_ID,0))</f>
        <v xml:space="preserve">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r="139" s="1635" customFormat="1" ht="18.75" hidden="1" customHeight="1">
      <c r="A139" s="1780"/>
      <c r="B139" s="1780"/>
      <c r="C139" s="369" t="s">
        <v>1149</v>
      </c>
      <c r="D139" s="2462"/>
      <c r="E139" s="2204"/>
      <c r="F139" s="2383"/>
      <c r="G139" s="2427"/>
      <c r="H139" s="1500"/>
      <c r="I139" s="651" t="s">
        <v>1148</v>
      </c>
      <c r="J139" s="571"/>
      <c r="K139" s="1500"/>
      <c r="L139" s="214"/>
      <c r="M139" s="341"/>
      <c r="N139" s="334"/>
      <c r="O139" s="1624"/>
      <c r="P139" s="1624"/>
      <c r="AH139" s="1631">
        <v>0</v>
      </c>
    </row>
    <row r="140" s="1635" customFormat="1" ht="0.75" hidden="1" customHeight="1">
      <c r="A140" s="1780"/>
      <c r="B140" s="1780"/>
      <c r="C140" s="369" t="s">
        <v>1157</v>
      </c>
      <c r="D140" s="2462"/>
      <c r="E140" s="2204"/>
      <c r="F140" s="2383"/>
      <c r="G140" s="400"/>
      <c r="H140" s="1500"/>
      <c r="I140" s="651"/>
      <c r="J140" s="571"/>
      <c r="K140" s="1500"/>
      <c r="L140" s="214"/>
      <c r="M140" s="341"/>
      <c r="N140" s="334"/>
      <c r="O140" s="1624"/>
      <c r="P140" s="1624"/>
      <c r="AH140" s="1631">
        <v>0</v>
      </c>
    </row>
    <row r="141" s="1635" customFormat="1" ht="18.75" hidden="1" customHeight="1">
      <c r="A141" s="1780" t="s">
        <v>274</v>
      </c>
      <c r="B141" s="1780" t="s">
        <v>275</v>
      </c>
      <c r="C141" s="369"/>
      <c r="D141" s="2462"/>
      <c r="E141" s="2204"/>
      <c r="F141" s="2383" t="str">
        <f>INDEX(PT_DIFFERENTIATION_VTAR,MATCH(A141,PT_DIFFERENTIATION_VTAR_ID,0))</f>
        <v xml:space="preserve">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r="142" s="1635" customFormat="1" ht="18.75" hidden="1" customHeight="1">
      <c r="A142" s="1780"/>
      <c r="B142" s="1780"/>
      <c r="C142" s="369" t="s">
        <v>1149</v>
      </c>
      <c r="D142" s="2462"/>
      <c r="E142" s="2204"/>
      <c r="F142" s="2383"/>
      <c r="G142" s="2427"/>
      <c r="H142" s="1500"/>
      <c r="I142" s="651" t="s">
        <v>1148</v>
      </c>
      <c r="J142" s="571"/>
      <c r="K142" s="1500"/>
      <c r="L142" s="214"/>
      <c r="M142" s="341"/>
      <c r="N142" s="334"/>
      <c r="O142" s="1624"/>
      <c r="P142" s="1624"/>
      <c r="AH142" s="1631">
        <v>0</v>
      </c>
    </row>
    <row r="143" s="1635" customFormat="1" ht="0.75" hidden="1" customHeight="1">
      <c r="A143" s="1780"/>
      <c r="B143" s="1780"/>
      <c r="C143" s="369" t="s">
        <v>1157</v>
      </c>
      <c r="D143" s="2462"/>
      <c r="E143" s="2204"/>
      <c r="F143" s="2383"/>
      <c r="G143" s="400"/>
      <c r="H143" s="1500"/>
      <c r="I143" s="651"/>
      <c r="J143" s="571"/>
      <c r="K143" s="1500"/>
      <c r="L143" s="214"/>
      <c r="M143" s="341"/>
      <c r="N143" s="334"/>
      <c r="O143" s="1624"/>
      <c r="P143" s="1624"/>
      <c r="AH143" s="1631">
        <v>0</v>
      </c>
    </row>
    <row r="144" s="1635" customFormat="1" ht="18.75" hidden="1" customHeight="1">
      <c r="A144" s="1780" t="s">
        <v>279</v>
      </c>
      <c r="B144" s="1780" t="s">
        <v>280</v>
      </c>
      <c r="C144" s="369"/>
      <c r="D144" s="2462"/>
      <c r="E144" s="2204"/>
      <c r="F144" s="2383"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r="145" s="1635" customFormat="1" ht="18.75" hidden="1" customHeight="1">
      <c r="A145" s="1780"/>
      <c r="B145" s="1780"/>
      <c r="C145" s="369" t="s">
        <v>1149</v>
      </c>
      <c r="D145" s="2462"/>
      <c r="E145" s="2204"/>
      <c r="F145" s="2383"/>
      <c r="G145" s="2427"/>
      <c r="H145" s="1500"/>
      <c r="I145" s="651" t="s">
        <v>1148</v>
      </c>
      <c r="J145" s="571"/>
      <c r="K145" s="1500"/>
      <c r="L145" s="214"/>
      <c r="M145" s="341"/>
      <c r="N145" s="334"/>
      <c r="O145" s="1624"/>
      <c r="P145" s="1624"/>
      <c r="AH145" s="1631">
        <v>0</v>
      </c>
    </row>
    <row r="146" s="1635" customFormat="1" ht="1.05" customHeight="1">
      <c r="A146" s="1780"/>
      <c r="B146" s="1780"/>
      <c r="C146" s="369" t="s">
        <v>1157</v>
      </c>
      <c r="D146" s="2462"/>
      <c r="E146" s="2204"/>
      <c r="F146" s="2383"/>
      <c r="G146" s="400"/>
      <c r="H146" s="1500"/>
      <c r="I146" s="651"/>
      <c r="J146" s="571"/>
      <c r="K146" s="1500"/>
      <c r="L146" s="214"/>
      <c r="M146" s="341"/>
      <c r="N146" s="334"/>
      <c r="O146" s="1624"/>
      <c r="P146" s="1624"/>
      <c r="AH146" s="1631">
        <v>1</v>
      </c>
    </row>
    <row r="147" ht="19.949999999999999" customHeight="1">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0"/>
      <c r="H147" s="2460"/>
      <c r="I147" s="2460"/>
      <c r="J147" s="2460"/>
      <c r="K147" s="2460"/>
      <c r="L147" s="2460"/>
      <c r="M147" s="297"/>
      <c r="N147" s="334"/>
      <c r="AH147" s="374">
        <v>19</v>
      </c>
    </row>
    <row r="148" s="1635" customFormat="1" ht="60.75" hidden="1" customHeight="1">
      <c r="A148" s="1780" t="s">
        <v>154</v>
      </c>
      <c r="B148" s="1780" t="s">
        <v>155</v>
      </c>
      <c r="C148" s="369"/>
      <c r="D148" s="2462"/>
      <c r="E148" s="2204"/>
      <c r="F148" s="2383"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r="149" s="1635" customFormat="1" ht="18.75" hidden="1" customHeight="1">
      <c r="A149" s="1780"/>
      <c r="B149" s="1780"/>
      <c r="C149" s="369" t="s">
        <v>1149</v>
      </c>
      <c r="D149" s="2462"/>
      <c r="E149" s="2204"/>
      <c r="F149" s="2383"/>
      <c r="G149" s="2427"/>
      <c r="H149" s="1500"/>
      <c r="I149" s="651" t="s">
        <v>1148</v>
      </c>
      <c r="J149" s="571"/>
      <c r="K149" s="1500"/>
      <c r="L149" s="214"/>
      <c r="M149" s="2170"/>
      <c r="N149" s="334"/>
      <c r="O149" s="1624"/>
      <c r="P149" s="1624"/>
      <c r="AH149" s="1631">
        <v>0</v>
      </c>
    </row>
    <row r="150" s="1635" customFormat="1" ht="0.75" hidden="1" customHeight="1">
      <c r="A150" s="1780"/>
      <c r="B150" s="1780"/>
      <c r="C150" s="369" t="s">
        <v>1157</v>
      </c>
      <c r="D150" s="2462"/>
      <c r="E150" s="2204"/>
      <c r="F150" s="2383"/>
      <c r="G150" s="400"/>
      <c r="H150" s="1500"/>
      <c r="I150" s="651"/>
      <c r="J150" s="571"/>
      <c r="K150" s="1500"/>
      <c r="L150" s="214"/>
      <c r="M150" s="2170"/>
      <c r="N150" s="334"/>
      <c r="O150" s="1624"/>
      <c r="P150" s="1624"/>
      <c r="AH150" s="1631">
        <v>0</v>
      </c>
    </row>
    <row r="151" s="1635" customFormat="1" ht="45" hidden="1" customHeight="1">
      <c r="A151" s="1780" t="s">
        <v>160</v>
      </c>
      <c r="B151" s="1780" t="s">
        <v>161</v>
      </c>
      <c r="C151" s="369"/>
      <c r="D151" s="2462"/>
      <c r="E151" s="2204"/>
      <c r="F151" s="2383"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r="152" s="1635" customFormat="1" ht="18.75" hidden="1" customHeight="1">
      <c r="A152" s="1780"/>
      <c r="B152" s="1780"/>
      <c r="C152" s="369" t="s">
        <v>1149</v>
      </c>
      <c r="D152" s="2462"/>
      <c r="E152" s="2204"/>
      <c r="F152" s="2383"/>
      <c r="G152" s="2427"/>
      <c r="H152" s="1500"/>
      <c r="I152" s="651" t="s">
        <v>1148</v>
      </c>
      <c r="J152" s="571"/>
      <c r="K152" s="1500"/>
      <c r="L152" s="214"/>
      <c r="M152" s="1861"/>
      <c r="N152" s="334"/>
      <c r="O152" s="1624"/>
      <c r="P152" s="1624"/>
      <c r="AH152" s="1631">
        <v>0</v>
      </c>
    </row>
    <row r="153" s="1635" customFormat="1" ht="0.75" hidden="1" customHeight="1">
      <c r="A153" s="1780"/>
      <c r="B153" s="1780"/>
      <c r="C153" s="369" t="s">
        <v>1157</v>
      </c>
      <c r="D153" s="2462"/>
      <c r="E153" s="2204"/>
      <c r="F153" s="2383"/>
      <c r="G153" s="400"/>
      <c r="H153" s="1500"/>
      <c r="I153" s="651"/>
      <c r="J153" s="571"/>
      <c r="K153" s="1500"/>
      <c r="L153" s="214"/>
      <c r="M153" s="341"/>
      <c r="N153" s="334"/>
      <c r="O153" s="1624"/>
      <c r="P153" s="1624"/>
      <c r="AH153" s="1631">
        <v>0</v>
      </c>
    </row>
    <row r="154" s="1635" customFormat="1" ht="45" hidden="1" customHeight="1">
      <c r="A154" s="1780" t="s">
        <v>166</v>
      </c>
      <c r="B154" s="1780" t="s">
        <v>167</v>
      </c>
      <c r="C154" s="369"/>
      <c r="D154" s="2462"/>
      <c r="E154" s="2204"/>
      <c r="F154" s="2383"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r="155" s="1635" customFormat="1" ht="18.75" hidden="1" customHeight="1">
      <c r="A155" s="1780"/>
      <c r="B155" s="1780"/>
      <c r="C155" s="369" t="s">
        <v>1149</v>
      </c>
      <c r="D155" s="2462"/>
      <c r="E155" s="2204"/>
      <c r="F155" s="2383"/>
      <c r="G155" s="2427"/>
      <c r="H155" s="1500"/>
      <c r="I155" s="651" t="s">
        <v>1148</v>
      </c>
      <c r="J155" s="571"/>
      <c r="K155" s="1500"/>
      <c r="L155" s="214"/>
      <c r="M155" s="341"/>
      <c r="N155" s="334"/>
      <c r="O155" s="1624"/>
      <c r="P155" s="1624"/>
      <c r="AH155" s="1631">
        <v>0</v>
      </c>
    </row>
    <row r="156" s="1635" customFormat="1" ht="0.75" hidden="1" customHeight="1">
      <c r="A156" s="1780"/>
      <c r="B156" s="1780"/>
      <c r="C156" s="369" t="s">
        <v>1157</v>
      </c>
      <c r="D156" s="2462"/>
      <c r="E156" s="2204"/>
      <c r="F156" s="2383"/>
      <c r="G156" s="400"/>
      <c r="H156" s="1500"/>
      <c r="I156" s="651"/>
      <c r="J156" s="571"/>
      <c r="K156" s="1500"/>
      <c r="L156" s="214"/>
      <c r="M156" s="341"/>
      <c r="N156" s="334"/>
      <c r="O156" s="1624"/>
      <c r="P156" s="1624"/>
      <c r="AH156" s="1631">
        <v>0</v>
      </c>
    </row>
    <row r="157" s="1635" customFormat="1" ht="45" hidden="1" customHeight="1">
      <c r="A157" s="1780" t="s">
        <v>172</v>
      </c>
      <c r="B157" s="1780" t="s">
        <v>173</v>
      </c>
      <c r="C157" s="369"/>
      <c r="D157" s="2462"/>
      <c r="E157" s="2204"/>
      <c r="F157" s="2383"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r="158" s="1635" customFormat="1" ht="18.75" hidden="1" customHeight="1">
      <c r="A158" s="1780"/>
      <c r="B158" s="1780"/>
      <c r="C158" s="369" t="s">
        <v>1149</v>
      </c>
      <c r="D158" s="2462"/>
      <c r="E158" s="2204"/>
      <c r="F158" s="2383"/>
      <c r="G158" s="2427"/>
      <c r="H158" s="1500"/>
      <c r="I158" s="651" t="s">
        <v>1148</v>
      </c>
      <c r="J158" s="571"/>
      <c r="K158" s="1500"/>
      <c r="L158" s="214"/>
      <c r="M158" s="341"/>
      <c r="N158" s="334"/>
      <c r="O158" s="1624"/>
      <c r="P158" s="1624"/>
      <c r="AH158" s="1631">
        <v>0</v>
      </c>
    </row>
    <row r="159" s="1635" customFormat="1" ht="0.75" hidden="1" customHeight="1">
      <c r="A159" s="1780"/>
      <c r="B159" s="1780"/>
      <c r="C159" s="369" t="s">
        <v>1157</v>
      </c>
      <c r="D159" s="2462"/>
      <c r="E159" s="2204"/>
      <c r="F159" s="2383"/>
      <c r="G159" s="400"/>
      <c r="H159" s="1500"/>
      <c r="I159" s="651"/>
      <c r="J159" s="571"/>
      <c r="K159" s="1500"/>
      <c r="L159" s="214"/>
      <c r="M159" s="341"/>
      <c r="N159" s="334"/>
      <c r="O159" s="1624"/>
      <c r="P159" s="1624"/>
      <c r="AH159" s="1631">
        <v>0</v>
      </c>
    </row>
    <row r="160" s="1635" customFormat="1" ht="18.75" hidden="1" customHeight="1">
      <c r="A160" s="1780" t="s">
        <v>178</v>
      </c>
      <c r="B160" s="1780" t="s">
        <v>179</v>
      </c>
      <c r="C160" s="369"/>
      <c r="D160" s="2462"/>
      <c r="E160" s="2204"/>
      <c r="F160" s="2383" t="str">
        <f>INDEX(PT_DIFFERENTIATION_VTAR,MATCH(A160,PT_DIFFERENTIATION_VTAR_ID,0))</f>
        <v xml:space="preserve">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r="161" s="1635" customFormat="1" ht="18.75" hidden="1" customHeight="1">
      <c r="A161" s="1780"/>
      <c r="B161" s="1780"/>
      <c r="C161" s="369" t="s">
        <v>1149</v>
      </c>
      <c r="D161" s="2462"/>
      <c r="E161" s="2204"/>
      <c r="F161" s="2383"/>
      <c r="G161" s="2427"/>
      <c r="H161" s="1500"/>
      <c r="I161" s="651" t="s">
        <v>1148</v>
      </c>
      <c r="J161" s="571"/>
      <c r="K161" s="1500"/>
      <c r="L161" s="214"/>
      <c r="M161" s="341"/>
      <c r="N161" s="334"/>
      <c r="O161" s="1624"/>
      <c r="P161" s="1624"/>
      <c r="AH161" s="1631">
        <v>0</v>
      </c>
    </row>
    <row r="162" s="1635" customFormat="1" ht="0.75" hidden="1" customHeight="1">
      <c r="A162" s="1780"/>
      <c r="B162" s="1780"/>
      <c r="C162" s="369" t="s">
        <v>1157</v>
      </c>
      <c r="D162" s="2462"/>
      <c r="E162" s="2204"/>
      <c r="F162" s="2383"/>
      <c r="G162" s="400"/>
      <c r="H162" s="1500"/>
      <c r="I162" s="651"/>
      <c r="J162" s="571"/>
      <c r="K162" s="1500"/>
      <c r="L162" s="214"/>
      <c r="M162" s="341"/>
      <c r="N162" s="334"/>
      <c r="O162" s="1624"/>
      <c r="P162" s="1624"/>
      <c r="AH162" s="1631">
        <v>0</v>
      </c>
    </row>
    <row r="163" s="1635" customFormat="1" ht="18.75" hidden="1" customHeight="1">
      <c r="A163" s="1780" t="s">
        <v>184</v>
      </c>
      <c r="B163" s="1780" t="s">
        <v>185</v>
      </c>
      <c r="C163" s="369"/>
      <c r="D163" s="2462"/>
      <c r="E163" s="2204"/>
      <c r="F163" s="2383" t="str">
        <f>INDEX(PT_DIFFERENTIATION_VTAR,MATCH(A163,PT_DIFFERENTIATION_VTAR_ID,0))</f>
        <v xml:space="preserve">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r="164" s="1635" customFormat="1" ht="18.75" hidden="1" customHeight="1">
      <c r="A164" s="1780"/>
      <c r="B164" s="1780"/>
      <c r="C164" s="369" t="s">
        <v>1149</v>
      </c>
      <c r="D164" s="2462"/>
      <c r="E164" s="2204"/>
      <c r="F164" s="2383"/>
      <c r="G164" s="2427"/>
      <c r="H164" s="1500"/>
      <c r="I164" s="651" t="s">
        <v>1148</v>
      </c>
      <c r="J164" s="571"/>
      <c r="K164" s="1500"/>
      <c r="L164" s="214"/>
      <c r="M164" s="341"/>
      <c r="N164" s="334"/>
      <c r="O164" s="1624"/>
      <c r="P164" s="1624"/>
      <c r="AH164" s="1631">
        <v>0</v>
      </c>
    </row>
    <row r="165" s="1635" customFormat="1" ht="0.75" hidden="1" customHeight="1">
      <c r="A165" s="1780"/>
      <c r="B165" s="1780"/>
      <c r="C165" s="369" t="s">
        <v>1157</v>
      </c>
      <c r="D165" s="2462"/>
      <c r="E165" s="2204"/>
      <c r="F165" s="2383"/>
      <c r="G165" s="400"/>
      <c r="H165" s="1500"/>
      <c r="I165" s="651"/>
      <c r="J165" s="571"/>
      <c r="K165" s="1500"/>
      <c r="L165" s="214"/>
      <c r="M165" s="341"/>
      <c r="N165" s="334"/>
      <c r="O165" s="1624"/>
      <c r="P165" s="1624"/>
      <c r="AH165" s="1631">
        <v>0</v>
      </c>
    </row>
    <row r="166" s="1635" customFormat="1" ht="18.75" hidden="1" customHeight="1">
      <c r="A166" s="1780" t="s">
        <v>190</v>
      </c>
      <c r="B166" s="1780" t="s">
        <v>191</v>
      </c>
      <c r="C166" s="369"/>
      <c r="D166" s="2462"/>
      <c r="E166" s="2204"/>
      <c r="F166" s="2383"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r="167" s="1635" customFormat="1" ht="18.75" hidden="1" customHeight="1">
      <c r="A167" s="1780"/>
      <c r="B167" s="1780"/>
      <c r="C167" s="369" t="s">
        <v>1149</v>
      </c>
      <c r="D167" s="2462"/>
      <c r="E167" s="2204"/>
      <c r="F167" s="2383"/>
      <c r="G167" s="2427"/>
      <c r="H167" s="1500"/>
      <c r="I167" s="651" t="s">
        <v>1148</v>
      </c>
      <c r="J167" s="571"/>
      <c r="K167" s="1500"/>
      <c r="L167" s="214"/>
      <c r="M167" s="341"/>
      <c r="N167" s="334"/>
      <c r="O167" s="1624"/>
      <c r="P167" s="1624"/>
      <c r="AH167" s="1631">
        <v>0</v>
      </c>
    </row>
    <row r="168" s="1635" customFormat="1" ht="0.75" hidden="1" customHeight="1">
      <c r="A168" s="1780"/>
      <c r="B168" s="1780"/>
      <c r="C168" s="369" t="s">
        <v>1157</v>
      </c>
      <c r="D168" s="2462"/>
      <c r="E168" s="2204"/>
      <c r="F168" s="2383"/>
      <c r="G168" s="400"/>
      <c r="H168" s="1500"/>
      <c r="I168" s="651"/>
      <c r="J168" s="571"/>
      <c r="K168" s="1500"/>
      <c r="L168" s="214"/>
      <c r="M168" s="341"/>
      <c r="N168" s="334"/>
      <c r="O168" s="1624"/>
      <c r="P168" s="1624"/>
      <c r="AH168" s="1631">
        <v>0</v>
      </c>
    </row>
    <row r="169" s="1635" customFormat="1" ht="18.75" hidden="1" customHeight="1">
      <c r="A169" s="1780" t="s">
        <v>196</v>
      </c>
      <c r="B169" s="1780" t="s">
        <v>197</v>
      </c>
      <c r="C169" s="369"/>
      <c r="D169" s="2462"/>
      <c r="E169" s="2204"/>
      <c r="F169" s="2383" t="str">
        <f>INDEX(PT_DIFFERENTIATION_VTAR,MATCH(A169,PT_DIFFERENTIATION_VTAR_ID,0))</f>
        <v xml:space="preserve">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r="170" s="1635" customFormat="1" ht="18.75" hidden="1" customHeight="1">
      <c r="A170" s="1780"/>
      <c r="B170" s="1780"/>
      <c r="C170" s="369" t="s">
        <v>1149</v>
      </c>
      <c r="D170" s="2462"/>
      <c r="E170" s="2204"/>
      <c r="F170" s="2383"/>
      <c r="G170" s="2427"/>
      <c r="H170" s="1500"/>
      <c r="I170" s="651" t="s">
        <v>1148</v>
      </c>
      <c r="J170" s="571"/>
      <c r="K170" s="1500"/>
      <c r="L170" s="214"/>
      <c r="M170" s="341"/>
      <c r="N170" s="334"/>
      <c r="O170" s="1624"/>
      <c r="P170" s="1624"/>
      <c r="AH170" s="1631">
        <v>0</v>
      </c>
    </row>
    <row r="171" s="1635" customFormat="1" ht="0.75" hidden="1" customHeight="1">
      <c r="A171" s="1780"/>
      <c r="B171" s="1780"/>
      <c r="C171" s="369" t="s">
        <v>1157</v>
      </c>
      <c r="D171" s="2462"/>
      <c r="E171" s="2204"/>
      <c r="F171" s="2383"/>
      <c r="G171" s="400"/>
      <c r="H171" s="1500"/>
      <c r="I171" s="651"/>
      <c r="J171" s="571"/>
      <c r="K171" s="1500"/>
      <c r="L171" s="214"/>
      <c r="M171" s="341"/>
      <c r="N171" s="334"/>
      <c r="O171" s="1624"/>
      <c r="P171" s="1624"/>
      <c r="AH171" s="1631">
        <v>0</v>
      </c>
    </row>
    <row r="172" s="1635" customFormat="1" ht="18.75" hidden="1" customHeight="1">
      <c r="A172" s="1780" t="s">
        <v>205</v>
      </c>
      <c r="B172" s="1780" t="s">
        <v>206</v>
      </c>
      <c r="C172" s="369"/>
      <c r="D172" s="2462"/>
      <c r="E172" s="2204"/>
      <c r="F172" s="2383" t="str">
        <f>INDEX(PT_DIFFERENTIATION_VTAR,MATCH(A172,PT_DIFFERENTIATION_VTAR_ID,0))</f>
        <v xml:space="preserve">Плата за подключение (технологическое присоединение) к системе теплоснабжения (индивидуальная)</v>
      </c>
      <c r="G172" s="2427" t="str">
        <f>INDEX(PT_DIFFERENTIATION_NTAR,MATCH(B172,PT_DIFFERENTIATION_NTAR_ID,0))</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310</v>
      </c>
      <c r="M172" s="341"/>
      <c r="N172" s="334"/>
      <c r="O172" s="1624"/>
      <c r="P172" s="1624"/>
      <c r="AH172" s="1631">
        <v>0</v>
      </c>
    </row>
    <row r="173" s="1635" customFormat="1" ht="18.75" hidden="1" customHeight="1">
      <c r="A173" s="1780"/>
      <c r="B173" s="1780"/>
      <c r="C173" s="369" t="s">
        <v>1149</v>
      </c>
      <c r="D173" s="2462"/>
      <c r="E173" s="2204"/>
      <c r="F173" s="2383"/>
      <c r="G173" s="2427"/>
      <c r="H173" s="1500"/>
      <c r="I173" s="651" t="s">
        <v>1148</v>
      </c>
      <c r="J173" s="571"/>
      <c r="K173" s="1500"/>
      <c r="L173" s="214"/>
      <c r="M173" s="341"/>
      <c r="N173" s="334"/>
      <c r="O173" s="1624"/>
      <c r="P173" s="1624"/>
      <c r="AH173" s="1631">
        <v>0</v>
      </c>
    </row>
    <row r="174" s="1635" customFormat="1" ht="0.75" hidden="1" customHeight="1">
      <c r="A174" s="1780"/>
      <c r="B174" s="1780"/>
      <c r="C174" s="369" t="s">
        <v>1157</v>
      </c>
      <c r="D174" s="2462"/>
      <c r="E174" s="2204"/>
      <c r="F174" s="2383"/>
      <c r="G174" s="400"/>
      <c r="H174" s="1500"/>
      <c r="I174" s="651"/>
      <c r="J174" s="571"/>
      <c r="K174" s="1500"/>
      <c r="L174" s="214"/>
      <c r="M174" s="341"/>
      <c r="N174" s="334"/>
      <c r="O174" s="1624"/>
      <c r="P174" s="1624"/>
      <c r="AH174" s="1631">
        <v>0</v>
      </c>
    </row>
    <row r="175" s="1635" customFormat="1" ht="18.75" hidden="1" customHeight="1">
      <c r="A175" s="1780" t="s">
        <v>229</v>
      </c>
      <c r="B175" s="1780" t="s">
        <v>230</v>
      </c>
      <c r="C175" s="369"/>
      <c r="D175" s="2462"/>
      <c r="E175" s="2204"/>
      <c r="F175" s="2383" t="str">
        <f>INDEX(PT_DIFFERENTIATION_VTAR,MATCH(A175,PT_DIFFERENTIATION_VTAR_ID,0))</f>
        <v xml:space="preserve">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r="176" s="1635" customFormat="1" ht="18.75" hidden="1" customHeight="1">
      <c r="A176" s="1780"/>
      <c r="B176" s="1780"/>
      <c r="C176" s="369" t="s">
        <v>1149</v>
      </c>
      <c r="D176" s="2462"/>
      <c r="E176" s="2204"/>
      <c r="F176" s="2383"/>
      <c r="G176" s="2427"/>
      <c r="H176" s="1500"/>
      <c r="I176" s="651" t="s">
        <v>1148</v>
      </c>
      <c r="J176" s="571"/>
      <c r="K176" s="1500"/>
      <c r="L176" s="214"/>
      <c r="M176" s="341"/>
      <c r="N176" s="334"/>
      <c r="O176" s="1624"/>
      <c r="P176" s="1624"/>
      <c r="AH176" s="1631">
        <v>0</v>
      </c>
    </row>
    <row r="177" s="1635" customFormat="1" ht="0.75" hidden="1" customHeight="1">
      <c r="A177" s="1780"/>
      <c r="B177" s="1780"/>
      <c r="C177" s="369" t="s">
        <v>1157</v>
      </c>
      <c r="D177" s="2462"/>
      <c r="E177" s="2204"/>
      <c r="F177" s="2383"/>
      <c r="G177" s="400"/>
      <c r="H177" s="1500"/>
      <c r="I177" s="651"/>
      <c r="J177" s="571"/>
      <c r="K177" s="1500"/>
      <c r="L177" s="214"/>
      <c r="M177" s="341"/>
      <c r="N177" s="334"/>
      <c r="O177" s="1624"/>
      <c r="P177" s="1624"/>
      <c r="AH177" s="1631">
        <v>0</v>
      </c>
    </row>
    <row r="178" s="1635" customFormat="1" ht="18.75" hidden="1" customHeight="1">
      <c r="A178" s="1780" t="s">
        <v>234</v>
      </c>
      <c r="B178" s="1780" t="s">
        <v>235</v>
      </c>
      <c r="C178" s="369"/>
      <c r="D178" s="2462"/>
      <c r="E178" s="2204"/>
      <c r="F178" s="2383" t="str">
        <f>INDEX(PT_DIFFERENTIATION_VTAR,MATCH(A178,PT_DIFFERENTIATION_VTAR_ID,0))</f>
        <v xml:space="preserve">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r="179" s="1635" customFormat="1" ht="18.75" hidden="1" customHeight="1">
      <c r="A179" s="1780"/>
      <c r="B179" s="1780"/>
      <c r="C179" s="369" t="s">
        <v>1149</v>
      </c>
      <c r="D179" s="2462"/>
      <c r="E179" s="2204"/>
      <c r="F179" s="2383"/>
      <c r="G179" s="2427"/>
      <c r="H179" s="1500"/>
      <c r="I179" s="651" t="s">
        <v>1148</v>
      </c>
      <c r="J179" s="571"/>
      <c r="K179" s="1500"/>
      <c r="L179" s="214"/>
      <c r="M179" s="341"/>
      <c r="N179" s="334"/>
      <c r="O179" s="1624"/>
      <c r="P179" s="1624"/>
      <c r="AH179" s="1631">
        <v>0</v>
      </c>
    </row>
    <row r="180" s="1635" customFormat="1" ht="0.75" hidden="1" customHeight="1">
      <c r="A180" s="1780"/>
      <c r="B180" s="1780"/>
      <c r="C180" s="369" t="s">
        <v>1157</v>
      </c>
      <c r="D180" s="2462"/>
      <c r="E180" s="2204"/>
      <c r="F180" s="2383"/>
      <c r="G180" s="400"/>
      <c r="H180" s="1500"/>
      <c r="I180" s="651"/>
      <c r="J180" s="571"/>
      <c r="K180" s="1500"/>
      <c r="L180" s="214"/>
      <c r="M180" s="341"/>
      <c r="N180" s="334"/>
      <c r="O180" s="1624"/>
      <c r="P180" s="1624"/>
      <c r="AH180" s="1631">
        <v>0</v>
      </c>
    </row>
    <row r="181" s="1635" customFormat="1" ht="18.75" hidden="1" customHeight="1">
      <c r="A181" s="1780" t="s">
        <v>239</v>
      </c>
      <c r="B181" s="1780" t="s">
        <v>240</v>
      </c>
      <c r="C181" s="369"/>
      <c r="D181" s="2462"/>
      <c r="E181" s="2204"/>
      <c r="F181" s="2383" t="str">
        <f>INDEX(PT_DIFFERENTIATION_VTAR,MATCH(A181,PT_DIFFERENTIATION_VTAR_ID,0))</f>
        <v xml:space="preserve">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r="182" s="1635" customFormat="1" ht="18.75" hidden="1" customHeight="1">
      <c r="A182" s="1780"/>
      <c r="B182" s="1780"/>
      <c r="C182" s="369" t="s">
        <v>1149</v>
      </c>
      <c r="D182" s="2462"/>
      <c r="E182" s="2204"/>
      <c r="F182" s="2383"/>
      <c r="G182" s="2427"/>
      <c r="H182" s="1500"/>
      <c r="I182" s="651" t="s">
        <v>1148</v>
      </c>
      <c r="J182" s="571"/>
      <c r="K182" s="1500"/>
      <c r="L182" s="214"/>
      <c r="M182" s="341"/>
      <c r="N182" s="334"/>
      <c r="O182" s="1624"/>
      <c r="P182" s="1624"/>
      <c r="AH182" s="1631">
        <v>0</v>
      </c>
    </row>
    <row r="183" s="1635" customFormat="1" ht="0.75" hidden="1" customHeight="1">
      <c r="A183" s="1780"/>
      <c r="B183" s="1780"/>
      <c r="C183" s="369" t="s">
        <v>1157</v>
      </c>
      <c r="D183" s="2462"/>
      <c r="E183" s="2204"/>
      <c r="F183" s="2383"/>
      <c r="G183" s="400"/>
      <c r="H183" s="1500"/>
      <c r="I183" s="651"/>
      <c r="J183" s="571"/>
      <c r="K183" s="1500"/>
      <c r="L183" s="214"/>
      <c r="M183" s="341"/>
      <c r="N183" s="334"/>
      <c r="O183" s="1624"/>
      <c r="P183" s="1624"/>
      <c r="AH183" s="1631">
        <v>0</v>
      </c>
    </row>
    <row r="184" s="1635" customFormat="1" ht="18.75" hidden="1" customHeight="1">
      <c r="A184" s="1780" t="s">
        <v>244</v>
      </c>
      <c r="B184" s="1780" t="s">
        <v>245</v>
      </c>
      <c r="C184" s="369"/>
      <c r="D184" s="2462"/>
      <c r="E184" s="2204"/>
      <c r="F184" s="2383" t="str">
        <f>INDEX(PT_DIFFERENTIATION_VTAR,MATCH(A184,PT_DIFFERENTIATION_VTAR_ID,0))</f>
        <v xml:space="preserve">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r="185" s="1635" customFormat="1" ht="18.75" hidden="1" customHeight="1">
      <c r="A185" s="1780"/>
      <c r="B185" s="1780"/>
      <c r="C185" s="369" t="s">
        <v>1149</v>
      </c>
      <c r="D185" s="2462"/>
      <c r="E185" s="2204"/>
      <c r="F185" s="2383"/>
      <c r="G185" s="2427"/>
      <c r="H185" s="1500"/>
      <c r="I185" s="651" t="s">
        <v>1148</v>
      </c>
      <c r="J185" s="571"/>
      <c r="K185" s="1500"/>
      <c r="L185" s="214"/>
      <c r="M185" s="341"/>
      <c r="N185" s="334"/>
      <c r="O185" s="1624"/>
      <c r="P185" s="1624"/>
      <c r="AH185" s="1631">
        <v>0</v>
      </c>
    </row>
    <row r="186" s="1635" customFormat="1" ht="0.75" hidden="1" customHeight="1">
      <c r="A186" s="1780"/>
      <c r="B186" s="1780"/>
      <c r="C186" s="369" t="s">
        <v>1157</v>
      </c>
      <c r="D186" s="2462"/>
      <c r="E186" s="2204"/>
      <c r="F186" s="2383"/>
      <c r="G186" s="400"/>
      <c r="H186" s="1500"/>
      <c r="I186" s="651"/>
      <c r="J186" s="571"/>
      <c r="K186" s="1500"/>
      <c r="L186" s="214"/>
      <c r="M186" s="341"/>
      <c r="N186" s="334"/>
      <c r="O186" s="1624"/>
      <c r="P186" s="1624"/>
      <c r="AH186" s="1631">
        <v>0</v>
      </c>
    </row>
    <row r="187" s="1635" customFormat="1" ht="18.75" hidden="1" customHeight="1">
      <c r="A187" s="1780" t="s">
        <v>249</v>
      </c>
      <c r="B187" s="1780" t="s">
        <v>250</v>
      </c>
      <c r="C187" s="369"/>
      <c r="D187" s="2462"/>
      <c r="E187" s="2204"/>
      <c r="F187" s="2383"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r="188" s="1635" customFormat="1" ht="18.75" hidden="1" customHeight="1">
      <c r="A188" s="1780"/>
      <c r="B188" s="1780"/>
      <c r="C188" s="369" t="s">
        <v>1149</v>
      </c>
      <c r="D188" s="2462"/>
      <c r="E188" s="2204"/>
      <c r="F188" s="2383"/>
      <c r="G188" s="2427"/>
      <c r="H188" s="1500"/>
      <c r="I188" s="651" t="s">
        <v>1148</v>
      </c>
      <c r="J188" s="571"/>
      <c r="K188" s="1500"/>
      <c r="L188" s="214"/>
      <c r="M188" s="341"/>
      <c r="N188" s="334"/>
      <c r="O188" s="1624"/>
      <c r="P188" s="1624"/>
      <c r="AH188" s="1631">
        <v>0</v>
      </c>
    </row>
    <row r="189" s="1635" customFormat="1" ht="0.75" hidden="1" customHeight="1">
      <c r="A189" s="1780"/>
      <c r="B189" s="1780"/>
      <c r="C189" s="369" t="s">
        <v>1157</v>
      </c>
      <c r="D189" s="2462"/>
      <c r="E189" s="2204"/>
      <c r="F189" s="2383"/>
      <c r="G189" s="400"/>
      <c r="H189" s="1500"/>
      <c r="I189" s="651"/>
      <c r="J189" s="571"/>
      <c r="K189" s="1500"/>
      <c r="L189" s="214"/>
      <c r="M189" s="341"/>
      <c r="N189" s="334"/>
      <c r="O189" s="1624"/>
      <c r="P189" s="1624"/>
      <c r="AH189" s="1631">
        <v>0</v>
      </c>
    </row>
    <row r="190" s="1635" customFormat="1" ht="18.75" hidden="1" customHeight="1">
      <c r="A190" s="1780" t="s">
        <v>254</v>
      </c>
      <c r="B190" s="1780" t="s">
        <v>255</v>
      </c>
      <c r="C190" s="369"/>
      <c r="D190" s="2462"/>
      <c r="E190" s="2204"/>
      <c r="F190" s="2383" t="str">
        <f>INDEX(PT_DIFFERENTIATION_VTAR,MATCH(A190,PT_DIFFERENTIATION_VTAR_ID,0))</f>
        <v xml:space="preserve">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r="191" s="1635" customFormat="1" ht="18.75" hidden="1" customHeight="1">
      <c r="A191" s="1780"/>
      <c r="B191" s="1780"/>
      <c r="C191" s="369" t="s">
        <v>1149</v>
      </c>
      <c r="D191" s="2462"/>
      <c r="E191" s="2204"/>
      <c r="F191" s="2383"/>
      <c r="G191" s="2427"/>
      <c r="H191" s="1500"/>
      <c r="I191" s="651" t="s">
        <v>1148</v>
      </c>
      <c r="J191" s="571"/>
      <c r="K191" s="1500"/>
      <c r="L191" s="214"/>
      <c r="M191" s="341"/>
      <c r="N191" s="334"/>
      <c r="O191" s="1624"/>
      <c r="P191" s="1624"/>
      <c r="AH191" s="1631">
        <v>0</v>
      </c>
    </row>
    <row r="192" s="1635" customFormat="1" ht="0.75" hidden="1" customHeight="1">
      <c r="A192" s="1780"/>
      <c r="B192" s="1780"/>
      <c r="C192" s="369" t="s">
        <v>1157</v>
      </c>
      <c r="D192" s="2462"/>
      <c r="E192" s="2204"/>
      <c r="F192" s="2383"/>
      <c r="G192" s="400"/>
      <c r="H192" s="1500"/>
      <c r="I192" s="651"/>
      <c r="J192" s="571"/>
      <c r="K192" s="1500"/>
      <c r="L192" s="214"/>
      <c r="M192" s="341"/>
      <c r="N192" s="334"/>
      <c r="O192" s="1624"/>
      <c r="P192" s="1624"/>
      <c r="AH192" s="1631">
        <v>0</v>
      </c>
    </row>
    <row r="193" s="1635" customFormat="1" ht="18.75" hidden="1" customHeight="1">
      <c r="A193" s="1780" t="s">
        <v>259</v>
      </c>
      <c r="B193" s="1780" t="s">
        <v>260</v>
      </c>
      <c r="C193" s="369"/>
      <c r="D193" s="2462"/>
      <c r="E193" s="2204"/>
      <c r="F193" s="2383" t="str">
        <f>INDEX(PT_DIFFERENTIATION_VTAR,MATCH(A193,PT_DIFFERENTIATION_VTAR_ID,0))</f>
        <v xml:space="preserve">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r="194" s="1635" customFormat="1" ht="18.75" hidden="1" customHeight="1">
      <c r="A194" s="1780"/>
      <c r="B194" s="1780"/>
      <c r="C194" s="369" t="s">
        <v>1149</v>
      </c>
      <c r="D194" s="2462"/>
      <c r="E194" s="2204"/>
      <c r="F194" s="2383"/>
      <c r="G194" s="2427"/>
      <c r="H194" s="1500"/>
      <c r="I194" s="651" t="s">
        <v>1148</v>
      </c>
      <c r="J194" s="571"/>
      <c r="K194" s="1500"/>
      <c r="L194" s="214"/>
      <c r="M194" s="341"/>
      <c r="N194" s="334"/>
      <c r="O194" s="1624"/>
      <c r="P194" s="1624"/>
      <c r="AH194" s="1631">
        <v>0</v>
      </c>
    </row>
    <row r="195" s="1635" customFormat="1" ht="0.75" hidden="1" customHeight="1">
      <c r="A195" s="1780"/>
      <c r="B195" s="1780"/>
      <c r="C195" s="369" t="s">
        <v>1157</v>
      </c>
      <c r="D195" s="2462"/>
      <c r="E195" s="2204"/>
      <c r="F195" s="2383"/>
      <c r="G195" s="400"/>
      <c r="H195" s="1500"/>
      <c r="I195" s="651"/>
      <c r="J195" s="571"/>
      <c r="K195" s="1500"/>
      <c r="L195" s="214"/>
      <c r="M195" s="341"/>
      <c r="N195" s="334"/>
      <c r="O195" s="1624"/>
      <c r="P195" s="1624"/>
      <c r="AH195" s="1631">
        <v>0</v>
      </c>
    </row>
    <row r="196" s="1635" customFormat="1" ht="18.75" hidden="1" customHeight="1">
      <c r="A196" s="1780" t="s">
        <v>264</v>
      </c>
      <c r="B196" s="1780" t="s">
        <v>265</v>
      </c>
      <c r="C196" s="369"/>
      <c r="D196" s="2462"/>
      <c r="E196" s="2204"/>
      <c r="F196" s="2383"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r="197" s="1635" customFormat="1" ht="18.75" hidden="1" customHeight="1">
      <c r="A197" s="1780"/>
      <c r="B197" s="1780"/>
      <c r="C197" s="369" t="s">
        <v>1149</v>
      </c>
      <c r="D197" s="2462"/>
      <c r="E197" s="2204"/>
      <c r="F197" s="2383"/>
      <c r="G197" s="2427"/>
      <c r="H197" s="1500"/>
      <c r="I197" s="651" t="s">
        <v>1148</v>
      </c>
      <c r="J197" s="571"/>
      <c r="K197" s="1500"/>
      <c r="L197" s="214"/>
      <c r="M197" s="341"/>
      <c r="N197" s="334"/>
      <c r="O197" s="1624"/>
      <c r="P197" s="1624"/>
      <c r="AH197" s="1631">
        <v>0</v>
      </c>
    </row>
    <row r="198" s="1635" customFormat="1" ht="0.75" hidden="1" customHeight="1">
      <c r="A198" s="1780"/>
      <c r="B198" s="1780"/>
      <c r="C198" s="369" t="s">
        <v>1157</v>
      </c>
      <c r="D198" s="2462"/>
      <c r="E198" s="2204"/>
      <c r="F198" s="2383"/>
      <c r="G198" s="400"/>
      <c r="H198" s="1500"/>
      <c r="I198" s="651"/>
      <c r="J198" s="571"/>
      <c r="K198" s="1500"/>
      <c r="L198" s="214"/>
      <c r="M198" s="341"/>
      <c r="N198" s="334"/>
      <c r="O198" s="1624"/>
      <c r="P198" s="1624"/>
      <c r="AH198" s="1631">
        <v>0</v>
      </c>
    </row>
    <row r="199" s="1635" customFormat="1" ht="18.75" hidden="1" customHeight="1">
      <c r="A199" s="1780" t="s">
        <v>269</v>
      </c>
      <c r="B199" s="1780" t="s">
        <v>270</v>
      </c>
      <c r="C199" s="369"/>
      <c r="D199" s="2462"/>
      <c r="E199" s="2204"/>
      <c r="F199" s="2383" t="str">
        <f>INDEX(PT_DIFFERENTIATION_VTAR,MATCH(A199,PT_DIFFERENTIATION_VTAR_ID,0))</f>
        <v xml:space="preserve">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r="200" s="1635" customFormat="1" ht="18.75" hidden="1" customHeight="1">
      <c r="A200" s="1780"/>
      <c r="B200" s="1780"/>
      <c r="C200" s="369" t="s">
        <v>1149</v>
      </c>
      <c r="D200" s="2462"/>
      <c r="E200" s="2204"/>
      <c r="F200" s="2383"/>
      <c r="G200" s="2427"/>
      <c r="H200" s="1500"/>
      <c r="I200" s="651" t="s">
        <v>1148</v>
      </c>
      <c r="J200" s="571"/>
      <c r="K200" s="1500"/>
      <c r="L200" s="214"/>
      <c r="M200" s="341"/>
      <c r="N200" s="334"/>
      <c r="O200" s="1624"/>
      <c r="P200" s="1624"/>
      <c r="AH200" s="1631">
        <v>0</v>
      </c>
    </row>
    <row r="201" s="1635" customFormat="1" ht="0.75" hidden="1" customHeight="1">
      <c r="A201" s="1780"/>
      <c r="B201" s="1780"/>
      <c r="C201" s="369" t="s">
        <v>1157</v>
      </c>
      <c r="D201" s="2462"/>
      <c r="E201" s="2204"/>
      <c r="F201" s="2383"/>
      <c r="G201" s="400"/>
      <c r="H201" s="1500"/>
      <c r="I201" s="651"/>
      <c r="J201" s="571"/>
      <c r="K201" s="1500"/>
      <c r="L201" s="214"/>
      <c r="M201" s="341"/>
      <c r="N201" s="334"/>
      <c r="O201" s="1624"/>
      <c r="P201" s="1624"/>
      <c r="AH201" s="1631">
        <v>0</v>
      </c>
    </row>
    <row r="202" s="1635" customFormat="1" ht="18.75" hidden="1" customHeight="1">
      <c r="A202" s="1780" t="s">
        <v>274</v>
      </c>
      <c r="B202" s="1780" t="s">
        <v>275</v>
      </c>
      <c r="C202" s="369"/>
      <c r="D202" s="2462"/>
      <c r="E202" s="2204"/>
      <c r="F202" s="2383" t="str">
        <f>INDEX(PT_DIFFERENTIATION_VTAR,MATCH(A202,PT_DIFFERENTIATION_VTAR_ID,0))</f>
        <v xml:space="preserve">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r="203" s="1635" customFormat="1" ht="18.75" hidden="1" customHeight="1">
      <c r="A203" s="1780"/>
      <c r="B203" s="1780"/>
      <c r="C203" s="369" t="s">
        <v>1149</v>
      </c>
      <c r="D203" s="2462"/>
      <c r="E203" s="2204"/>
      <c r="F203" s="2383"/>
      <c r="G203" s="2427"/>
      <c r="H203" s="1500"/>
      <c r="I203" s="651" t="s">
        <v>1148</v>
      </c>
      <c r="J203" s="571"/>
      <c r="K203" s="1500"/>
      <c r="L203" s="214"/>
      <c r="M203" s="341"/>
      <c r="N203" s="334"/>
      <c r="O203" s="1624"/>
      <c r="P203" s="1624"/>
      <c r="AH203" s="1631">
        <v>0</v>
      </c>
    </row>
    <row r="204" s="1635" customFormat="1" ht="0.75" hidden="1" customHeight="1">
      <c r="A204" s="1780"/>
      <c r="B204" s="1780"/>
      <c r="C204" s="369" t="s">
        <v>1157</v>
      </c>
      <c r="D204" s="2462"/>
      <c r="E204" s="2204"/>
      <c r="F204" s="2383"/>
      <c r="G204" s="400"/>
      <c r="H204" s="1500"/>
      <c r="I204" s="651"/>
      <c r="J204" s="571"/>
      <c r="K204" s="1500"/>
      <c r="L204" s="214"/>
      <c r="M204" s="341"/>
      <c r="N204" s="334"/>
      <c r="O204" s="1624"/>
      <c r="P204" s="1624"/>
      <c r="AH204" s="1631">
        <v>0</v>
      </c>
    </row>
    <row r="205" s="1635" customFormat="1" ht="18.75" hidden="1" customHeight="1">
      <c r="A205" s="1780" t="s">
        <v>279</v>
      </c>
      <c r="B205" s="1780" t="s">
        <v>280</v>
      </c>
      <c r="C205" s="369"/>
      <c r="D205" s="2462"/>
      <c r="E205" s="2204"/>
      <c r="F205" s="2383"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r="206" s="1635" customFormat="1" ht="18.75" hidden="1" customHeight="1">
      <c r="A206" s="1780"/>
      <c r="B206" s="1780"/>
      <c r="C206" s="369" t="s">
        <v>1149</v>
      </c>
      <c r="D206" s="2462"/>
      <c r="E206" s="2204"/>
      <c r="F206" s="2383"/>
      <c r="G206" s="2427"/>
      <c r="H206" s="1500"/>
      <c r="I206" s="651" t="s">
        <v>1148</v>
      </c>
      <c r="J206" s="571"/>
      <c r="K206" s="1500"/>
      <c r="L206" s="214"/>
      <c r="M206" s="341"/>
      <c r="N206" s="334"/>
      <c r="O206" s="1624"/>
      <c r="P206" s="1624"/>
      <c r="AH206" s="1631">
        <v>0</v>
      </c>
    </row>
    <row r="207" s="1635" customFormat="1" ht="1.05" customHeight="1">
      <c r="A207" s="1780"/>
      <c r="B207" s="1780"/>
      <c r="C207" s="369" t="s">
        <v>1157</v>
      </c>
      <c r="D207" s="2462"/>
      <c r="E207" s="2204"/>
      <c r="F207" s="2383"/>
      <c r="G207" s="400"/>
      <c r="H207" s="1500"/>
      <c r="I207" s="651"/>
      <c r="J207" s="571"/>
      <c r="K207" s="1500"/>
      <c r="L207" s="214"/>
      <c r="M207" s="341"/>
      <c r="N207" s="334"/>
      <c r="O207" s="1624"/>
      <c r="P207" s="1624"/>
      <c r="AH207" s="1631">
        <v>1</v>
      </c>
    </row>
    <row r="208" ht="27.300000000000001" customHeight="1">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r="209" s="1635" customFormat="1" ht="60.75" hidden="1" customHeight="1">
      <c r="A209" s="1780" t="s">
        <v>154</v>
      </c>
      <c r="B209" s="1780" t="s">
        <v>155</v>
      </c>
      <c r="C209" s="369"/>
      <c r="D209" s="2462"/>
      <c r="E209" s="2204"/>
      <c r="F209" s="2383"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r="210" s="1635" customFormat="1" ht="18.75" hidden="1" customHeight="1">
      <c r="A210" s="1780"/>
      <c r="B210" s="1780"/>
      <c r="C210" s="369" t="s">
        <v>1149</v>
      </c>
      <c r="D210" s="2462"/>
      <c r="E210" s="2204"/>
      <c r="F210" s="2383"/>
      <c r="G210" s="2427"/>
      <c r="H210" s="1500"/>
      <c r="I210" s="651" t="s">
        <v>1148</v>
      </c>
      <c r="J210" s="571"/>
      <c r="K210" s="1500"/>
      <c r="L210" s="214"/>
      <c r="M210" s="2170"/>
      <c r="N210" s="334"/>
      <c r="O210" s="1624"/>
      <c r="P210" s="1624"/>
      <c r="AH210" s="1631">
        <v>0</v>
      </c>
    </row>
    <row r="211" s="1635" customFormat="1" ht="0.75" hidden="1" customHeight="1">
      <c r="A211" s="1780"/>
      <c r="B211" s="1780"/>
      <c r="C211" s="369" t="s">
        <v>1157</v>
      </c>
      <c r="D211" s="2462"/>
      <c r="E211" s="2204"/>
      <c r="F211" s="2383"/>
      <c r="G211" s="400"/>
      <c r="H211" s="1500"/>
      <c r="I211" s="651"/>
      <c r="J211" s="571"/>
      <c r="K211" s="1500"/>
      <c r="L211" s="214"/>
      <c r="M211" s="2170"/>
      <c r="N211" s="334"/>
      <c r="O211" s="1624"/>
      <c r="P211" s="1624"/>
      <c r="AH211" s="1631">
        <v>0</v>
      </c>
    </row>
    <row r="212" s="1635" customFormat="1" ht="45" hidden="1" customHeight="1">
      <c r="A212" s="1780" t="s">
        <v>160</v>
      </c>
      <c r="B212" s="1780" t="s">
        <v>161</v>
      </c>
      <c r="C212" s="369"/>
      <c r="D212" s="2462"/>
      <c r="E212" s="2204"/>
      <c r="F212" s="2383"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r="213" s="1635" customFormat="1" ht="18.75" hidden="1" customHeight="1">
      <c r="A213" s="1780"/>
      <c r="B213" s="1780"/>
      <c r="C213" s="369" t="s">
        <v>1149</v>
      </c>
      <c r="D213" s="2462"/>
      <c r="E213" s="2204"/>
      <c r="F213" s="2383"/>
      <c r="G213" s="2427"/>
      <c r="H213" s="1500"/>
      <c r="I213" s="651" t="s">
        <v>1148</v>
      </c>
      <c r="J213" s="571"/>
      <c r="K213" s="1500"/>
      <c r="L213" s="214"/>
      <c r="M213" s="1861"/>
      <c r="N213" s="334"/>
      <c r="O213" s="1624"/>
      <c r="P213" s="1624"/>
      <c r="AH213" s="1631">
        <v>0</v>
      </c>
    </row>
    <row r="214" s="1635" customFormat="1" ht="0.75" hidden="1" customHeight="1">
      <c r="A214" s="1780"/>
      <c r="B214" s="1780"/>
      <c r="C214" s="369" t="s">
        <v>1157</v>
      </c>
      <c r="D214" s="2462"/>
      <c r="E214" s="2204"/>
      <c r="F214" s="2383"/>
      <c r="G214" s="400"/>
      <c r="H214" s="1500"/>
      <c r="I214" s="651"/>
      <c r="J214" s="571"/>
      <c r="K214" s="1500"/>
      <c r="L214" s="214"/>
      <c r="M214" s="341"/>
      <c r="N214" s="334"/>
      <c r="O214" s="1624"/>
      <c r="P214" s="1624"/>
      <c r="AH214" s="1631">
        <v>0</v>
      </c>
    </row>
    <row r="215" s="1635" customFormat="1" ht="45" hidden="1" customHeight="1">
      <c r="A215" s="1780" t="s">
        <v>166</v>
      </c>
      <c r="B215" s="1780" t="s">
        <v>167</v>
      </c>
      <c r="C215" s="369"/>
      <c r="D215" s="2462"/>
      <c r="E215" s="2204"/>
      <c r="F215" s="2383"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r="216" s="1635" customFormat="1" ht="18.75" hidden="1" customHeight="1">
      <c r="A216" s="1780"/>
      <c r="B216" s="1780"/>
      <c r="C216" s="369" t="s">
        <v>1149</v>
      </c>
      <c r="D216" s="2462"/>
      <c r="E216" s="2204"/>
      <c r="F216" s="2383"/>
      <c r="G216" s="2427"/>
      <c r="H216" s="1500"/>
      <c r="I216" s="651" t="s">
        <v>1148</v>
      </c>
      <c r="J216" s="571"/>
      <c r="K216" s="1500"/>
      <c r="L216" s="214"/>
      <c r="M216" s="341"/>
      <c r="N216" s="334"/>
      <c r="O216" s="1624"/>
      <c r="P216" s="1624"/>
      <c r="AH216" s="1631">
        <v>0</v>
      </c>
    </row>
    <row r="217" s="1635" customFormat="1" ht="0.75" hidden="1" customHeight="1">
      <c r="A217" s="1780"/>
      <c r="B217" s="1780"/>
      <c r="C217" s="369" t="s">
        <v>1157</v>
      </c>
      <c r="D217" s="2462"/>
      <c r="E217" s="2204"/>
      <c r="F217" s="2383"/>
      <c r="G217" s="400"/>
      <c r="H217" s="1500"/>
      <c r="I217" s="651"/>
      <c r="J217" s="571"/>
      <c r="K217" s="1500"/>
      <c r="L217" s="214"/>
      <c r="M217" s="341"/>
      <c r="N217" s="334"/>
      <c r="O217" s="1624"/>
      <c r="P217" s="1624"/>
      <c r="AH217" s="1631">
        <v>0</v>
      </c>
    </row>
    <row r="218" s="1635" customFormat="1" ht="45" hidden="1" customHeight="1">
      <c r="A218" s="1780" t="s">
        <v>172</v>
      </c>
      <c r="B218" s="1780" t="s">
        <v>173</v>
      </c>
      <c r="C218" s="369"/>
      <c r="D218" s="2462"/>
      <c r="E218" s="2204"/>
      <c r="F218" s="2383"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r="219" s="1635" customFormat="1" ht="18.75" hidden="1" customHeight="1">
      <c r="A219" s="1780"/>
      <c r="B219" s="1780"/>
      <c r="C219" s="369" t="s">
        <v>1149</v>
      </c>
      <c r="D219" s="2462"/>
      <c r="E219" s="2204"/>
      <c r="F219" s="2383"/>
      <c r="G219" s="2427"/>
      <c r="H219" s="1500"/>
      <c r="I219" s="651" t="s">
        <v>1148</v>
      </c>
      <c r="J219" s="571"/>
      <c r="K219" s="1500"/>
      <c r="L219" s="214"/>
      <c r="M219" s="341"/>
      <c r="N219" s="334"/>
      <c r="O219" s="1624"/>
      <c r="P219" s="1624"/>
      <c r="AH219" s="1631">
        <v>0</v>
      </c>
    </row>
    <row r="220" s="1635" customFormat="1" ht="0.75" hidden="1" customHeight="1">
      <c r="A220" s="1780"/>
      <c r="B220" s="1780"/>
      <c r="C220" s="369" t="s">
        <v>1157</v>
      </c>
      <c r="D220" s="2462"/>
      <c r="E220" s="2204"/>
      <c r="F220" s="2383"/>
      <c r="G220" s="400"/>
      <c r="H220" s="1500"/>
      <c r="I220" s="651"/>
      <c r="J220" s="571"/>
      <c r="K220" s="1500"/>
      <c r="L220" s="214"/>
      <c r="M220" s="341"/>
      <c r="N220" s="334"/>
      <c r="O220" s="1624"/>
      <c r="P220" s="1624"/>
      <c r="AH220" s="1631">
        <v>0</v>
      </c>
    </row>
    <row r="221" s="1635" customFormat="1" ht="18.75" hidden="1" customHeight="1">
      <c r="A221" s="1780" t="s">
        <v>178</v>
      </c>
      <c r="B221" s="1780" t="s">
        <v>179</v>
      </c>
      <c r="C221" s="369"/>
      <c r="D221" s="2462"/>
      <c r="E221" s="2204"/>
      <c r="F221" s="2383" t="str">
        <f>INDEX(PT_DIFFERENTIATION_VTAR,MATCH(A221,PT_DIFFERENTIATION_VTAR_ID,0))</f>
        <v xml:space="preserve">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r="222" s="1635" customFormat="1" ht="18.75" hidden="1" customHeight="1">
      <c r="A222" s="1780"/>
      <c r="B222" s="1780"/>
      <c r="C222" s="369" t="s">
        <v>1149</v>
      </c>
      <c r="D222" s="2462"/>
      <c r="E222" s="2204"/>
      <c r="F222" s="2383"/>
      <c r="G222" s="2427"/>
      <c r="H222" s="1500"/>
      <c r="I222" s="651" t="s">
        <v>1148</v>
      </c>
      <c r="J222" s="571"/>
      <c r="K222" s="1500"/>
      <c r="L222" s="214"/>
      <c r="M222" s="341"/>
      <c r="N222" s="334"/>
      <c r="O222" s="1624"/>
      <c r="P222" s="1624"/>
      <c r="AH222" s="1631">
        <v>0</v>
      </c>
    </row>
    <row r="223" s="1635" customFormat="1" ht="0.75" hidden="1" customHeight="1">
      <c r="A223" s="1780"/>
      <c r="B223" s="1780"/>
      <c r="C223" s="369" t="s">
        <v>1157</v>
      </c>
      <c r="D223" s="2462"/>
      <c r="E223" s="2204"/>
      <c r="F223" s="2383"/>
      <c r="G223" s="400"/>
      <c r="H223" s="1500"/>
      <c r="I223" s="651"/>
      <c r="J223" s="571"/>
      <c r="K223" s="1500"/>
      <c r="L223" s="214"/>
      <c r="M223" s="341"/>
      <c r="N223" s="334"/>
      <c r="O223" s="1624"/>
      <c r="P223" s="1624"/>
      <c r="AH223" s="1631">
        <v>0</v>
      </c>
    </row>
    <row r="224" s="1635" customFormat="1" ht="18.75" hidden="1" customHeight="1">
      <c r="A224" s="1780" t="s">
        <v>184</v>
      </c>
      <c r="B224" s="1780" t="s">
        <v>185</v>
      </c>
      <c r="C224" s="369"/>
      <c r="D224" s="2462"/>
      <c r="E224" s="2204"/>
      <c r="F224" s="2383" t="str">
        <f>INDEX(PT_DIFFERENTIATION_VTAR,MATCH(A224,PT_DIFFERENTIATION_VTAR_ID,0))</f>
        <v xml:space="preserve">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r="225" s="1635" customFormat="1" ht="18.75" hidden="1" customHeight="1">
      <c r="A225" s="1780"/>
      <c r="B225" s="1780"/>
      <c r="C225" s="369" t="s">
        <v>1149</v>
      </c>
      <c r="D225" s="2462"/>
      <c r="E225" s="2204"/>
      <c r="F225" s="2383"/>
      <c r="G225" s="2427"/>
      <c r="H225" s="1500"/>
      <c r="I225" s="651" t="s">
        <v>1148</v>
      </c>
      <c r="J225" s="571"/>
      <c r="K225" s="1500"/>
      <c r="L225" s="214"/>
      <c r="M225" s="341"/>
      <c r="N225" s="334"/>
      <c r="O225" s="1624"/>
      <c r="P225" s="1624"/>
      <c r="AH225" s="1631">
        <v>0</v>
      </c>
    </row>
    <row r="226" s="1635" customFormat="1" ht="0.75" hidden="1" customHeight="1">
      <c r="A226" s="1780"/>
      <c r="B226" s="1780"/>
      <c r="C226" s="369" t="s">
        <v>1157</v>
      </c>
      <c r="D226" s="2462"/>
      <c r="E226" s="2204"/>
      <c r="F226" s="2383"/>
      <c r="G226" s="400"/>
      <c r="H226" s="1500"/>
      <c r="I226" s="651"/>
      <c r="J226" s="571"/>
      <c r="K226" s="1500"/>
      <c r="L226" s="214"/>
      <c r="M226" s="341"/>
      <c r="N226" s="334"/>
      <c r="O226" s="1624"/>
      <c r="P226" s="1624"/>
      <c r="AH226" s="1631">
        <v>0</v>
      </c>
    </row>
    <row r="227" s="1635" customFormat="1" ht="18.75" hidden="1" customHeight="1">
      <c r="A227" s="1780" t="s">
        <v>190</v>
      </c>
      <c r="B227" s="1780" t="s">
        <v>191</v>
      </c>
      <c r="C227" s="369"/>
      <c r="D227" s="2462"/>
      <c r="E227" s="2204"/>
      <c r="F227" s="2383"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r="228" s="1635" customFormat="1" ht="18.75" hidden="1" customHeight="1">
      <c r="A228" s="1780"/>
      <c r="B228" s="1780"/>
      <c r="C228" s="369" t="s">
        <v>1149</v>
      </c>
      <c r="D228" s="2462"/>
      <c r="E228" s="2204"/>
      <c r="F228" s="2383"/>
      <c r="G228" s="2427"/>
      <c r="H228" s="1500"/>
      <c r="I228" s="651" t="s">
        <v>1148</v>
      </c>
      <c r="J228" s="571"/>
      <c r="K228" s="1500"/>
      <c r="L228" s="214"/>
      <c r="M228" s="341"/>
      <c r="N228" s="334"/>
      <c r="O228" s="1624"/>
      <c r="P228" s="1624"/>
      <c r="AH228" s="1631">
        <v>0</v>
      </c>
    </row>
    <row r="229" s="1635" customFormat="1" ht="0.75" hidden="1" customHeight="1">
      <c r="A229" s="1780"/>
      <c r="B229" s="1780"/>
      <c r="C229" s="369" t="s">
        <v>1157</v>
      </c>
      <c r="D229" s="2462"/>
      <c r="E229" s="2204"/>
      <c r="F229" s="2383"/>
      <c r="G229" s="400"/>
      <c r="H229" s="1500"/>
      <c r="I229" s="651"/>
      <c r="J229" s="571"/>
      <c r="K229" s="1500"/>
      <c r="L229" s="214"/>
      <c r="M229" s="341"/>
      <c r="N229" s="334"/>
      <c r="O229" s="1624"/>
      <c r="P229" s="1624"/>
      <c r="AH229" s="1631">
        <v>0</v>
      </c>
    </row>
    <row r="230" s="1635" customFormat="1" ht="18.75" hidden="1" customHeight="1">
      <c r="A230" s="1780" t="s">
        <v>196</v>
      </c>
      <c r="B230" s="1780" t="s">
        <v>197</v>
      </c>
      <c r="C230" s="369"/>
      <c r="D230" s="2462"/>
      <c r="E230" s="2204"/>
      <c r="F230" s="2383" t="str">
        <f>INDEX(PT_DIFFERENTIATION_VTAR,MATCH(A230,PT_DIFFERENTIATION_VTAR_ID,0))</f>
        <v xml:space="preserve">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r="231" s="1635" customFormat="1" ht="18.75" hidden="1" customHeight="1">
      <c r="A231" s="1780"/>
      <c r="B231" s="1780"/>
      <c r="C231" s="369" t="s">
        <v>1149</v>
      </c>
      <c r="D231" s="2462"/>
      <c r="E231" s="2204"/>
      <c r="F231" s="2383"/>
      <c r="G231" s="2427"/>
      <c r="H231" s="1500"/>
      <c r="I231" s="651" t="s">
        <v>1148</v>
      </c>
      <c r="J231" s="571"/>
      <c r="K231" s="1500"/>
      <c r="L231" s="214"/>
      <c r="M231" s="341"/>
      <c r="N231" s="334"/>
      <c r="O231" s="1624"/>
      <c r="P231" s="1624"/>
      <c r="AH231" s="1631">
        <v>0</v>
      </c>
    </row>
    <row r="232" s="1635" customFormat="1" ht="0.75" hidden="1" customHeight="1">
      <c r="A232" s="1780"/>
      <c r="B232" s="1780"/>
      <c r="C232" s="369" t="s">
        <v>1157</v>
      </c>
      <c r="D232" s="2462"/>
      <c r="E232" s="2204"/>
      <c r="F232" s="2383"/>
      <c r="G232" s="400"/>
      <c r="H232" s="1500"/>
      <c r="I232" s="651"/>
      <c r="J232" s="571"/>
      <c r="K232" s="1500"/>
      <c r="L232" s="214"/>
      <c r="M232" s="341"/>
      <c r="N232" s="334"/>
      <c r="O232" s="1624"/>
      <c r="P232" s="1624"/>
      <c r="AH232" s="1631">
        <v>0</v>
      </c>
    </row>
    <row r="233" s="1635" customFormat="1" ht="18.75" hidden="1" customHeight="1">
      <c r="A233" s="1780" t="s">
        <v>205</v>
      </c>
      <c r="B233" s="1780" t="s">
        <v>206</v>
      </c>
      <c r="C233" s="369"/>
      <c r="D233" s="2462"/>
      <c r="E233" s="2204"/>
      <c r="F233" s="2383" t="str">
        <f>INDEX(PT_DIFFERENTIATION_VTAR,MATCH(A233,PT_DIFFERENTIATION_VTAR_ID,0))</f>
        <v xml:space="preserve">Плата за подключение (технологическое присоединение) к системе теплоснабжения (индивидуальная)</v>
      </c>
      <c r="G233" s="2427" t="str">
        <f>INDEX(PT_DIFFERENTIATION_NTAR,MATCH(B233,PT_DIFFERENTIATION_NTAR_ID,0))</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310</v>
      </c>
      <c r="M233" s="341"/>
      <c r="N233" s="334"/>
      <c r="O233" s="1624"/>
      <c r="P233" s="1624"/>
      <c r="AH233" s="1631">
        <v>0</v>
      </c>
    </row>
    <row r="234" s="1635" customFormat="1" ht="18.75" hidden="1" customHeight="1">
      <c r="A234" s="1780"/>
      <c r="B234" s="1780"/>
      <c r="C234" s="369" t="s">
        <v>1149</v>
      </c>
      <c r="D234" s="2462"/>
      <c r="E234" s="2204"/>
      <c r="F234" s="2383"/>
      <c r="G234" s="2427"/>
      <c r="H234" s="1500"/>
      <c r="I234" s="651" t="s">
        <v>1148</v>
      </c>
      <c r="J234" s="571"/>
      <c r="K234" s="1500"/>
      <c r="L234" s="214"/>
      <c r="M234" s="341"/>
      <c r="N234" s="334"/>
      <c r="O234" s="1624"/>
      <c r="P234" s="1624"/>
      <c r="AH234" s="1631">
        <v>0</v>
      </c>
    </row>
    <row r="235" s="1635" customFormat="1" ht="0.75" hidden="1" customHeight="1">
      <c r="A235" s="1780"/>
      <c r="B235" s="1780"/>
      <c r="C235" s="369" t="s">
        <v>1157</v>
      </c>
      <c r="D235" s="2462"/>
      <c r="E235" s="2204"/>
      <c r="F235" s="2383"/>
      <c r="G235" s="400"/>
      <c r="H235" s="1500"/>
      <c r="I235" s="651"/>
      <c r="J235" s="571"/>
      <c r="K235" s="1500"/>
      <c r="L235" s="214"/>
      <c r="M235" s="341"/>
      <c r="N235" s="334"/>
      <c r="O235" s="1624"/>
      <c r="P235" s="1624"/>
      <c r="AH235" s="1631">
        <v>0</v>
      </c>
    </row>
    <row r="236" s="1635" customFormat="1" ht="18.75" hidden="1" customHeight="1">
      <c r="A236" s="1780" t="s">
        <v>229</v>
      </c>
      <c r="B236" s="1780" t="s">
        <v>230</v>
      </c>
      <c r="C236" s="369"/>
      <c r="D236" s="2462"/>
      <c r="E236" s="2204"/>
      <c r="F236" s="2383" t="str">
        <f>INDEX(PT_DIFFERENTIATION_VTAR,MATCH(A236,PT_DIFFERENTIATION_VTAR_ID,0))</f>
        <v xml:space="preserve">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r="237" s="1635" customFormat="1" ht="18.75" hidden="1" customHeight="1">
      <c r="A237" s="1780"/>
      <c r="B237" s="1780"/>
      <c r="C237" s="369" t="s">
        <v>1149</v>
      </c>
      <c r="D237" s="2462"/>
      <c r="E237" s="2204"/>
      <c r="F237" s="2383"/>
      <c r="G237" s="2427"/>
      <c r="H237" s="1500"/>
      <c r="I237" s="651" t="s">
        <v>1148</v>
      </c>
      <c r="J237" s="571"/>
      <c r="K237" s="1500"/>
      <c r="L237" s="214"/>
      <c r="M237" s="341"/>
      <c r="N237" s="334"/>
      <c r="O237" s="1624"/>
      <c r="P237" s="1624"/>
      <c r="AH237" s="1631">
        <v>0</v>
      </c>
    </row>
    <row r="238" s="1635" customFormat="1" ht="0.75" hidden="1" customHeight="1">
      <c r="A238" s="1780"/>
      <c r="B238" s="1780"/>
      <c r="C238" s="369" t="s">
        <v>1157</v>
      </c>
      <c r="D238" s="2462"/>
      <c r="E238" s="2204"/>
      <c r="F238" s="2383"/>
      <c r="G238" s="400"/>
      <c r="H238" s="1500"/>
      <c r="I238" s="651"/>
      <c r="J238" s="571"/>
      <c r="K238" s="1500"/>
      <c r="L238" s="214"/>
      <c r="M238" s="341"/>
      <c r="N238" s="334"/>
      <c r="O238" s="1624"/>
      <c r="P238" s="1624"/>
      <c r="AH238" s="1631">
        <v>0</v>
      </c>
    </row>
    <row r="239" s="1635" customFormat="1" ht="18.75" hidden="1" customHeight="1">
      <c r="A239" s="1780" t="s">
        <v>234</v>
      </c>
      <c r="B239" s="1780" t="s">
        <v>235</v>
      </c>
      <c r="C239" s="369"/>
      <c r="D239" s="2462"/>
      <c r="E239" s="2204"/>
      <c r="F239" s="2383" t="str">
        <f>INDEX(PT_DIFFERENTIATION_VTAR,MATCH(A239,PT_DIFFERENTIATION_VTAR_ID,0))</f>
        <v xml:space="preserve">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r="240" s="1635" customFormat="1" ht="18.75" hidden="1" customHeight="1">
      <c r="A240" s="1780"/>
      <c r="B240" s="1780"/>
      <c r="C240" s="369" t="s">
        <v>1149</v>
      </c>
      <c r="D240" s="2462"/>
      <c r="E240" s="2204"/>
      <c r="F240" s="2383"/>
      <c r="G240" s="2427"/>
      <c r="H240" s="1500"/>
      <c r="I240" s="651" t="s">
        <v>1148</v>
      </c>
      <c r="J240" s="571"/>
      <c r="K240" s="1500"/>
      <c r="L240" s="214"/>
      <c r="M240" s="341"/>
      <c r="N240" s="334"/>
      <c r="O240" s="1624"/>
      <c r="P240" s="1624"/>
      <c r="AH240" s="1631">
        <v>0</v>
      </c>
    </row>
    <row r="241" s="1635" customFormat="1" ht="0.75" hidden="1" customHeight="1">
      <c r="A241" s="1780"/>
      <c r="B241" s="1780"/>
      <c r="C241" s="369" t="s">
        <v>1157</v>
      </c>
      <c r="D241" s="2462"/>
      <c r="E241" s="2204"/>
      <c r="F241" s="2383"/>
      <c r="G241" s="400"/>
      <c r="H241" s="1500"/>
      <c r="I241" s="651"/>
      <c r="J241" s="571"/>
      <c r="K241" s="1500"/>
      <c r="L241" s="214"/>
      <c r="M241" s="341"/>
      <c r="N241" s="334"/>
      <c r="O241" s="1624"/>
      <c r="P241" s="1624"/>
      <c r="AH241" s="1631">
        <v>0</v>
      </c>
    </row>
    <row r="242" s="1635" customFormat="1" ht="18.75" hidden="1" customHeight="1">
      <c r="A242" s="1780" t="s">
        <v>239</v>
      </c>
      <c r="B242" s="1780" t="s">
        <v>240</v>
      </c>
      <c r="C242" s="369"/>
      <c r="D242" s="2462"/>
      <c r="E242" s="2204"/>
      <c r="F242" s="2383" t="str">
        <f>INDEX(PT_DIFFERENTIATION_VTAR,MATCH(A242,PT_DIFFERENTIATION_VTAR_ID,0))</f>
        <v xml:space="preserve">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r="243" s="1635" customFormat="1" ht="18.75" hidden="1" customHeight="1">
      <c r="A243" s="1780"/>
      <c r="B243" s="1780"/>
      <c r="C243" s="369" t="s">
        <v>1149</v>
      </c>
      <c r="D243" s="2462"/>
      <c r="E243" s="2204"/>
      <c r="F243" s="2383"/>
      <c r="G243" s="2427"/>
      <c r="H243" s="1500"/>
      <c r="I243" s="651" t="s">
        <v>1148</v>
      </c>
      <c r="J243" s="571"/>
      <c r="K243" s="1500"/>
      <c r="L243" s="214"/>
      <c r="M243" s="341"/>
      <c r="N243" s="334"/>
      <c r="O243" s="1624"/>
      <c r="P243" s="1624"/>
      <c r="AH243" s="1631">
        <v>0</v>
      </c>
    </row>
    <row r="244" s="1635" customFormat="1" ht="0.75" hidden="1" customHeight="1">
      <c r="A244" s="1780"/>
      <c r="B244" s="1780"/>
      <c r="C244" s="369" t="s">
        <v>1157</v>
      </c>
      <c r="D244" s="2462"/>
      <c r="E244" s="2204"/>
      <c r="F244" s="2383"/>
      <c r="G244" s="400"/>
      <c r="H244" s="1500"/>
      <c r="I244" s="651"/>
      <c r="J244" s="571"/>
      <c r="K244" s="1500"/>
      <c r="L244" s="214"/>
      <c r="M244" s="341"/>
      <c r="N244" s="334"/>
      <c r="O244" s="1624"/>
      <c r="P244" s="1624"/>
      <c r="AH244" s="1631">
        <v>0</v>
      </c>
    </row>
    <row r="245" s="1635" customFormat="1" ht="18.75" hidden="1" customHeight="1">
      <c r="A245" s="1780" t="s">
        <v>244</v>
      </c>
      <c r="B245" s="1780" t="s">
        <v>245</v>
      </c>
      <c r="C245" s="369"/>
      <c r="D245" s="2462"/>
      <c r="E245" s="2204"/>
      <c r="F245" s="2383" t="str">
        <f>INDEX(PT_DIFFERENTIATION_VTAR,MATCH(A245,PT_DIFFERENTIATION_VTAR_ID,0))</f>
        <v xml:space="preserve">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r="246" s="1635" customFormat="1" ht="18.75" hidden="1" customHeight="1">
      <c r="A246" s="1780"/>
      <c r="B246" s="1780"/>
      <c r="C246" s="369" t="s">
        <v>1149</v>
      </c>
      <c r="D246" s="2462"/>
      <c r="E246" s="2204"/>
      <c r="F246" s="2383"/>
      <c r="G246" s="2427"/>
      <c r="H246" s="1500"/>
      <c r="I246" s="651" t="s">
        <v>1148</v>
      </c>
      <c r="J246" s="571"/>
      <c r="K246" s="1500"/>
      <c r="L246" s="214"/>
      <c r="M246" s="341"/>
      <c r="N246" s="334"/>
      <c r="O246" s="1624"/>
      <c r="P246" s="1624"/>
      <c r="AH246" s="1631">
        <v>0</v>
      </c>
    </row>
    <row r="247" s="1635" customFormat="1" ht="0.75" hidden="1" customHeight="1">
      <c r="A247" s="1780"/>
      <c r="B247" s="1780"/>
      <c r="C247" s="369" t="s">
        <v>1157</v>
      </c>
      <c r="D247" s="2462"/>
      <c r="E247" s="2204"/>
      <c r="F247" s="2383"/>
      <c r="G247" s="400"/>
      <c r="H247" s="1500"/>
      <c r="I247" s="651"/>
      <c r="J247" s="571"/>
      <c r="K247" s="1500"/>
      <c r="L247" s="214"/>
      <c r="M247" s="341"/>
      <c r="N247" s="334"/>
      <c r="O247" s="1624"/>
      <c r="P247" s="1624"/>
      <c r="AH247" s="1631">
        <v>0</v>
      </c>
    </row>
    <row r="248" s="1635" customFormat="1" ht="18.75" hidden="1" customHeight="1">
      <c r="A248" s="1780" t="s">
        <v>249</v>
      </c>
      <c r="B248" s="1780" t="s">
        <v>250</v>
      </c>
      <c r="C248" s="369"/>
      <c r="D248" s="2462"/>
      <c r="E248" s="2204"/>
      <c r="F248" s="2383"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r="249" s="1635" customFormat="1" ht="18.75" hidden="1" customHeight="1">
      <c r="A249" s="1780"/>
      <c r="B249" s="1780"/>
      <c r="C249" s="369" t="s">
        <v>1149</v>
      </c>
      <c r="D249" s="2462"/>
      <c r="E249" s="2204"/>
      <c r="F249" s="2383"/>
      <c r="G249" s="2427"/>
      <c r="H249" s="1500"/>
      <c r="I249" s="651" t="s">
        <v>1148</v>
      </c>
      <c r="J249" s="571"/>
      <c r="K249" s="1500"/>
      <c r="L249" s="214"/>
      <c r="M249" s="341"/>
      <c r="N249" s="334"/>
      <c r="O249" s="1624"/>
      <c r="P249" s="1624"/>
      <c r="AH249" s="1631">
        <v>0</v>
      </c>
    </row>
    <row r="250" s="1635" customFormat="1" ht="0.75" hidden="1" customHeight="1">
      <c r="A250" s="1780"/>
      <c r="B250" s="1780"/>
      <c r="C250" s="369" t="s">
        <v>1157</v>
      </c>
      <c r="D250" s="2462"/>
      <c r="E250" s="2204"/>
      <c r="F250" s="2383"/>
      <c r="G250" s="400"/>
      <c r="H250" s="1500"/>
      <c r="I250" s="651"/>
      <c r="J250" s="571"/>
      <c r="K250" s="1500"/>
      <c r="L250" s="214"/>
      <c r="M250" s="341"/>
      <c r="N250" s="334"/>
      <c r="O250" s="1624"/>
      <c r="P250" s="1624"/>
      <c r="AH250" s="1631">
        <v>0</v>
      </c>
    </row>
    <row r="251" s="1635" customFormat="1" ht="18.75" hidden="1" customHeight="1">
      <c r="A251" s="1780" t="s">
        <v>254</v>
      </c>
      <c r="B251" s="1780" t="s">
        <v>255</v>
      </c>
      <c r="C251" s="369"/>
      <c r="D251" s="2462"/>
      <c r="E251" s="2204"/>
      <c r="F251" s="2383" t="str">
        <f>INDEX(PT_DIFFERENTIATION_VTAR,MATCH(A251,PT_DIFFERENTIATION_VTAR_ID,0))</f>
        <v xml:space="preserve">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r="252" s="1635" customFormat="1" ht="18.75" hidden="1" customHeight="1">
      <c r="A252" s="1780"/>
      <c r="B252" s="1780"/>
      <c r="C252" s="369" t="s">
        <v>1149</v>
      </c>
      <c r="D252" s="2462"/>
      <c r="E252" s="2204"/>
      <c r="F252" s="2383"/>
      <c r="G252" s="2427"/>
      <c r="H252" s="1500"/>
      <c r="I252" s="651" t="s">
        <v>1148</v>
      </c>
      <c r="J252" s="571"/>
      <c r="K252" s="1500"/>
      <c r="L252" s="214"/>
      <c r="M252" s="341"/>
      <c r="N252" s="334"/>
      <c r="O252" s="1624"/>
      <c r="P252" s="1624"/>
      <c r="AH252" s="1631">
        <v>0</v>
      </c>
    </row>
    <row r="253" s="1635" customFormat="1" ht="0.75" hidden="1" customHeight="1">
      <c r="A253" s="1780"/>
      <c r="B253" s="1780"/>
      <c r="C253" s="369" t="s">
        <v>1157</v>
      </c>
      <c r="D253" s="2462"/>
      <c r="E253" s="2204"/>
      <c r="F253" s="2383"/>
      <c r="G253" s="400"/>
      <c r="H253" s="1500"/>
      <c r="I253" s="651"/>
      <c r="J253" s="571"/>
      <c r="K253" s="1500"/>
      <c r="L253" s="214"/>
      <c r="M253" s="341"/>
      <c r="N253" s="334"/>
      <c r="O253" s="1624"/>
      <c r="P253" s="1624"/>
      <c r="AH253" s="1631">
        <v>0</v>
      </c>
    </row>
    <row r="254" s="1635" customFormat="1" ht="18.75" hidden="1" customHeight="1">
      <c r="A254" s="1780" t="s">
        <v>259</v>
      </c>
      <c r="B254" s="1780" t="s">
        <v>260</v>
      </c>
      <c r="C254" s="369"/>
      <c r="D254" s="2462"/>
      <c r="E254" s="2204"/>
      <c r="F254" s="2383" t="str">
        <f>INDEX(PT_DIFFERENTIATION_VTAR,MATCH(A254,PT_DIFFERENTIATION_VTAR_ID,0))</f>
        <v xml:space="preserve">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r="255" s="1635" customFormat="1" ht="18.75" hidden="1" customHeight="1">
      <c r="A255" s="1780"/>
      <c r="B255" s="1780"/>
      <c r="C255" s="369" t="s">
        <v>1149</v>
      </c>
      <c r="D255" s="2462"/>
      <c r="E255" s="2204"/>
      <c r="F255" s="2383"/>
      <c r="G255" s="2427"/>
      <c r="H255" s="1500"/>
      <c r="I255" s="651" t="s">
        <v>1148</v>
      </c>
      <c r="J255" s="571"/>
      <c r="K255" s="1500"/>
      <c r="L255" s="214"/>
      <c r="M255" s="341"/>
      <c r="N255" s="334"/>
      <c r="O255" s="1624"/>
      <c r="P255" s="1624"/>
      <c r="AH255" s="1631">
        <v>0</v>
      </c>
    </row>
    <row r="256" s="1635" customFormat="1" ht="0.75" hidden="1" customHeight="1">
      <c r="A256" s="1780"/>
      <c r="B256" s="1780"/>
      <c r="C256" s="369" t="s">
        <v>1157</v>
      </c>
      <c r="D256" s="2462"/>
      <c r="E256" s="2204"/>
      <c r="F256" s="2383"/>
      <c r="G256" s="400"/>
      <c r="H256" s="1500"/>
      <c r="I256" s="651"/>
      <c r="J256" s="571"/>
      <c r="K256" s="1500"/>
      <c r="L256" s="214"/>
      <c r="M256" s="341"/>
      <c r="N256" s="334"/>
      <c r="O256" s="1624"/>
      <c r="P256" s="1624"/>
      <c r="AH256" s="1631">
        <v>0</v>
      </c>
    </row>
    <row r="257" s="1635" customFormat="1" ht="18.75" hidden="1" customHeight="1">
      <c r="A257" s="1780" t="s">
        <v>264</v>
      </c>
      <c r="B257" s="1780" t="s">
        <v>265</v>
      </c>
      <c r="C257" s="369"/>
      <c r="D257" s="2462"/>
      <c r="E257" s="2204"/>
      <c r="F257" s="2383"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r="258" s="1635" customFormat="1" ht="18.75" hidden="1" customHeight="1">
      <c r="A258" s="1780"/>
      <c r="B258" s="1780"/>
      <c r="C258" s="369" t="s">
        <v>1149</v>
      </c>
      <c r="D258" s="2462"/>
      <c r="E258" s="2204"/>
      <c r="F258" s="2383"/>
      <c r="G258" s="2427"/>
      <c r="H258" s="1500"/>
      <c r="I258" s="651" t="s">
        <v>1148</v>
      </c>
      <c r="J258" s="571"/>
      <c r="K258" s="1500"/>
      <c r="L258" s="214"/>
      <c r="M258" s="341"/>
      <c r="N258" s="334"/>
      <c r="O258" s="1624"/>
      <c r="P258" s="1624"/>
      <c r="AH258" s="1631">
        <v>0</v>
      </c>
    </row>
    <row r="259" s="1635" customFormat="1" ht="0.75" hidden="1" customHeight="1">
      <c r="A259" s="1780"/>
      <c r="B259" s="1780"/>
      <c r="C259" s="369" t="s">
        <v>1157</v>
      </c>
      <c r="D259" s="2462"/>
      <c r="E259" s="2204"/>
      <c r="F259" s="2383"/>
      <c r="G259" s="400"/>
      <c r="H259" s="1500"/>
      <c r="I259" s="651"/>
      <c r="J259" s="571"/>
      <c r="K259" s="1500"/>
      <c r="L259" s="214"/>
      <c r="M259" s="341"/>
      <c r="N259" s="334"/>
      <c r="O259" s="1624"/>
      <c r="P259" s="1624"/>
      <c r="AH259" s="1631">
        <v>0</v>
      </c>
    </row>
    <row r="260" s="1635" customFormat="1" ht="18.75" hidden="1" customHeight="1">
      <c r="A260" s="1780" t="s">
        <v>269</v>
      </c>
      <c r="B260" s="1780" t="s">
        <v>270</v>
      </c>
      <c r="C260" s="369"/>
      <c r="D260" s="2462"/>
      <c r="E260" s="2204"/>
      <c r="F260" s="2383" t="str">
        <f>INDEX(PT_DIFFERENTIATION_VTAR,MATCH(A260,PT_DIFFERENTIATION_VTAR_ID,0))</f>
        <v xml:space="preserve">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r="261" s="1635" customFormat="1" ht="18.75" hidden="1" customHeight="1">
      <c r="A261" s="1780"/>
      <c r="B261" s="1780"/>
      <c r="C261" s="369" t="s">
        <v>1149</v>
      </c>
      <c r="D261" s="2462"/>
      <c r="E261" s="2204"/>
      <c r="F261" s="2383"/>
      <c r="G261" s="2427"/>
      <c r="H261" s="1500"/>
      <c r="I261" s="651" t="s">
        <v>1148</v>
      </c>
      <c r="J261" s="571"/>
      <c r="K261" s="1500"/>
      <c r="L261" s="214"/>
      <c r="M261" s="341"/>
      <c r="N261" s="334"/>
      <c r="O261" s="1624"/>
      <c r="P261" s="1624"/>
      <c r="AH261" s="1631">
        <v>0</v>
      </c>
    </row>
    <row r="262" s="1635" customFormat="1" ht="0.75" hidden="1" customHeight="1">
      <c r="A262" s="1780"/>
      <c r="B262" s="1780"/>
      <c r="C262" s="369" t="s">
        <v>1157</v>
      </c>
      <c r="D262" s="2462"/>
      <c r="E262" s="2204"/>
      <c r="F262" s="2383"/>
      <c r="G262" s="400"/>
      <c r="H262" s="1500"/>
      <c r="I262" s="651"/>
      <c r="J262" s="571"/>
      <c r="K262" s="1500"/>
      <c r="L262" s="214"/>
      <c r="M262" s="341"/>
      <c r="N262" s="334"/>
      <c r="O262" s="1624"/>
      <c r="P262" s="1624"/>
      <c r="AH262" s="1631">
        <v>0</v>
      </c>
    </row>
    <row r="263" s="1635" customFormat="1" ht="18.75" hidden="1" customHeight="1">
      <c r="A263" s="1780" t="s">
        <v>274</v>
      </c>
      <c r="B263" s="1780" t="s">
        <v>275</v>
      </c>
      <c r="C263" s="369"/>
      <c r="D263" s="2462"/>
      <c r="E263" s="2204"/>
      <c r="F263" s="2383" t="str">
        <f>INDEX(PT_DIFFERENTIATION_VTAR,MATCH(A263,PT_DIFFERENTIATION_VTAR_ID,0))</f>
        <v xml:space="preserve">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r="264" s="1635" customFormat="1" ht="18.75" hidden="1" customHeight="1">
      <c r="A264" s="1780"/>
      <c r="B264" s="1780"/>
      <c r="C264" s="369" t="s">
        <v>1149</v>
      </c>
      <c r="D264" s="2462"/>
      <c r="E264" s="2204"/>
      <c r="F264" s="2383"/>
      <c r="G264" s="2427"/>
      <c r="H264" s="1500"/>
      <c r="I264" s="651" t="s">
        <v>1148</v>
      </c>
      <c r="J264" s="571"/>
      <c r="K264" s="1500"/>
      <c r="L264" s="214"/>
      <c r="M264" s="341"/>
      <c r="N264" s="334"/>
      <c r="O264" s="1624"/>
      <c r="P264" s="1624"/>
      <c r="AH264" s="1631">
        <v>0</v>
      </c>
    </row>
    <row r="265" s="1635" customFormat="1" ht="0.75" hidden="1" customHeight="1">
      <c r="A265" s="1780"/>
      <c r="B265" s="1780"/>
      <c r="C265" s="369" t="s">
        <v>1157</v>
      </c>
      <c r="D265" s="2462"/>
      <c r="E265" s="2204"/>
      <c r="F265" s="2383"/>
      <c r="G265" s="400"/>
      <c r="H265" s="1500"/>
      <c r="I265" s="651"/>
      <c r="J265" s="571"/>
      <c r="K265" s="1500"/>
      <c r="L265" s="214"/>
      <c r="M265" s="341"/>
      <c r="N265" s="334"/>
      <c r="O265" s="1624"/>
      <c r="P265" s="1624"/>
      <c r="AH265" s="1631">
        <v>0</v>
      </c>
    </row>
    <row r="266" s="1635" customFormat="1" ht="18.75" hidden="1" customHeight="1">
      <c r="A266" s="1780" t="s">
        <v>279</v>
      </c>
      <c r="B266" s="1780" t="s">
        <v>280</v>
      </c>
      <c r="C266" s="369"/>
      <c r="D266" s="2462"/>
      <c r="E266" s="2204"/>
      <c r="F266" s="2383"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r="267" s="1635" customFormat="1" ht="18.75" hidden="1" customHeight="1">
      <c r="A267" s="1780"/>
      <c r="B267" s="1780"/>
      <c r="C267" s="369" t="s">
        <v>1149</v>
      </c>
      <c r="D267" s="2462"/>
      <c r="E267" s="2204"/>
      <c r="F267" s="2383"/>
      <c r="G267" s="2427"/>
      <c r="H267" s="1500"/>
      <c r="I267" s="651" t="s">
        <v>1148</v>
      </c>
      <c r="J267" s="571"/>
      <c r="K267" s="1500"/>
      <c r="L267" s="214"/>
      <c r="M267" s="341"/>
      <c r="N267" s="334"/>
      <c r="O267" s="1624"/>
      <c r="P267" s="1624"/>
      <c r="AH267" s="1631">
        <v>0</v>
      </c>
    </row>
    <row r="268" s="1635" customFormat="1" ht="1.05" customHeight="1">
      <c r="A268" s="1780"/>
      <c r="B268" s="1780"/>
      <c r="C268" s="369" t="s">
        <v>1157</v>
      </c>
      <c r="D268" s="2462"/>
      <c r="E268" s="2204"/>
      <c r="F268" s="2383"/>
      <c r="G268" s="400"/>
      <c r="H268" s="1500"/>
      <c r="I268" s="651"/>
      <c r="J268" s="571"/>
      <c r="K268" s="1500"/>
      <c r="L268" s="214"/>
      <c r="M268" s="341"/>
      <c r="N268" s="334"/>
      <c r="O268" s="1624"/>
      <c r="P268" s="1624"/>
      <c r="AH268" s="1631">
        <v>1</v>
      </c>
    </row>
    <row r="269" ht="27.300000000000001" customHeight="1">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r="270" s="1635" customFormat="1" ht="60.75" hidden="1" customHeight="1">
      <c r="A270" s="1780" t="s">
        <v>154</v>
      </c>
      <c r="B270" s="1780" t="s">
        <v>155</v>
      </c>
      <c r="C270" s="369"/>
      <c r="D270" s="2462"/>
      <c r="E270" s="2204"/>
      <c r="F270" s="2383"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r="271" s="1635" customFormat="1" ht="18.75" hidden="1" customHeight="1">
      <c r="A271" s="1780"/>
      <c r="B271" s="1780"/>
      <c r="C271" s="369" t="s">
        <v>1149</v>
      </c>
      <c r="D271" s="2462"/>
      <c r="E271" s="2204"/>
      <c r="F271" s="2383"/>
      <c r="G271" s="2427"/>
      <c r="H271" s="1500"/>
      <c r="I271" s="651" t="s">
        <v>1148</v>
      </c>
      <c r="J271" s="571"/>
      <c r="K271" s="1500"/>
      <c r="L271" s="214"/>
      <c r="M271" s="2170"/>
      <c r="N271" s="334"/>
      <c r="O271" s="1624"/>
      <c r="P271" s="1624"/>
      <c r="AH271" s="1631">
        <v>0</v>
      </c>
    </row>
    <row r="272" s="1635" customFormat="1" ht="0.75" hidden="1" customHeight="1">
      <c r="A272" s="1780"/>
      <c r="B272" s="1780"/>
      <c r="C272" s="369" t="s">
        <v>1157</v>
      </c>
      <c r="D272" s="2462"/>
      <c r="E272" s="2204"/>
      <c r="F272" s="2383"/>
      <c r="G272" s="400"/>
      <c r="H272" s="1500"/>
      <c r="I272" s="651"/>
      <c r="J272" s="571"/>
      <c r="K272" s="1500"/>
      <c r="L272" s="214"/>
      <c r="M272" s="2170"/>
      <c r="N272" s="334"/>
      <c r="O272" s="1624"/>
      <c r="P272" s="1624"/>
      <c r="AH272" s="1631">
        <v>0</v>
      </c>
    </row>
    <row r="273" s="1635" customFormat="1" ht="45" hidden="1" customHeight="1">
      <c r="A273" s="1780" t="s">
        <v>160</v>
      </c>
      <c r="B273" s="1780" t="s">
        <v>161</v>
      </c>
      <c r="C273" s="369"/>
      <c r="D273" s="2462"/>
      <c r="E273" s="2204"/>
      <c r="F273" s="2383"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r="274" s="1635" customFormat="1" ht="18.75" hidden="1" customHeight="1">
      <c r="A274" s="1780"/>
      <c r="B274" s="1780"/>
      <c r="C274" s="369" t="s">
        <v>1149</v>
      </c>
      <c r="D274" s="2462"/>
      <c r="E274" s="2204"/>
      <c r="F274" s="2383"/>
      <c r="G274" s="2427"/>
      <c r="H274" s="1500"/>
      <c r="I274" s="651" t="s">
        <v>1148</v>
      </c>
      <c r="J274" s="571"/>
      <c r="K274" s="1500"/>
      <c r="L274" s="214"/>
      <c r="M274" s="1861"/>
      <c r="N274" s="334"/>
      <c r="O274" s="1624"/>
      <c r="P274" s="1624"/>
      <c r="AH274" s="1631">
        <v>0</v>
      </c>
    </row>
    <row r="275" s="1635" customFormat="1" ht="0.75" hidden="1" customHeight="1">
      <c r="A275" s="1780"/>
      <c r="B275" s="1780"/>
      <c r="C275" s="369" t="s">
        <v>1157</v>
      </c>
      <c r="D275" s="2462"/>
      <c r="E275" s="2204"/>
      <c r="F275" s="2383"/>
      <c r="G275" s="400"/>
      <c r="H275" s="1500"/>
      <c r="I275" s="651"/>
      <c r="J275" s="571"/>
      <c r="K275" s="1500"/>
      <c r="L275" s="214"/>
      <c r="M275" s="341"/>
      <c r="N275" s="334"/>
      <c r="O275" s="1624"/>
      <c r="P275" s="1624"/>
      <c r="AH275" s="1631">
        <v>0</v>
      </c>
    </row>
    <row r="276" s="1635" customFormat="1" ht="45" hidden="1" customHeight="1">
      <c r="A276" s="1780" t="s">
        <v>166</v>
      </c>
      <c r="B276" s="1780" t="s">
        <v>167</v>
      </c>
      <c r="C276" s="369"/>
      <c r="D276" s="2462"/>
      <c r="E276" s="2204"/>
      <c r="F276" s="2383"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r="277" s="1635" customFormat="1" ht="18.75" hidden="1" customHeight="1">
      <c r="A277" s="1780"/>
      <c r="B277" s="1780"/>
      <c r="C277" s="369" t="s">
        <v>1149</v>
      </c>
      <c r="D277" s="2462"/>
      <c r="E277" s="2204"/>
      <c r="F277" s="2383"/>
      <c r="G277" s="2427"/>
      <c r="H277" s="1500"/>
      <c r="I277" s="651" t="s">
        <v>1148</v>
      </c>
      <c r="J277" s="571"/>
      <c r="K277" s="1500"/>
      <c r="L277" s="214"/>
      <c r="M277" s="341"/>
      <c r="N277" s="334"/>
      <c r="O277" s="1624"/>
      <c r="P277" s="1624"/>
      <c r="AH277" s="1631">
        <v>0</v>
      </c>
    </row>
    <row r="278" s="1635" customFormat="1" ht="0.75" hidden="1" customHeight="1">
      <c r="A278" s="1780"/>
      <c r="B278" s="1780"/>
      <c r="C278" s="369" t="s">
        <v>1157</v>
      </c>
      <c r="D278" s="2462"/>
      <c r="E278" s="2204"/>
      <c r="F278" s="2383"/>
      <c r="G278" s="400"/>
      <c r="H278" s="1500"/>
      <c r="I278" s="651"/>
      <c r="J278" s="571"/>
      <c r="K278" s="1500"/>
      <c r="L278" s="214"/>
      <c r="M278" s="341"/>
      <c r="N278" s="334"/>
      <c r="O278" s="1624"/>
      <c r="P278" s="1624"/>
      <c r="AH278" s="1631">
        <v>0</v>
      </c>
    </row>
    <row r="279" s="1635" customFormat="1" ht="45" hidden="1" customHeight="1">
      <c r="A279" s="1780" t="s">
        <v>172</v>
      </c>
      <c r="B279" s="1780" t="s">
        <v>173</v>
      </c>
      <c r="C279" s="369"/>
      <c r="D279" s="2462"/>
      <c r="E279" s="2204"/>
      <c r="F279" s="2383"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r="280" s="1635" customFormat="1" ht="18.75" hidden="1" customHeight="1">
      <c r="A280" s="1780"/>
      <c r="B280" s="1780"/>
      <c r="C280" s="369" t="s">
        <v>1149</v>
      </c>
      <c r="D280" s="2462"/>
      <c r="E280" s="2204"/>
      <c r="F280" s="2383"/>
      <c r="G280" s="2427"/>
      <c r="H280" s="1500"/>
      <c r="I280" s="651" t="s">
        <v>1148</v>
      </c>
      <c r="J280" s="571"/>
      <c r="K280" s="1500"/>
      <c r="L280" s="214"/>
      <c r="M280" s="341"/>
      <c r="N280" s="334"/>
      <c r="O280" s="1624"/>
      <c r="P280" s="1624"/>
      <c r="AH280" s="1631">
        <v>0</v>
      </c>
    </row>
    <row r="281" s="1635" customFormat="1" ht="0.75" hidden="1" customHeight="1">
      <c r="A281" s="1780"/>
      <c r="B281" s="1780"/>
      <c r="C281" s="369" t="s">
        <v>1157</v>
      </c>
      <c r="D281" s="2462"/>
      <c r="E281" s="2204"/>
      <c r="F281" s="2383"/>
      <c r="G281" s="400"/>
      <c r="H281" s="1500"/>
      <c r="I281" s="651"/>
      <c r="J281" s="571"/>
      <c r="K281" s="1500"/>
      <c r="L281" s="214"/>
      <c r="M281" s="341"/>
      <c r="N281" s="334"/>
      <c r="O281" s="1624"/>
      <c r="P281" s="1624"/>
      <c r="AH281" s="1631">
        <v>0</v>
      </c>
    </row>
    <row r="282" s="1635" customFormat="1" ht="18.75" hidden="1" customHeight="1">
      <c r="A282" s="1780" t="s">
        <v>178</v>
      </c>
      <c r="B282" s="1780" t="s">
        <v>179</v>
      </c>
      <c r="C282" s="369"/>
      <c r="D282" s="2462"/>
      <c r="E282" s="2204"/>
      <c r="F282" s="2383" t="str">
        <f>INDEX(PT_DIFFERENTIATION_VTAR,MATCH(A282,PT_DIFFERENTIATION_VTAR_ID,0))</f>
        <v xml:space="preserve">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r="283" s="1635" customFormat="1" ht="18.75" hidden="1" customHeight="1">
      <c r="A283" s="1780"/>
      <c r="B283" s="1780"/>
      <c r="C283" s="369" t="s">
        <v>1149</v>
      </c>
      <c r="D283" s="2462"/>
      <c r="E283" s="2204"/>
      <c r="F283" s="2383"/>
      <c r="G283" s="2427"/>
      <c r="H283" s="1500"/>
      <c r="I283" s="651" t="s">
        <v>1148</v>
      </c>
      <c r="J283" s="571"/>
      <c r="K283" s="1500"/>
      <c r="L283" s="214"/>
      <c r="M283" s="341"/>
      <c r="N283" s="334"/>
      <c r="O283" s="1624"/>
      <c r="P283" s="1624"/>
      <c r="AH283" s="1631">
        <v>0</v>
      </c>
    </row>
    <row r="284" s="1635" customFormat="1" ht="0.75" hidden="1" customHeight="1">
      <c r="A284" s="1780"/>
      <c r="B284" s="1780"/>
      <c r="C284" s="369" t="s">
        <v>1157</v>
      </c>
      <c r="D284" s="2462"/>
      <c r="E284" s="2204"/>
      <c r="F284" s="2383"/>
      <c r="G284" s="400"/>
      <c r="H284" s="1500"/>
      <c r="I284" s="651"/>
      <c r="J284" s="571"/>
      <c r="K284" s="1500"/>
      <c r="L284" s="214"/>
      <c r="M284" s="341"/>
      <c r="N284" s="334"/>
      <c r="O284" s="1624"/>
      <c r="P284" s="1624"/>
      <c r="AH284" s="1631">
        <v>0</v>
      </c>
    </row>
    <row r="285" s="1635" customFormat="1" ht="18.75" hidden="1" customHeight="1">
      <c r="A285" s="1780" t="s">
        <v>184</v>
      </c>
      <c r="B285" s="1780" t="s">
        <v>185</v>
      </c>
      <c r="C285" s="369"/>
      <c r="D285" s="2462"/>
      <c r="E285" s="2204"/>
      <c r="F285" s="2383" t="str">
        <f>INDEX(PT_DIFFERENTIATION_VTAR,MATCH(A285,PT_DIFFERENTIATION_VTAR_ID,0))</f>
        <v xml:space="preserve">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r="286" s="1635" customFormat="1" ht="18.75" hidden="1" customHeight="1">
      <c r="A286" s="1780"/>
      <c r="B286" s="1780"/>
      <c r="C286" s="369" t="s">
        <v>1149</v>
      </c>
      <c r="D286" s="2462"/>
      <c r="E286" s="2204"/>
      <c r="F286" s="2383"/>
      <c r="G286" s="2427"/>
      <c r="H286" s="1500"/>
      <c r="I286" s="651" t="s">
        <v>1148</v>
      </c>
      <c r="J286" s="571"/>
      <c r="K286" s="1500"/>
      <c r="L286" s="214"/>
      <c r="M286" s="341"/>
      <c r="N286" s="334"/>
      <c r="O286" s="1624"/>
      <c r="P286" s="1624"/>
      <c r="AH286" s="1631">
        <v>0</v>
      </c>
    </row>
    <row r="287" s="1635" customFormat="1" ht="0.75" hidden="1" customHeight="1">
      <c r="A287" s="1780"/>
      <c r="B287" s="1780"/>
      <c r="C287" s="369" t="s">
        <v>1157</v>
      </c>
      <c r="D287" s="2462"/>
      <c r="E287" s="2204"/>
      <c r="F287" s="2383"/>
      <c r="G287" s="400"/>
      <c r="H287" s="1500"/>
      <c r="I287" s="651"/>
      <c r="J287" s="571"/>
      <c r="K287" s="1500"/>
      <c r="L287" s="214"/>
      <c r="M287" s="341"/>
      <c r="N287" s="334"/>
      <c r="O287" s="1624"/>
      <c r="P287" s="1624"/>
      <c r="AH287" s="1631">
        <v>0</v>
      </c>
    </row>
    <row r="288" s="1635" customFormat="1" ht="18.75" hidden="1" customHeight="1">
      <c r="A288" s="1780" t="s">
        <v>190</v>
      </c>
      <c r="B288" s="1780" t="s">
        <v>191</v>
      </c>
      <c r="C288" s="369"/>
      <c r="D288" s="2462"/>
      <c r="E288" s="2204"/>
      <c r="F288" s="2383"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r="289" s="1635" customFormat="1" ht="18.75" hidden="1" customHeight="1">
      <c r="A289" s="1780"/>
      <c r="B289" s="1780"/>
      <c r="C289" s="369" t="s">
        <v>1149</v>
      </c>
      <c r="D289" s="2462"/>
      <c r="E289" s="2204"/>
      <c r="F289" s="2383"/>
      <c r="G289" s="2427"/>
      <c r="H289" s="1500"/>
      <c r="I289" s="651" t="s">
        <v>1148</v>
      </c>
      <c r="J289" s="571"/>
      <c r="K289" s="1500"/>
      <c r="L289" s="214"/>
      <c r="M289" s="341"/>
      <c r="N289" s="334"/>
      <c r="O289" s="1624"/>
      <c r="P289" s="1624"/>
      <c r="AH289" s="1631">
        <v>0</v>
      </c>
    </row>
    <row r="290" s="1635" customFormat="1" ht="0.75" hidden="1" customHeight="1">
      <c r="A290" s="1780"/>
      <c r="B290" s="1780"/>
      <c r="C290" s="369" t="s">
        <v>1157</v>
      </c>
      <c r="D290" s="2462"/>
      <c r="E290" s="2204"/>
      <c r="F290" s="2383"/>
      <c r="G290" s="400"/>
      <c r="H290" s="1500"/>
      <c r="I290" s="651"/>
      <c r="J290" s="571"/>
      <c r="K290" s="1500"/>
      <c r="L290" s="214"/>
      <c r="M290" s="341"/>
      <c r="N290" s="334"/>
      <c r="O290" s="1624"/>
      <c r="P290" s="1624"/>
      <c r="AH290" s="1631">
        <v>0</v>
      </c>
    </row>
    <row r="291" s="1635" customFormat="1" ht="18.75" hidden="1" customHeight="1">
      <c r="A291" s="1780" t="s">
        <v>196</v>
      </c>
      <c r="B291" s="1780" t="s">
        <v>197</v>
      </c>
      <c r="C291" s="369"/>
      <c r="D291" s="2462"/>
      <c r="E291" s="2204"/>
      <c r="F291" s="2383" t="str">
        <f>INDEX(PT_DIFFERENTIATION_VTAR,MATCH(A291,PT_DIFFERENTIATION_VTAR_ID,0))</f>
        <v xml:space="preserve">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r="292" s="1635" customFormat="1" ht="18.75" hidden="1" customHeight="1">
      <c r="A292" s="1780"/>
      <c r="B292" s="1780"/>
      <c r="C292" s="369" t="s">
        <v>1149</v>
      </c>
      <c r="D292" s="2462"/>
      <c r="E292" s="2204"/>
      <c r="F292" s="2383"/>
      <c r="G292" s="2427"/>
      <c r="H292" s="1500"/>
      <c r="I292" s="651" t="s">
        <v>1148</v>
      </c>
      <c r="J292" s="571"/>
      <c r="K292" s="1500"/>
      <c r="L292" s="214"/>
      <c r="M292" s="341"/>
      <c r="N292" s="334"/>
      <c r="O292" s="1624"/>
      <c r="P292" s="1624"/>
      <c r="AH292" s="1631">
        <v>0</v>
      </c>
    </row>
    <row r="293" s="1635" customFormat="1" ht="0.75" hidden="1" customHeight="1">
      <c r="A293" s="1780"/>
      <c r="B293" s="1780"/>
      <c r="C293" s="369" t="s">
        <v>1157</v>
      </c>
      <c r="D293" s="2462"/>
      <c r="E293" s="2204"/>
      <c r="F293" s="2383"/>
      <c r="G293" s="400"/>
      <c r="H293" s="1500"/>
      <c r="I293" s="651"/>
      <c r="J293" s="571"/>
      <c r="K293" s="1500"/>
      <c r="L293" s="214"/>
      <c r="M293" s="341"/>
      <c r="N293" s="334"/>
      <c r="O293" s="1624"/>
      <c r="P293" s="1624"/>
      <c r="AH293" s="1631">
        <v>0</v>
      </c>
    </row>
    <row r="294" s="1635" customFormat="1" ht="18.75" hidden="1" customHeight="1">
      <c r="A294" s="1780" t="s">
        <v>205</v>
      </c>
      <c r="B294" s="1780" t="s">
        <v>206</v>
      </c>
      <c r="C294" s="369"/>
      <c r="D294" s="2462"/>
      <c r="E294" s="2204"/>
      <c r="F294" s="2383" t="str">
        <f>INDEX(PT_DIFFERENTIATION_VTAR,MATCH(A294,PT_DIFFERENTIATION_VTAR_ID,0))</f>
        <v xml:space="preserve">Плата за подключение (технологическое присоединение) к системе теплоснабжения (индивидуальная)</v>
      </c>
      <c r="G294" s="2427" t="str">
        <f>INDEX(PT_DIFFERENTIATION_NTAR,MATCH(B294,PT_DIFFERENTIATION_NTAR_ID,0))</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310</v>
      </c>
      <c r="M294" s="341"/>
      <c r="N294" s="334"/>
      <c r="O294" s="1624"/>
      <c r="P294" s="1624"/>
      <c r="AH294" s="1631">
        <v>0</v>
      </c>
    </row>
    <row r="295" s="1635" customFormat="1" ht="18.75" hidden="1" customHeight="1">
      <c r="A295" s="1780"/>
      <c r="B295" s="1780"/>
      <c r="C295" s="369" t="s">
        <v>1149</v>
      </c>
      <c r="D295" s="2462"/>
      <c r="E295" s="2204"/>
      <c r="F295" s="2383"/>
      <c r="G295" s="2427"/>
      <c r="H295" s="1500"/>
      <c r="I295" s="651" t="s">
        <v>1148</v>
      </c>
      <c r="J295" s="571"/>
      <c r="K295" s="1500"/>
      <c r="L295" s="214"/>
      <c r="M295" s="341"/>
      <c r="N295" s="334"/>
      <c r="O295" s="1624"/>
      <c r="P295" s="1624"/>
      <c r="AH295" s="1631">
        <v>0</v>
      </c>
    </row>
    <row r="296" s="1635" customFormat="1" ht="0.75" hidden="1" customHeight="1">
      <c r="A296" s="1780"/>
      <c r="B296" s="1780"/>
      <c r="C296" s="369" t="s">
        <v>1157</v>
      </c>
      <c r="D296" s="2462"/>
      <c r="E296" s="2204"/>
      <c r="F296" s="2383"/>
      <c r="G296" s="400"/>
      <c r="H296" s="1500"/>
      <c r="I296" s="651"/>
      <c r="J296" s="571"/>
      <c r="K296" s="1500"/>
      <c r="L296" s="214"/>
      <c r="M296" s="341"/>
      <c r="N296" s="334"/>
      <c r="O296" s="1624"/>
      <c r="P296" s="1624"/>
      <c r="AH296" s="1631">
        <v>0</v>
      </c>
    </row>
    <row r="297" s="1635" customFormat="1" ht="18.75" hidden="1" customHeight="1">
      <c r="A297" s="1780" t="s">
        <v>229</v>
      </c>
      <c r="B297" s="1780" t="s">
        <v>230</v>
      </c>
      <c r="C297" s="369"/>
      <c r="D297" s="2462"/>
      <c r="E297" s="2204"/>
      <c r="F297" s="2383" t="str">
        <f>INDEX(PT_DIFFERENTIATION_VTAR,MATCH(A297,PT_DIFFERENTIATION_VTAR_ID,0))</f>
        <v xml:space="preserve">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r="298" s="1635" customFormat="1" ht="18.75" hidden="1" customHeight="1">
      <c r="A298" s="1780"/>
      <c r="B298" s="1780"/>
      <c r="C298" s="369" t="s">
        <v>1149</v>
      </c>
      <c r="D298" s="2462"/>
      <c r="E298" s="2204"/>
      <c r="F298" s="2383"/>
      <c r="G298" s="2427"/>
      <c r="H298" s="1500"/>
      <c r="I298" s="651" t="s">
        <v>1148</v>
      </c>
      <c r="J298" s="571"/>
      <c r="K298" s="1500"/>
      <c r="L298" s="214"/>
      <c r="M298" s="341"/>
      <c r="N298" s="334"/>
      <c r="O298" s="1624"/>
      <c r="P298" s="1624"/>
      <c r="AH298" s="1631">
        <v>0</v>
      </c>
    </row>
    <row r="299" s="1635" customFormat="1" ht="0.75" hidden="1" customHeight="1">
      <c r="A299" s="1780"/>
      <c r="B299" s="1780"/>
      <c r="C299" s="369" t="s">
        <v>1157</v>
      </c>
      <c r="D299" s="2462"/>
      <c r="E299" s="2204"/>
      <c r="F299" s="2383"/>
      <c r="G299" s="400"/>
      <c r="H299" s="1500"/>
      <c r="I299" s="651"/>
      <c r="J299" s="571"/>
      <c r="K299" s="1500"/>
      <c r="L299" s="214"/>
      <c r="M299" s="341"/>
      <c r="N299" s="334"/>
      <c r="O299" s="1624"/>
      <c r="P299" s="1624"/>
      <c r="AH299" s="1631">
        <v>0</v>
      </c>
    </row>
    <row r="300" s="1635" customFormat="1" ht="18.75" hidden="1" customHeight="1">
      <c r="A300" s="1780" t="s">
        <v>234</v>
      </c>
      <c r="B300" s="1780" t="s">
        <v>235</v>
      </c>
      <c r="C300" s="369"/>
      <c r="D300" s="2462"/>
      <c r="E300" s="2204"/>
      <c r="F300" s="2383" t="str">
        <f>INDEX(PT_DIFFERENTIATION_VTAR,MATCH(A300,PT_DIFFERENTIATION_VTAR_ID,0))</f>
        <v xml:space="preserve">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r="301" s="1635" customFormat="1" ht="18.75" hidden="1" customHeight="1">
      <c r="A301" s="1780"/>
      <c r="B301" s="1780"/>
      <c r="C301" s="369" t="s">
        <v>1149</v>
      </c>
      <c r="D301" s="2462"/>
      <c r="E301" s="2204"/>
      <c r="F301" s="2383"/>
      <c r="G301" s="2427"/>
      <c r="H301" s="1500"/>
      <c r="I301" s="651" t="s">
        <v>1148</v>
      </c>
      <c r="J301" s="571"/>
      <c r="K301" s="1500"/>
      <c r="L301" s="214"/>
      <c r="M301" s="341"/>
      <c r="N301" s="334"/>
      <c r="O301" s="1624"/>
      <c r="P301" s="1624"/>
      <c r="AH301" s="1631">
        <v>0</v>
      </c>
    </row>
    <row r="302" s="1635" customFormat="1" ht="0.75" hidden="1" customHeight="1">
      <c r="A302" s="1780"/>
      <c r="B302" s="1780"/>
      <c r="C302" s="369" t="s">
        <v>1157</v>
      </c>
      <c r="D302" s="2462"/>
      <c r="E302" s="2204"/>
      <c r="F302" s="2383"/>
      <c r="G302" s="400"/>
      <c r="H302" s="1500"/>
      <c r="I302" s="651"/>
      <c r="J302" s="571"/>
      <c r="K302" s="1500"/>
      <c r="L302" s="214"/>
      <c r="M302" s="341"/>
      <c r="N302" s="334"/>
      <c r="O302" s="1624"/>
      <c r="P302" s="1624"/>
      <c r="AH302" s="1631">
        <v>0</v>
      </c>
    </row>
    <row r="303" s="1635" customFormat="1" ht="18.75" hidden="1" customHeight="1">
      <c r="A303" s="1780" t="s">
        <v>239</v>
      </c>
      <c r="B303" s="1780" t="s">
        <v>240</v>
      </c>
      <c r="C303" s="369"/>
      <c r="D303" s="2462"/>
      <c r="E303" s="2204"/>
      <c r="F303" s="2383" t="str">
        <f>INDEX(PT_DIFFERENTIATION_VTAR,MATCH(A303,PT_DIFFERENTIATION_VTAR_ID,0))</f>
        <v xml:space="preserve">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r="304" s="1635" customFormat="1" ht="18.75" hidden="1" customHeight="1">
      <c r="A304" s="1780"/>
      <c r="B304" s="1780"/>
      <c r="C304" s="369" t="s">
        <v>1149</v>
      </c>
      <c r="D304" s="2462"/>
      <c r="E304" s="2204"/>
      <c r="F304" s="2383"/>
      <c r="G304" s="2427"/>
      <c r="H304" s="1500"/>
      <c r="I304" s="651" t="s">
        <v>1148</v>
      </c>
      <c r="J304" s="571"/>
      <c r="K304" s="1500"/>
      <c r="L304" s="214"/>
      <c r="M304" s="341"/>
      <c r="N304" s="334"/>
      <c r="O304" s="1624"/>
      <c r="P304" s="1624"/>
      <c r="AH304" s="1631">
        <v>0</v>
      </c>
    </row>
    <row r="305" s="1635" customFormat="1" ht="0.75" hidden="1" customHeight="1">
      <c r="A305" s="1780"/>
      <c r="B305" s="1780"/>
      <c r="C305" s="369" t="s">
        <v>1157</v>
      </c>
      <c r="D305" s="2462"/>
      <c r="E305" s="2204"/>
      <c r="F305" s="2383"/>
      <c r="G305" s="400"/>
      <c r="H305" s="1500"/>
      <c r="I305" s="651"/>
      <c r="J305" s="571"/>
      <c r="K305" s="1500"/>
      <c r="L305" s="214"/>
      <c r="M305" s="341"/>
      <c r="N305" s="334"/>
      <c r="O305" s="1624"/>
      <c r="P305" s="1624"/>
      <c r="AH305" s="1631">
        <v>0</v>
      </c>
    </row>
    <row r="306" s="1635" customFormat="1" ht="18.75" hidden="1" customHeight="1">
      <c r="A306" s="1780" t="s">
        <v>244</v>
      </c>
      <c r="B306" s="1780" t="s">
        <v>245</v>
      </c>
      <c r="C306" s="369"/>
      <c r="D306" s="2462"/>
      <c r="E306" s="2204"/>
      <c r="F306" s="2383" t="str">
        <f>INDEX(PT_DIFFERENTIATION_VTAR,MATCH(A306,PT_DIFFERENTIATION_VTAR_ID,0))</f>
        <v xml:space="preserve">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r="307" s="1635" customFormat="1" ht="18.75" hidden="1" customHeight="1">
      <c r="A307" s="1780"/>
      <c r="B307" s="1780"/>
      <c r="C307" s="369" t="s">
        <v>1149</v>
      </c>
      <c r="D307" s="2462"/>
      <c r="E307" s="2204"/>
      <c r="F307" s="2383"/>
      <c r="G307" s="2427"/>
      <c r="H307" s="1500"/>
      <c r="I307" s="651" t="s">
        <v>1148</v>
      </c>
      <c r="J307" s="571"/>
      <c r="K307" s="1500"/>
      <c r="L307" s="214"/>
      <c r="M307" s="341"/>
      <c r="N307" s="334"/>
      <c r="O307" s="1624"/>
      <c r="P307" s="1624"/>
      <c r="AH307" s="1631">
        <v>0</v>
      </c>
    </row>
    <row r="308" s="1635" customFormat="1" ht="0.75" hidden="1" customHeight="1">
      <c r="A308" s="1780"/>
      <c r="B308" s="1780"/>
      <c r="C308" s="369" t="s">
        <v>1157</v>
      </c>
      <c r="D308" s="2462"/>
      <c r="E308" s="2204"/>
      <c r="F308" s="2383"/>
      <c r="G308" s="400"/>
      <c r="H308" s="1500"/>
      <c r="I308" s="651"/>
      <c r="J308" s="571"/>
      <c r="K308" s="1500"/>
      <c r="L308" s="214"/>
      <c r="M308" s="341"/>
      <c r="N308" s="334"/>
      <c r="O308" s="1624"/>
      <c r="P308" s="1624"/>
      <c r="AH308" s="1631">
        <v>0</v>
      </c>
    </row>
    <row r="309" s="1635" customFormat="1" ht="18.75" hidden="1" customHeight="1">
      <c r="A309" s="1780" t="s">
        <v>249</v>
      </c>
      <c r="B309" s="1780" t="s">
        <v>250</v>
      </c>
      <c r="C309" s="369"/>
      <c r="D309" s="2462"/>
      <c r="E309" s="2204"/>
      <c r="F309" s="2383"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r="310" s="1635" customFormat="1" ht="18.75" hidden="1" customHeight="1">
      <c r="A310" s="1780"/>
      <c r="B310" s="1780"/>
      <c r="C310" s="369" t="s">
        <v>1149</v>
      </c>
      <c r="D310" s="2462"/>
      <c r="E310" s="2204"/>
      <c r="F310" s="2383"/>
      <c r="G310" s="2427"/>
      <c r="H310" s="1500"/>
      <c r="I310" s="651" t="s">
        <v>1148</v>
      </c>
      <c r="J310" s="571"/>
      <c r="K310" s="1500"/>
      <c r="L310" s="214"/>
      <c r="M310" s="341"/>
      <c r="N310" s="334"/>
      <c r="O310" s="1624"/>
      <c r="P310" s="1624"/>
      <c r="AH310" s="1631">
        <v>0</v>
      </c>
    </row>
    <row r="311" s="1635" customFormat="1" ht="0.75" hidden="1" customHeight="1">
      <c r="A311" s="1780"/>
      <c r="B311" s="1780"/>
      <c r="C311" s="369" t="s">
        <v>1157</v>
      </c>
      <c r="D311" s="2462"/>
      <c r="E311" s="2204"/>
      <c r="F311" s="2383"/>
      <c r="G311" s="400"/>
      <c r="H311" s="1500"/>
      <c r="I311" s="651"/>
      <c r="J311" s="571"/>
      <c r="K311" s="1500"/>
      <c r="L311" s="214"/>
      <c r="M311" s="341"/>
      <c r="N311" s="334"/>
      <c r="O311" s="1624"/>
      <c r="P311" s="1624"/>
      <c r="AH311" s="1631">
        <v>0</v>
      </c>
    </row>
    <row r="312" s="1635" customFormat="1" ht="18.75" hidden="1" customHeight="1">
      <c r="A312" s="1780" t="s">
        <v>254</v>
      </c>
      <c r="B312" s="1780" t="s">
        <v>255</v>
      </c>
      <c r="C312" s="369"/>
      <c r="D312" s="2462"/>
      <c r="E312" s="2204"/>
      <c r="F312" s="2383" t="str">
        <f>INDEX(PT_DIFFERENTIATION_VTAR,MATCH(A312,PT_DIFFERENTIATION_VTAR_ID,0))</f>
        <v xml:space="preserve">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r="313" s="1635" customFormat="1" ht="18.75" hidden="1" customHeight="1">
      <c r="A313" s="1780"/>
      <c r="B313" s="1780"/>
      <c r="C313" s="369" t="s">
        <v>1149</v>
      </c>
      <c r="D313" s="2462"/>
      <c r="E313" s="2204"/>
      <c r="F313" s="2383"/>
      <c r="G313" s="2427"/>
      <c r="H313" s="1500"/>
      <c r="I313" s="651" t="s">
        <v>1148</v>
      </c>
      <c r="J313" s="571"/>
      <c r="K313" s="1500"/>
      <c r="L313" s="214"/>
      <c r="M313" s="341"/>
      <c r="N313" s="334"/>
      <c r="O313" s="1624"/>
      <c r="P313" s="1624"/>
      <c r="AH313" s="1631">
        <v>0</v>
      </c>
    </row>
    <row r="314" s="1635" customFormat="1" ht="0.75" hidden="1" customHeight="1">
      <c r="A314" s="1780"/>
      <c r="B314" s="1780"/>
      <c r="C314" s="369" t="s">
        <v>1157</v>
      </c>
      <c r="D314" s="2462"/>
      <c r="E314" s="2204"/>
      <c r="F314" s="2383"/>
      <c r="G314" s="400"/>
      <c r="H314" s="1500"/>
      <c r="I314" s="651"/>
      <c r="J314" s="571"/>
      <c r="K314" s="1500"/>
      <c r="L314" s="214"/>
      <c r="M314" s="341"/>
      <c r="N314" s="334"/>
      <c r="O314" s="1624"/>
      <c r="P314" s="1624"/>
      <c r="AH314" s="1631">
        <v>0</v>
      </c>
    </row>
    <row r="315" s="1635" customFormat="1" ht="18.75" hidden="1" customHeight="1">
      <c r="A315" s="1780" t="s">
        <v>259</v>
      </c>
      <c r="B315" s="1780" t="s">
        <v>260</v>
      </c>
      <c r="C315" s="369"/>
      <c r="D315" s="2462"/>
      <c r="E315" s="2204"/>
      <c r="F315" s="2383" t="str">
        <f>INDEX(PT_DIFFERENTIATION_VTAR,MATCH(A315,PT_DIFFERENTIATION_VTAR_ID,0))</f>
        <v xml:space="preserve">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r="316" s="1635" customFormat="1" ht="18.75" hidden="1" customHeight="1">
      <c r="A316" s="1780"/>
      <c r="B316" s="1780"/>
      <c r="C316" s="369" t="s">
        <v>1149</v>
      </c>
      <c r="D316" s="2462"/>
      <c r="E316" s="2204"/>
      <c r="F316" s="2383"/>
      <c r="G316" s="2427"/>
      <c r="H316" s="1500"/>
      <c r="I316" s="651" t="s">
        <v>1148</v>
      </c>
      <c r="J316" s="571"/>
      <c r="K316" s="1500"/>
      <c r="L316" s="214"/>
      <c r="M316" s="341"/>
      <c r="N316" s="334"/>
      <c r="O316" s="1624"/>
      <c r="P316" s="1624"/>
      <c r="AH316" s="1631">
        <v>0</v>
      </c>
    </row>
    <row r="317" s="1635" customFormat="1" ht="0.75" hidden="1" customHeight="1">
      <c r="A317" s="1780"/>
      <c r="B317" s="1780"/>
      <c r="C317" s="369" t="s">
        <v>1157</v>
      </c>
      <c r="D317" s="2462"/>
      <c r="E317" s="2204"/>
      <c r="F317" s="2383"/>
      <c r="G317" s="400"/>
      <c r="H317" s="1500"/>
      <c r="I317" s="651"/>
      <c r="J317" s="571"/>
      <c r="K317" s="1500"/>
      <c r="L317" s="214"/>
      <c r="M317" s="341"/>
      <c r="N317" s="334"/>
      <c r="O317" s="1624"/>
      <c r="P317" s="1624"/>
      <c r="AH317" s="1631">
        <v>0</v>
      </c>
    </row>
    <row r="318" s="1635" customFormat="1" ht="18.75" hidden="1" customHeight="1">
      <c r="A318" s="1780" t="s">
        <v>264</v>
      </c>
      <c r="B318" s="1780" t="s">
        <v>265</v>
      </c>
      <c r="C318" s="369"/>
      <c r="D318" s="2462"/>
      <c r="E318" s="2204"/>
      <c r="F318" s="2383"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r="319" s="1635" customFormat="1" ht="18.75" hidden="1" customHeight="1">
      <c r="A319" s="1780"/>
      <c r="B319" s="1780"/>
      <c r="C319" s="369" t="s">
        <v>1149</v>
      </c>
      <c r="D319" s="2462"/>
      <c r="E319" s="2204"/>
      <c r="F319" s="2383"/>
      <c r="G319" s="2427"/>
      <c r="H319" s="1500"/>
      <c r="I319" s="651" t="s">
        <v>1148</v>
      </c>
      <c r="J319" s="571"/>
      <c r="K319" s="1500"/>
      <c r="L319" s="214"/>
      <c r="M319" s="341"/>
      <c r="N319" s="334"/>
      <c r="O319" s="1624"/>
      <c r="P319" s="1624"/>
      <c r="AH319" s="1631">
        <v>0</v>
      </c>
    </row>
    <row r="320" s="1635" customFormat="1" ht="0.75" hidden="1" customHeight="1">
      <c r="A320" s="1780"/>
      <c r="B320" s="1780"/>
      <c r="C320" s="369" t="s">
        <v>1157</v>
      </c>
      <c r="D320" s="2462"/>
      <c r="E320" s="2204"/>
      <c r="F320" s="2383"/>
      <c r="G320" s="400"/>
      <c r="H320" s="1500"/>
      <c r="I320" s="651"/>
      <c r="J320" s="571"/>
      <c r="K320" s="1500"/>
      <c r="L320" s="214"/>
      <c r="M320" s="341"/>
      <c r="N320" s="334"/>
      <c r="O320" s="1624"/>
      <c r="P320" s="1624"/>
      <c r="AH320" s="1631">
        <v>0</v>
      </c>
    </row>
    <row r="321" s="1635" customFormat="1" ht="18.75" hidden="1" customHeight="1">
      <c r="A321" s="1780" t="s">
        <v>269</v>
      </c>
      <c r="B321" s="1780" t="s">
        <v>270</v>
      </c>
      <c r="C321" s="369"/>
      <c r="D321" s="2462"/>
      <c r="E321" s="2204"/>
      <c r="F321" s="2383" t="str">
        <f>INDEX(PT_DIFFERENTIATION_VTAR,MATCH(A321,PT_DIFFERENTIATION_VTAR_ID,0))</f>
        <v xml:space="preserve">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r="322" s="1635" customFormat="1" ht="18.75" hidden="1" customHeight="1">
      <c r="A322" s="1780"/>
      <c r="B322" s="1780"/>
      <c r="C322" s="369" t="s">
        <v>1149</v>
      </c>
      <c r="D322" s="2462"/>
      <c r="E322" s="2204"/>
      <c r="F322" s="2383"/>
      <c r="G322" s="2427"/>
      <c r="H322" s="1500"/>
      <c r="I322" s="651" t="s">
        <v>1148</v>
      </c>
      <c r="J322" s="571"/>
      <c r="K322" s="1500"/>
      <c r="L322" s="214"/>
      <c r="M322" s="341"/>
      <c r="N322" s="334"/>
      <c r="O322" s="1624"/>
      <c r="P322" s="1624"/>
      <c r="AH322" s="1631">
        <v>0</v>
      </c>
    </row>
    <row r="323" s="1635" customFormat="1" ht="0.75" hidden="1" customHeight="1">
      <c r="A323" s="1780"/>
      <c r="B323" s="1780"/>
      <c r="C323" s="369" t="s">
        <v>1157</v>
      </c>
      <c r="D323" s="2462"/>
      <c r="E323" s="2204"/>
      <c r="F323" s="2383"/>
      <c r="G323" s="400"/>
      <c r="H323" s="1500"/>
      <c r="I323" s="651"/>
      <c r="J323" s="571"/>
      <c r="K323" s="1500"/>
      <c r="L323" s="214"/>
      <c r="M323" s="341"/>
      <c r="N323" s="334"/>
      <c r="O323" s="1624"/>
      <c r="P323" s="1624"/>
      <c r="AH323" s="1631">
        <v>0</v>
      </c>
    </row>
    <row r="324" s="1635" customFormat="1" ht="18.75" hidden="1" customHeight="1">
      <c r="A324" s="1780" t="s">
        <v>274</v>
      </c>
      <c r="B324" s="1780" t="s">
        <v>275</v>
      </c>
      <c r="C324" s="369"/>
      <c r="D324" s="2462"/>
      <c r="E324" s="2204"/>
      <c r="F324" s="2383" t="str">
        <f>INDEX(PT_DIFFERENTIATION_VTAR,MATCH(A324,PT_DIFFERENTIATION_VTAR_ID,0))</f>
        <v xml:space="preserve">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r="325" s="1635" customFormat="1" ht="18.75" hidden="1" customHeight="1">
      <c r="A325" s="1780"/>
      <c r="B325" s="1780"/>
      <c r="C325" s="369" t="s">
        <v>1149</v>
      </c>
      <c r="D325" s="2462"/>
      <c r="E325" s="2204"/>
      <c r="F325" s="2383"/>
      <c r="G325" s="2427"/>
      <c r="H325" s="1500"/>
      <c r="I325" s="651" t="s">
        <v>1148</v>
      </c>
      <c r="J325" s="571"/>
      <c r="K325" s="1500"/>
      <c r="L325" s="214"/>
      <c r="M325" s="341"/>
      <c r="N325" s="334"/>
      <c r="O325" s="1624"/>
      <c r="P325" s="1624"/>
      <c r="AH325" s="1631">
        <v>0</v>
      </c>
    </row>
    <row r="326" s="1635" customFormat="1" ht="0.75" hidden="1" customHeight="1">
      <c r="A326" s="1780"/>
      <c r="B326" s="1780"/>
      <c r="C326" s="369" t="s">
        <v>1157</v>
      </c>
      <c r="D326" s="2462"/>
      <c r="E326" s="2204"/>
      <c r="F326" s="2383"/>
      <c r="G326" s="400"/>
      <c r="H326" s="1500"/>
      <c r="I326" s="651"/>
      <c r="J326" s="571"/>
      <c r="K326" s="1500"/>
      <c r="L326" s="214"/>
      <c r="M326" s="341"/>
      <c r="N326" s="334"/>
      <c r="O326" s="1624"/>
      <c r="P326" s="1624"/>
      <c r="AH326" s="1631">
        <v>0</v>
      </c>
    </row>
    <row r="327" s="1635" customFormat="1" ht="18.75" hidden="1" customHeight="1">
      <c r="A327" s="1780" t="s">
        <v>279</v>
      </c>
      <c r="B327" s="1780" t="s">
        <v>280</v>
      </c>
      <c r="C327" s="369"/>
      <c r="D327" s="2462"/>
      <c r="E327" s="2204"/>
      <c r="F327" s="2383"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r="328" s="1635" customFormat="1" ht="18.75" hidden="1" customHeight="1">
      <c r="A328" s="1780"/>
      <c r="B328" s="1780"/>
      <c r="C328" s="369" t="s">
        <v>1149</v>
      </c>
      <c r="D328" s="2462"/>
      <c r="E328" s="2204"/>
      <c r="F328" s="2383"/>
      <c r="G328" s="2427"/>
      <c r="H328" s="1500"/>
      <c r="I328" s="651" t="s">
        <v>1148</v>
      </c>
      <c r="J328" s="571"/>
      <c r="K328" s="1500"/>
      <c r="L328" s="214"/>
      <c r="M328" s="341"/>
      <c r="N328" s="334"/>
      <c r="O328" s="1624"/>
      <c r="P328" s="1624"/>
      <c r="AH328" s="1631">
        <v>0</v>
      </c>
    </row>
    <row r="329" s="1635" customFormat="1" ht="1.05" customHeight="1">
      <c r="A329" s="1780"/>
      <c r="B329" s="1780"/>
      <c r="C329" s="369" t="s">
        <v>1157</v>
      </c>
      <c r="D329" s="2462"/>
      <c r="E329" s="2204"/>
      <c r="F329" s="2383"/>
      <c r="G329" s="400"/>
      <c r="H329" s="1500"/>
      <c r="I329" s="651"/>
      <c r="J329" s="571"/>
      <c r="K329" s="1500"/>
      <c r="L329" s="214"/>
      <c r="M329" s="341"/>
      <c r="N329" s="334"/>
      <c r="O329" s="1624"/>
      <c r="P329" s="1624"/>
      <c r="AH329" s="1631">
        <v>1</v>
      </c>
    </row>
    <row r="330" s="1823" customFormat="1" ht="3" customHeight="1">
      <c r="A330" s="1780"/>
      <c r="B330" s="1780"/>
      <c r="C330" s="1781"/>
      <c r="E330" s="402"/>
      <c r="F330" s="402"/>
      <c r="G330" s="402"/>
      <c r="H330" s="402"/>
      <c r="I330" s="402"/>
      <c r="J330" s="402"/>
      <c r="K330" s="402"/>
      <c r="L330" s="402"/>
      <c r="M330" s="402"/>
      <c r="O330" s="196"/>
      <c r="P330" s="196"/>
      <c r="AH330" s="140">
        <v>3</v>
      </c>
    </row>
    <row r="331" ht="26.25" customHeight="1">
      <c r="E331" s="202"/>
      <c r="F331" s="2285"/>
      <c r="G331" s="2285"/>
      <c r="H331" s="2285"/>
      <c r="I331" s="2285"/>
      <c r="J331" s="2285"/>
      <c r="K331" s="2285"/>
      <c r="L331" s="2285"/>
      <c r="M331" s="2285"/>
      <c r="AH331" s="374">
        <v>25</v>
      </c>
    </row>
    <row r="332" ht="14.25" hidden="1" customHeight="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autoFilter="0" deleteColumns="1" deleteRows="1" formatColumns="0" formatRows="0" insertColumns="1" insertRows="1" sheet="1" sort="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730077-00EC-4DC4-9B18-0074001E002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FB0010-0021-416D-922D-00C100BF0098}"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6B0020-003F-4F0B-BA9E-00F300860030}"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zoomScale="9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defaultRowHeight="14.25" customHeight="1"/>
  <cols>
    <col customWidth="1" hidden="1" min="1" max="1" style="2397" width="9.140625"/>
    <col customWidth="1" hidden="1" min="2" max="2" style="1366" width="9.140625"/>
    <col customWidth="1" min="3" max="3" style="344" width="3.00390625"/>
    <col customWidth="1" min="4" max="4" style="1635" width="6.00390625"/>
    <col customWidth="1" min="5" max="5" style="1635" width="53.00390625"/>
    <col customWidth="1" min="6" max="6" style="1635" width="35.00390625"/>
    <col customWidth="1" min="7" max="7" style="1635" width="65.55078125"/>
    <col customWidth="1" min="8" max="8" style="1635" width="89.00390625"/>
    <col customWidth="1" min="9" max="9" style="1635" width="10.00390625"/>
    <col customWidth="1" min="10" max="11" style="1624" width="10.00390625"/>
    <col customWidth="1" min="12" max="17" style="1635" width="10.00390625"/>
    <col hidden="1" min="18" max="18" style="1635" width="10.57421875"/>
  </cols>
  <sheetData>
    <row r="1" ht="22.5" hidden="1" customHeight="1">
      <c r="N1" s="255"/>
      <c r="O1" s="255"/>
      <c r="Q1" s="255"/>
      <c r="R1" s="374" t="s">
        <v>14</v>
      </c>
    </row>
    <row r="2" s="1635" customFormat="1" ht="18.75" hidden="1" customHeight="1">
      <c r="A2" s="102"/>
      <c r="B2" s="1160"/>
      <c r="C2" s="1730" t="s">
        <v>692</v>
      </c>
      <c r="D2" s="1673"/>
      <c r="E2" s="1682"/>
      <c r="F2" s="257"/>
      <c r="G2" s="1161"/>
      <c r="H2" s="374"/>
      <c r="I2" s="1624"/>
      <c r="J2" s="1624"/>
      <c r="R2" s="1631">
        <v>0</v>
      </c>
    </row>
    <row r="3" ht="14.25" hidden="1" customHeight="1">
      <c r="R3" s="374">
        <v>0</v>
      </c>
    </row>
    <row r="4" ht="6.2999999999999998" customHeight="1">
      <c r="C4" s="376"/>
      <c r="D4" s="363"/>
      <c r="E4" s="363"/>
      <c r="F4" s="363"/>
      <c r="G4" s="85"/>
      <c r="H4" s="85"/>
      <c r="R4" s="374">
        <v>6</v>
      </c>
    </row>
    <row r="5" ht="34.5" customHeight="1">
      <c r="C5" s="376"/>
      <c r="D5" s="2454"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r="6" s="1635" customFormat="1" ht="18" customHeight="1">
      <c r="A6" s="1669"/>
      <c r="B6" s="1160"/>
      <c r="C6" s="376"/>
      <c r="D6" s="2457" t="str">
        <f>IF(org=0,"Не определено",org)</f>
        <v xml:space="preserve">АО "ДГК"</v>
      </c>
      <c r="E6" s="2458"/>
      <c r="F6" s="2458"/>
      <c r="G6" s="2459"/>
      <c r="H6" s="266"/>
      <c r="J6" s="1624"/>
      <c r="K6" s="1624"/>
      <c r="R6" s="1631">
        <v>17</v>
      </c>
    </row>
    <row r="7" ht="14.65" customHeight="1">
      <c r="C7" s="376"/>
      <c r="D7" s="363"/>
      <c r="E7" s="389"/>
      <c r="F7" s="389"/>
      <c r="G7" s="752"/>
      <c r="H7" s="193"/>
      <c r="R7" s="374">
        <v>14</v>
      </c>
    </row>
    <row r="8" ht="14.65" customHeight="1">
      <c r="C8" s="376"/>
      <c r="D8" s="2209" t="s">
        <v>304</v>
      </c>
      <c r="E8" s="2209"/>
      <c r="F8" s="2209"/>
      <c r="G8" s="2209"/>
      <c r="H8" s="2389" t="s">
        <v>305</v>
      </c>
      <c r="R8" s="374">
        <v>14</v>
      </c>
    </row>
    <row r="9" ht="24" customHeight="1">
      <c r="C9" s="376"/>
      <c r="D9" s="386" t="s">
        <v>88</v>
      </c>
      <c r="E9" s="108" t="s">
        <v>306</v>
      </c>
      <c r="F9" s="108" t="s">
        <v>307</v>
      </c>
      <c r="G9" s="108" t="s">
        <v>394</v>
      </c>
      <c r="H9" s="2389"/>
      <c r="R9" s="374">
        <v>23</v>
      </c>
    </row>
    <row r="10" ht="25.800000000000001" customHeight="1">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7" t="s">
        <v>1159</v>
      </c>
      <c r="H10" s="2169" t="s">
        <v>1160</v>
      </c>
      <c r="R10" s="374">
        <v>14</v>
      </c>
    </row>
    <row r="11" ht="30" customHeight="1">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7" t="s">
        <v>1159</v>
      </c>
      <c r="H11" s="2170"/>
      <c r="R11" s="374">
        <v>14</v>
      </c>
    </row>
    <row r="12" ht="27.5" customHeight="1">
      <c r="A12" s="102"/>
      <c r="C12" s="387"/>
      <c r="D12" s="147" t="s">
        <v>90</v>
      </c>
      <c r="E12" s="388" t="str">
        <f>"Сведения о планировании закупочных процедур"&amp;IF(TEMPLATE_SPHERE="TKO"," &lt;1&gt;","")</f>
        <v xml:space="preserve">Сведения о планировании закупочных процедур</v>
      </c>
      <c r="F12" s="257" t="s">
        <v>1161</v>
      </c>
      <c r="G12" s="2677"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r="13" ht="29.149999999999999" customHeight="1">
      <c r="A13" s="102"/>
      <c r="C13" s="387"/>
      <c r="D13" s="147" t="s">
        <v>91</v>
      </c>
      <c r="E13" s="388" t="str">
        <f>"Сведения о результатах проведения закупочных процедур"&amp;IF(TEMPLATE_SPHERE="TKO"," &lt;1&gt;","")</f>
        <v xml:space="preserve">Сведения о результатах проведения закупочных процедур</v>
      </c>
      <c r="F13" s="257" t="s">
        <v>1161</v>
      </c>
      <c r="G13" s="2677" t="s">
        <v>1159</v>
      </c>
      <c r="H13" s="2170"/>
      <c r="I13" s="350"/>
      <c r="K13" s="374"/>
      <c r="R13" s="374">
        <v>14</v>
      </c>
    </row>
    <row r="14" ht="14.65" customHeight="1">
      <c r="A14" s="343"/>
      <c r="C14" s="376"/>
      <c r="D14" s="347"/>
      <c r="E14" s="395" t="s">
        <v>326</v>
      </c>
      <c r="F14" s="349"/>
      <c r="G14" s="201"/>
      <c r="H14" s="2171"/>
      <c r="R14" s="374">
        <v>14</v>
      </c>
    </row>
    <row r="15" s="1635" customFormat="1" ht="14.65" customHeight="1">
      <c r="A15" s="343"/>
      <c r="B15" s="1160"/>
      <c r="C15" s="376"/>
      <c r="D15" s="396"/>
      <c r="E15" s="1677"/>
      <c r="F15" s="1678"/>
      <c r="G15" s="1679"/>
      <c r="H15" s="1680"/>
      <c r="J15" s="1624"/>
      <c r="K15" s="1624"/>
      <c r="R15" s="1631">
        <v>14</v>
      </c>
    </row>
    <row r="16" ht="14.65" customHeight="1">
      <c r="D16" s="1681"/>
      <c r="E16" s="2385"/>
      <c r="F16" s="2385"/>
      <c r="G16" s="2385"/>
      <c r="H16" s="2385"/>
      <c r="R16" s="374">
        <v>14</v>
      </c>
    </row>
    <row r="17" ht="22.5" hidden="1" customHeight="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autoFilter="0" deleteColumns="1" deleteRows="1" formatColumns="0" formatRows="0" insertColumns="1" insertRows="1" sheet="1" sort="1"/>
  <mergeCells count="7">
    <mergeCell ref="E16:H16"/>
    <mergeCell ref="H10:H11"/>
    <mergeCell ref="H12:H14"/>
    <mergeCell ref="D5:G5"/>
    <mergeCell ref="D8:G8"/>
    <mergeCell ref="H8:H9"/>
    <mergeCell ref="D6:G6"/>
  </mergeCells>
  <hyperlinks>
    <hyperlink r:id="rId1" ref="G10"/>
    <hyperlink r:id="rId1" ref="G11"/>
    <hyperlink r:id="rId1" ref="G12"/>
    <hyperlink r:id="rId1" ref="G13"/>
  </hyperlink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2"/>
  <extLst>
    <ext xmlns:x14="http://schemas.microsoft.com/office/spreadsheetml/2009/9/main" uri="{CCE6A557-97BC-4b89-ADB6-D9C93CAAB3DF}">
      <x14:dataValidations xmlns:xm="http://schemas.microsoft.com/office/excel/2006/main" count="2">
        <x14:dataValidation xr:uid="{0025001E-0096-4802-96FD-00510006000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1700EC-0039-467F-BF9A-00C2009200B4}"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zoomScale="90" workbookViewId="0">
      <pane xSplit="6" ySplit="12" topLeftCell="I46" activePane="bottomRight" state="frozen"/>
      <selection pane="bottomLeft" activeCell="A13" sqref="A13"/>
      <selection pane="topRight" activeCell="G1" sqref="G1"/>
      <selection pane="bottomRight" activeCell="J58" sqref="J58:J61"/>
    </sheetView>
  </sheetViews>
  <sheetFormatPr defaultColWidth="9.140625" defaultRowHeight="11.25" customHeight="1"/>
  <cols>
    <col customWidth="1" hidden="1" min="1" max="2" style="1624" width="3.7109375"/>
    <col customWidth="1" min="3" max="3" style="1853" width="3.00390625"/>
    <col customWidth="1" min="4" max="4" style="1853" width="6.00390625"/>
    <col customWidth="1" min="5" max="5" style="1853" width="42.00390625"/>
    <col customWidth="1" min="6" max="6" style="1853" width="15.00390625"/>
    <col customWidth="1" min="7" max="7" style="1853" width="42.00390625"/>
    <col customWidth="1" min="8" max="8" style="1853" width="3.00390625"/>
    <col customWidth="1" min="9" max="9" style="1853" width="5.00390625"/>
    <col customWidth="1" min="10" max="10" style="1853" width="47.00390625"/>
    <col customWidth="1" min="11" max="12" style="1853" width="3.00390625"/>
    <col customWidth="1" min="13" max="13" style="1853" width="5.00390625"/>
    <col customWidth="1" min="14" max="14" style="1853" width="28.00390625"/>
    <col customWidth="1" min="15" max="16" style="1853" width="3.00390625"/>
    <col customWidth="1" min="17" max="17" style="1853" width="5.00390625"/>
    <col customWidth="1" min="18" max="18" style="1853" width="34.00390625"/>
    <col customWidth="1" min="19" max="20" style="1853" width="3.7109375"/>
    <col customWidth="1" min="21" max="21" style="1853" width="5.7109375"/>
    <col customWidth="1" min="22" max="22" style="1853" width="34.421875"/>
    <col customWidth="1" min="23" max="23" style="1853" width="30.00390625"/>
    <col customWidth="1" min="24" max="24" style="1853" width="3.00390625"/>
    <col customWidth="1" hidden="1" min="25" max="28" style="1266" width="9.8515625"/>
    <col customWidth="1" hidden="1" min="29" max="29" style="1266" width="27.00390625"/>
    <col customWidth="1" hidden="1" min="30" max="30" style="1266" width="10.57421875"/>
    <col customWidth="1" hidden="1" min="31" max="31" style="1266" width="10.7109375"/>
    <col customWidth="1" hidden="1" min="32" max="32" style="1266" width="10.00390625"/>
    <col customWidth="1" hidden="1" min="33" max="33" style="1266" width="12.8515625"/>
    <col customWidth="1" hidden="1" min="34" max="34" style="1266" width="24.421875"/>
    <col customWidth="1" hidden="1" min="35" max="35" style="1266" width="15.8515625"/>
    <col customWidth="1" hidden="1" min="36" max="36" style="1266" width="19.421875"/>
    <col customWidth="1" hidden="1" min="37" max="37" style="1266" width="11.00390625"/>
    <col customWidth="1" hidden="1" min="38" max="38" style="1266" width="23.57421875"/>
    <col customWidth="1" hidden="1" min="39" max="39" style="1266" width="23.8515625"/>
    <col customWidth="1" hidden="1" min="40" max="40" style="1266" width="25.28125"/>
    <col customWidth="1" hidden="1" min="41" max="41" style="1266" width="16.8515625"/>
    <col customWidth="1" hidden="1" min="42" max="42" style="1266" width="29.57421875"/>
    <col customWidth="1" hidden="1" min="43" max="43" style="1266" width="29.8515625"/>
    <col hidden="1" min="44" max="44" style="1853" width="9.140625"/>
  </cols>
  <sheetData>
    <row r="1" ht="11.25" hidden="1" customHeight="1">
      <c r="A1" s="156"/>
      <c r="AR1" s="104" t="s">
        <v>14</v>
      </c>
    </row>
    <row r="2" ht="11.25" hidden="1" customHeight="1">
      <c r="AR2" s="104">
        <v>0</v>
      </c>
    </row>
    <row r="3" ht="11.25" hidden="1" customHeight="1">
      <c r="AR3" s="104">
        <v>0</v>
      </c>
    </row>
    <row r="4" ht="3" customHeight="1">
      <c r="AR4" s="104">
        <v>3</v>
      </c>
    </row>
    <row r="5" s="589" customFormat="1" ht="30.449999999999999" customHeight="1">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r="6" s="589" customFormat="1" ht="14.65" customHeight="1">
      <c r="A6" s="585"/>
      <c r="B6" s="585"/>
      <c r="C6" s="585"/>
      <c r="D6" s="2163" t="str">
        <f>IF(org=0,"Не определено",org)</f>
        <v xml:space="preserve">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r="7" s="299" customFormat="1" ht="11.5" customHeight="1">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r="8" s="589" customFormat="1" ht="1.05" customHeight="1">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r="9" ht="28.5" customHeight="1">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r="10" ht="31.5" customHeight="1">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r="11" s="1624" customFormat="1" ht="12" hidden="1" customHeight="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r="12" ht="14.25" hidden="1" customHeight="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r="13" s="1853" customFormat="1" ht="17.25" customHeight="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r="14" s="1853" customFormat="1" ht="17.25" customHeight="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r="15" s="1853" customFormat="1" ht="17.25" customHeight="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r="16" s="1853" customFormat="1" ht="17.25" customHeight="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r="17" s="1853" customFormat="1" ht="17.25" customHeight="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r="18" s="1853" customFormat="1" ht="17.25" customHeight="1">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r="19" s="1853" customFormat="1" ht="17.25" customHeight="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r="20" s="1853" customFormat="1" ht="17.25" customHeight="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r="21" s="1853" customFormat="1" ht="17.25" customHeight="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r="22" s="1853" customFormat="1" ht="17.25" customHeight="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r="23" s="1853" customFormat="1" ht="17.25" hidden="1" customHeight="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r="24" s="1853" customFormat="1" ht="17.25" hidden="1" customHeight="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r="25" s="1853" customFormat="1" ht="17.25" hidden="1" customHeight="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r="26" s="1853" customFormat="1" ht="17.25" hidden="1" customHeight="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r="27" s="1853" customFormat="1" ht="17.25" hidden="1" customHeight="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r="28" s="1853" customFormat="1" ht="17.25" customHeight="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 xml:space="preserve">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r="29" s="1853" customFormat="1" ht="17.25" customHeight="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r="30" s="1853" customFormat="1" ht="17.25" customHeight="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r="31" s="1853" customFormat="1" ht="17.25" customHeight="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r="32" s="1853" customFormat="1" ht="17.25" customHeight="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r="33" s="1853" customFormat="1" ht="17.25" customHeight="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r="34" s="1853" customFormat="1" ht="17.25" customHeight="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r="35" s="1853" customFormat="1" ht="17.25" customHeight="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r="36" s="1853" customFormat="1" ht="17.25" customHeight="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r="37" s="1853" customFormat="1" ht="17.25" customHeight="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r="38" s="1853" customFormat="1" ht="17.25" customHeight="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 xml:space="preserve">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r="39" s="1853" customFormat="1" ht="17.25" customHeight="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r="40" s="1853" customFormat="1" ht="17.25" customHeight="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r="41" s="1853" customFormat="1" ht="17.25" customHeight="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r="42" s="1853" customFormat="1" ht="17.25" customHeight="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r="43" s="1853" customFormat="1" ht="17.25" customHeight="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 xml:space="preserve">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r="44" s="1853" customFormat="1" ht="17.25" customHeight="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r="45" s="1853" customFormat="1" ht="17.25" customHeight="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r="46" s="1853" customFormat="1" ht="17.25" customHeight="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r="47" s="1853" customFormat="1" ht="17.25" customHeight="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r="48" s="1853" customFormat="1" ht="17.25" customHeight="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 xml:space="preserve">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r="49" s="1853" customFormat="1" ht="17.25" customHeight="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r="50" s="1853" customFormat="1" ht="17.25" customHeight="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r="51" s="1853" customFormat="1" ht="17.25" customHeight="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r="52" s="1853" customFormat="1" ht="17.25" customHeight="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r="53" s="1853" customFormat="1" ht="17.25" customHeight="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 xml:space="preserve">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r="54" s="1853" customFormat="1" ht="17.25" customHeight="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r="55" s="1853" customFormat="1" ht="17.25" customHeight="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r="56" s="1853" customFormat="1" ht="17.25" customHeight="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r="57" s="1853" customFormat="1" ht="17.25" customHeight="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r="58" s="1853" customFormat="1" ht="17.25" customHeight="1">
      <c r="A58" s="321"/>
      <c r="C58" s="209"/>
      <c r="D58" s="2135">
        <v>9</v>
      </c>
      <c r="E58" s="2143" t="s">
        <v>201</v>
      </c>
      <c r="F58" s="2145" t="s">
        <v>66</v>
      </c>
      <c r="G58" s="2630" t="str">
        <f>INDEX(VD_NAME_LIST,MATCH("4190072",VD_ID_LIST,0))</f>
        <v xml:space="preserve">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 xml:space="preserve">Плата за подключение (технологическое присоединение) к системе теплоснабжения (индивидуальная)</v>
      </c>
      <c r="AI58" s="1267" t="str">
        <f>IF($G$58=0,"",$G$58)</f>
        <v xml:space="preserve">Подключение (технологическое присоединение) к системе теплоснабжения</v>
      </c>
      <c r="AJ58" s="1267" t="str">
        <f>IF($J$58=0,"",$J$58)</f>
        <v xml:space="preserve">Плата за подключение теплопотребляющих установок Лукьянова Сергея Петровича для осуществления подключения объекта капитального строительства: «Здание, расположенное по адресу, г. Владивосток, ул. Борисенко, 100Л.»,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 xml:space="preserve">без дифференциации</v>
      </c>
      <c r="AL58" s="1267" t="str">
        <f>IF($O$58="нет","без дифференциации",IF($R$58=0,"",$R$58))</f>
        <v xml:space="preserve">без дифференциации</v>
      </c>
      <c r="AM58" s="1267" t="str">
        <f>IF($S$58="нет","без дифференциации",IF($V$58=0,"",$V$58))</f>
        <v xml:space="preserve">Владивостокская ТЭЦ-2</v>
      </c>
      <c r="AN58" s="1772">
        <f>$I$58</f>
        <v>1</v>
      </c>
      <c r="AO58" s="1267" t="str">
        <f>$I$58&amp;"."&amp;$M$58</f>
        <v>1.1</v>
      </c>
      <c r="AP58" s="1266" t="str">
        <f>$I$58&amp;"."&amp;$M$58&amp;"."&amp;$Q$58</f>
        <v>1.1.1</v>
      </c>
      <c r="AQ58" s="1266" t="str">
        <f>$I$58&amp;"."&amp;$M$58&amp;"."&amp;$Q$58&amp;"."&amp;$U$58</f>
        <v>1.1.1.1</v>
      </c>
      <c r="AR58" s="1467">
        <v>0</v>
      </c>
    </row>
    <row r="59" s="1853" customFormat="1" ht="17.25" customHeight="1">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r="60" s="1853" customFormat="1" ht="17.25" customHeight="1">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r="61" s="1853" customFormat="1" ht="33.299999999999997" customHeight="1">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r="62" s="1853" customFormat="1" ht="17.25" customHeight="1">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r="63" s="1853" customFormat="1" ht="17.25" hidden="1" customHeight="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 xml:space="preserve">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r="64" s="1853" customFormat="1" ht="17.25" hidden="1" customHeight="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r="65" s="1853" customFormat="1" ht="17.25" hidden="1" customHeight="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r="66" s="1853" customFormat="1" ht="17.25" hidden="1" customHeight="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r="67" s="1853" customFormat="1" ht="17.25" hidden="1" customHeight="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r="68" ht="11.25" customHeight="1">
      <c r="AR68" s="104">
        <v>0</v>
      </c>
    </row>
    <row r="69" ht="11.25" customHeight="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r="70" ht="36.75" customHeight="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r="71" ht="28.5" customHeight="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r="72" ht="27" customHeight="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r="73" ht="17.25" customHeight="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r="74" ht="15" customHeight="1">
      <c r="E74" s="340"/>
      <c r="F74" s="1285"/>
      <c r="G74" s="157"/>
      <c r="H74" s="157"/>
      <c r="I74" s="157"/>
      <c r="J74" s="157"/>
      <c r="K74" s="157"/>
      <c r="L74" s="157"/>
      <c r="M74" s="157"/>
      <c r="N74" s="157"/>
      <c r="O74" s="157"/>
      <c r="P74" s="157"/>
      <c r="Q74" s="157"/>
      <c r="R74" s="157"/>
      <c r="S74" s="157"/>
      <c r="T74" s="157"/>
      <c r="U74" s="157"/>
      <c r="V74" s="157"/>
      <c r="W74" s="157"/>
      <c r="AR74" s="104">
        <v>0</v>
      </c>
    </row>
    <row r="75" ht="15" customHeight="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r="76" ht="17.25" customHeight="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r="77" ht="17.25" customHeight="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r="78" s="1853" customFormat="1" ht="11.25" hidden="1" customHeight="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r="79" s="1853" customFormat="1" ht="17.25" hidden="1" customHeight="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 xml:space="preserve">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r="80" s="1853" customFormat="1" ht="17.25" hidden="1" customHeight="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r="81" s="1853" customFormat="1" ht="17.25" hidden="1" customHeight="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r="82" s="1853" customFormat="1" ht="17.25" hidden="1" customHeight="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r="83" s="1853" customFormat="1" ht="17.25" hidden="1" customHeight="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r="84" s="1853" customFormat="1" ht="17.25" hidden="1" customHeight="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 xml:space="preserve">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r="85" s="1853" customFormat="1" ht="17.25" hidden="1" customHeight="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r="86" s="1853" customFormat="1" ht="17.25" hidden="1" customHeight="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r="87" s="1853" customFormat="1" ht="17.25" hidden="1" customHeight="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r="88" s="1853" customFormat="1" ht="17.25" hidden="1" customHeight="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r="89" s="1853" customFormat="1" ht="17.25" hidden="1" customHeight="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 xml:space="preserve">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r="90" s="1853" customFormat="1" ht="17.25" hidden="1" customHeight="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r="91" s="1853" customFormat="1" ht="17.25" hidden="1" customHeight="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r="92" s="1853" customFormat="1" ht="17.25" hidden="1" customHeight="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r="93" s="1853" customFormat="1" ht="17.25" hidden="1" customHeight="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r="94" s="1853" customFormat="1" ht="17.25" hidden="1" customHeight="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 xml:space="preserve">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r="95" s="1853" customFormat="1" ht="17.25" hidden="1" customHeight="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r="96" s="1853" customFormat="1" ht="17.25" hidden="1" customHeight="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r="97" s="1853" customFormat="1" ht="17.25" hidden="1" customHeight="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r="98" s="1853" customFormat="1" ht="17.25" hidden="1" customHeight="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r="99" s="1853" customFormat="1" ht="17.25" hidden="1" customHeight="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 xml:space="preserve">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r="100" s="1853" customFormat="1" ht="17.25" hidden="1" customHeight="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r="101" s="1853" customFormat="1" ht="17.25" hidden="1" customHeight="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r="102" s="1853" customFormat="1" ht="17.25" hidden="1" customHeight="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r="103" s="1853" customFormat="1" ht="17.25" hidden="1" customHeight="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r="104" s="1853" customFormat="1" ht="11.25" hidden="1" customHeight="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r="105" s="1853" customFormat="1" ht="17.25" hidden="1" customHeight="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 xml:space="preserve">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r="106" s="1853" customFormat="1" ht="17.25" hidden="1" customHeight="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r="107" s="1853" customFormat="1" ht="17.25" hidden="1" customHeight="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r="108" s="1853" customFormat="1" ht="17.25" hidden="1" customHeight="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r="109" s="1853" customFormat="1" ht="17.25" hidden="1" customHeight="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r="110" s="1853" customFormat="1" ht="17.25" hidden="1" customHeight="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 xml:space="preserve">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r="111" s="1853" customFormat="1" ht="17.25" hidden="1" customHeight="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r="112" s="1853" customFormat="1" ht="17.25" hidden="1" customHeight="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r="113" s="1853" customFormat="1" ht="17.25" hidden="1" customHeight="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r="114" s="1853" customFormat="1" ht="17.25" hidden="1" customHeight="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r="115" s="1853" customFormat="1" ht="17.25" hidden="1" customHeight="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 xml:space="preserve">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r="116" s="1853" customFormat="1" ht="17.25" hidden="1" customHeight="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r="117" s="1853" customFormat="1" ht="17.25" hidden="1" customHeight="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r="118" s="1853" customFormat="1" ht="17.25" hidden="1" customHeight="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r="119" s="1853" customFormat="1" ht="17.25" hidden="1" customHeight="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r="120" s="1853" customFormat="1" ht="11.25" hidden="1" customHeight="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r="121" s="1853" customFormat="1" ht="17.25" hidden="1" customHeight="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 xml:space="preserve">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r="122" s="1853" customFormat="1" ht="17.25" hidden="1" customHeight="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r="123" s="1853" customFormat="1" ht="17.25" hidden="1" customHeight="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r="124" s="1853" customFormat="1" ht="17.25" hidden="1" customHeight="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r="125" s="1853" customFormat="1" ht="17.25" hidden="1" customHeight="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r="126" s="1853" customFormat="1" ht="17.25" hidden="1" customHeight="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 xml:space="preserve">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r="127" s="1853" customFormat="1" ht="17.25" hidden="1" customHeight="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r="128" s="1853" customFormat="1" ht="17.25" hidden="1" customHeight="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r="129" s="1853" customFormat="1" ht="17.25" hidden="1" customHeight="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r="130" s="1853" customFormat="1" ht="17.25" hidden="1" customHeight="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r="131" s="1853" customFormat="1" ht="17.25" hidden="1" customHeight="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 xml:space="preserve">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r="132" s="1853" customFormat="1" ht="17.25" hidden="1" customHeight="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r="133" s="1853" customFormat="1" ht="17.25" hidden="1" customHeight="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r="134" s="1853" customFormat="1" ht="17.25" hidden="1" customHeight="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r="135" s="1853" customFormat="1" ht="17.25" hidden="1" customHeight="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r="136" ht="11.5" customHeight="1">
      <c r="AR136" s="104">
        <v>11</v>
      </c>
    </row>
    <row r="137" ht="11.5" customHeight="1">
      <c r="AR137" s="104">
        <v>11</v>
      </c>
    </row>
    <row r="138" ht="11.5" customHeight="1">
      <c r="AR138" s="104">
        <v>11</v>
      </c>
    </row>
    <row r="139" ht="11.5" customHeight="1">
      <c r="E139" s="1350"/>
      <c r="AR139" s="104">
        <v>11</v>
      </c>
    </row>
    <row r="140" ht="11.5" customHeight="1">
      <c r="E140" s="1350"/>
      <c r="AR140" s="104">
        <v>11</v>
      </c>
    </row>
    <row r="141" ht="11.5" customHeight="1">
      <c r="E141" s="1350"/>
      <c r="AR141" s="104">
        <v>11</v>
      </c>
    </row>
    <row r="142" ht="11.5" customHeight="1">
      <c r="E142" s="1350"/>
      <c r="AR142" s="104">
        <v>11</v>
      </c>
    </row>
    <row r="143" ht="11.5" customHeight="1">
      <c r="E143" s="1350"/>
      <c r="AR143" s="104">
        <v>11</v>
      </c>
    </row>
    <row r="144" ht="11.5" customHeight="1">
      <c r="E144" s="1350"/>
      <c r="AR144" s="104">
        <v>11</v>
      </c>
    </row>
    <row r="145" ht="11.5" customHeight="1">
      <c r="E145" s="1350"/>
      <c r="AR145" s="104">
        <v>11</v>
      </c>
    </row>
    <row r="146" ht="11.25" hidden="1" customHeight="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autoFilter="0" deleteColumns="1" deleteRows="1" formatColumns="0" formatRows="0" insertColumns="1" insertRows="1" sheet="1" sort="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9">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 sqref="K58" allowBlank="1" prompt="Для выбора выполните двойной щелчок левой клавиши мыши по соответствующей ячейке." showErrorMessage="1" showInputMessage="1"/>
    <dataValidation sqref="N58"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O58" allowBlank="1" prompt="Для выбора выполните двойной щелчок левой клавиши мыши по соответствующей ячейке." showErrorMessage="1" showInputMessage="1"/>
    <dataValidation sqref="S58" allowBlank="1" prompt="Для выбора выполните двойной щелчок левой клавиши мыши по соответствующей ячейке." showErrorMessage="1" showInputMessage="1"/>
    <dataValidation sqref="N59"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S59" allowBlank="1" prompt="Для выбора выполните двойной щелчок левой клавиши мыши по соответствующей ячейке." showErrorMessage="1" showInputMessage="1"/>
    <dataValidation sqref="N60"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x14:dataValidation xr:uid="{001A00FA-0028-4D5E-8342-00CE00A30083}"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xm:sqref>
        </x14:dataValidation>
        <x14:dataValidation xr:uid="{00B60072-006A-4EB2-85F3-009500A40014}"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N63:N65 N99:N101 N115:N117 N131:N133 N23:N25</xm:sqref>
        </x14:dataValidation>
        <x14:dataValidation xr:uid="{00BA007A-0054-4644-93D7-001C0060008B}"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2000F7-00A9-479C-B7DF-007C00CC00D8}" type="textLength" allowBlank="1" error="Допускается ввод не более 900 символов!" errorTitle="Ошибка" operator="lessThanOrEqual" showErrorMessage="1" showInputMessage="1">
          <x14:formula1>
            <xm:f>900</xm:f>
          </x14:formula1>
          <xm:sqref>J58</xm:sqref>
        </x14:dataValidation>
        <x14:dataValidation xr:uid="{000100C5-001D-4EED-811A-002200C5004D}" type="textLength" allowBlank="1" error="Допускается ввод не более 900 символов!" errorTitle="Ошибка" operator="lessThanOrEqual" showErrorMessage="1" showInputMessage="1">
          <x14:formula1>
            <xm:f>900</xm:f>
          </x14:formula1>
          <xm:sqref>R58</xm:sqref>
        </x14:dataValidation>
        <x14:dataValidation xr:uid="{00500029-0065-4BC5-8F6C-00F3005A00C1}" type="textLength" allowBlank="1" error="Допускается ввод не более 900 символов!" errorTitle="Ошибка" operator="lessThanOrEqual" showErrorMessage="1" showInputMessage="1">
          <x14:formula1>
            <xm:f>900</xm:f>
          </x14:formula1>
          <xm:sqref>V58</xm:sqref>
        </x14:dataValidation>
        <x14:dataValidation xr:uid="{007200C3-0051-4E9A-B230-00D7004600C5}" type="textLength" allowBlank="1" error="Допускается ввод не более 900 символов!" errorTitle="Ошибка" operator="lessThanOrEqual" showErrorMessage="1" showInputMessage="1">
          <x14:formula1>
            <xm:f>900</xm:f>
          </x14:formula1>
          <xm:sqref>W58</xm:sqref>
        </x14:dataValidation>
        <x14:dataValidation xr:uid="{003600DA-0026-4AE9-B409-002F003F001D}" type="textLength" allowBlank="1" error="Допускается ввод не более 900 символов!" errorTitle="Ошибка" operator="lessThanOrEqual" showErrorMessage="1" showInputMessage="1">
          <x14:formula1>
            <xm:f>900</xm:f>
          </x14:formula1>
          <xm:sqref>J59</xm:sqref>
        </x14:dataValidation>
        <x14:dataValidation xr:uid="{00DB00DA-00A7-4B19-AE6F-00E100FC00EB}" type="textLength" allowBlank="1" error="Допускается ввод не более 900 символов!" errorTitle="Ошибка" operator="lessThanOrEqual" showErrorMessage="1" showInputMessage="1">
          <x14:formula1>
            <xm:f>900</xm:f>
          </x14:formula1>
          <xm:sqref>R59</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defaultRowHeight="15" customHeight="1"/>
  <cols>
    <col customWidth="1" hidden="1" min="1" max="1" style="1632" width="9.140625"/>
    <col customWidth="1" hidden="1" min="2" max="2" style="1635" width="9.140625"/>
    <col customWidth="1" min="3" max="3" style="683" width="4.00390625"/>
    <col customWidth="1" min="4" max="4" style="1635" width="6.00390625"/>
    <col customWidth="1" min="5" max="5" style="1635" width="47.00390625"/>
    <col customWidth="1" min="6" max="6" style="1635" width="9.00390625"/>
    <col customWidth="1" hidden="1" min="7" max="7" style="1635" width="25.7109375"/>
    <col customWidth="1" hidden="1" min="8" max="8" style="1635" width="34.00390625"/>
    <col customWidth="1" min="9" max="9" style="1635" width="25.7109375"/>
    <col customWidth="1" min="10" max="10" style="1635" width="33.00390625"/>
    <col customWidth="1" min="11" max="11" style="1366" width="50.00390625"/>
    <col customWidth="1" min="12" max="20" style="1635" width="10.00390625"/>
    <col customWidth="1" min="21" max="21" style="675" width="10.00390625"/>
    <col hidden="1" min="22" max="22" style="1635" width="10.57421875"/>
  </cols>
  <sheetData>
    <row r="1" s="1366" customFormat="1" ht="22.5" hidden="1" customHeight="1">
      <c r="C1" s="672"/>
      <c r="G1" s="417">
        <v>4</v>
      </c>
      <c r="I1" s="417">
        <v>4</v>
      </c>
      <c r="U1" s="420"/>
      <c r="V1" s="417" t="s">
        <v>14</v>
      </c>
    </row>
    <row r="2" s="1635" customFormat="1" ht="15" hidden="1" customHeight="1">
      <c r="A2" s="362"/>
      <c r="C2" s="176"/>
      <c r="D2" s="346"/>
      <c r="E2" s="673"/>
      <c r="F2" s="522"/>
      <c r="G2" s="616"/>
      <c r="H2" s="616"/>
      <c r="I2" s="616"/>
      <c r="J2" s="616"/>
      <c r="U2" s="674"/>
      <c r="V2" s="509">
        <v>0</v>
      </c>
    </row>
    <row r="3" s="1366" customFormat="1" ht="15" hidden="1" customHeight="1">
      <c r="C3" s="672"/>
      <c r="U3" s="420"/>
      <c r="V3" s="417">
        <v>0</v>
      </c>
    </row>
    <row r="4" ht="15.75" customHeight="1">
      <c r="C4" s="176"/>
      <c r="D4" s="509"/>
      <c r="E4" s="509"/>
      <c r="F4" s="509"/>
      <c r="G4" s="509"/>
      <c r="H4" s="509"/>
      <c r="I4" s="509"/>
      <c r="J4" s="509"/>
      <c r="V4" s="505">
        <v>15</v>
      </c>
    </row>
    <row r="5" ht="66" customHeight="1">
      <c r="C5" s="176"/>
      <c r="D5" s="2237" t="s">
        <v>1162</v>
      </c>
      <c r="E5" s="2237"/>
      <c r="F5" s="2237"/>
      <c r="G5" s="2237"/>
      <c r="H5" s="2237"/>
      <c r="I5" s="2237"/>
      <c r="J5" s="2237"/>
      <c r="V5" s="505">
        <v>63</v>
      </c>
    </row>
    <row r="6" ht="15.75" customHeight="1">
      <c r="C6" s="176"/>
      <c r="D6" s="2176" t="str">
        <f>IF(org=0,"Не определено",org)</f>
        <v xml:space="preserve">АО "ДГК"</v>
      </c>
      <c r="E6" s="2176"/>
      <c r="F6" s="2176"/>
      <c r="G6" s="2176"/>
      <c r="H6" s="2176"/>
      <c r="I6" s="2176"/>
      <c r="J6" s="2176"/>
      <c r="K6" s="537"/>
      <c r="V6" s="505">
        <v>15</v>
      </c>
    </row>
    <row r="7" ht="15.75" customHeight="1">
      <c r="C7" s="176"/>
      <c r="D7" s="752"/>
      <c r="E7" s="509"/>
      <c r="F7" s="509"/>
      <c r="G7" s="537">
        <v>22</v>
      </c>
      <c r="I7" s="537">
        <v>1</v>
      </c>
      <c r="J7" s="752"/>
      <c r="V7" s="505">
        <v>15</v>
      </c>
    </row>
    <row r="8" s="1635" customFormat="1" ht="1.05" customHeight="1">
      <c r="A8" s="759"/>
      <c r="C8" s="176"/>
      <c r="D8" s="509"/>
      <c r="E8" s="509"/>
      <c r="F8" s="509"/>
      <c r="G8" s="537"/>
      <c r="H8" s="752"/>
      <c r="I8" s="537" t="s">
        <v>116</v>
      </c>
      <c r="J8" s="752"/>
      <c r="K8" s="417"/>
      <c r="U8" s="675"/>
      <c r="V8" s="758">
        <v>1</v>
      </c>
    </row>
    <row r="9" ht="15.75" customHeight="1">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r="10" s="1635" customFormat="1" ht="15.75" customHeight="1">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r="11" s="1635" customFormat="1" ht="15.75" customHeight="1">
      <c r="A11" s="759"/>
      <c r="C11" s="176"/>
      <c r="D11" s="711"/>
      <c r="E11" s="2367" t="s">
        <v>568</v>
      </c>
      <c r="F11" s="2368"/>
      <c r="G11" s="2395" t="str">
        <f>IF(G8="","",INDEX(DIFFERENTIATION_UNMERGE_SYSTEM,MATCH(G8,DIFFERENTIATION_ID_DIFF,0)))</f>
        <v/>
      </c>
      <c r="H11" s="2396"/>
      <c r="I11" s="2395" t="str">
        <f>IF(I8="","",INDEX(DIFFERENTIATION_UNMERGE_SYSTEM,MATCH(I8,DIFFERENTIATION_ID_DIFF,0)))</f>
        <v xml:space="preserve">без дифференциации</v>
      </c>
      <c r="J11" s="2396"/>
      <c r="K11" s="2199"/>
      <c r="U11" s="675"/>
      <c r="V11" s="758">
        <v>15</v>
      </c>
    </row>
    <row r="12" s="1635" customFormat="1" ht="15.75" customHeight="1">
      <c r="A12" s="759"/>
      <c r="C12" s="176"/>
      <c r="D12" s="2369" t="s">
        <v>304</v>
      </c>
      <c r="E12" s="2370"/>
      <c r="F12" s="2370"/>
      <c r="G12" s="887"/>
      <c r="H12" s="887"/>
      <c r="I12" s="887"/>
      <c r="J12" s="887"/>
      <c r="K12" s="2199"/>
      <c r="U12" s="675"/>
      <c r="V12" s="758">
        <v>15</v>
      </c>
    </row>
    <row r="13" ht="35.649999999999999" customHeight="1">
      <c r="C13" s="176"/>
      <c r="D13" s="805" t="s">
        <v>88</v>
      </c>
      <c r="E13" s="807" t="s">
        <v>306</v>
      </c>
      <c r="F13" s="807" t="s">
        <v>569</v>
      </c>
      <c r="G13" s="808" t="s">
        <v>307</v>
      </c>
      <c r="H13" s="807" t="s">
        <v>394</v>
      </c>
      <c r="I13" s="808" t="s">
        <v>307</v>
      </c>
      <c r="J13" s="807" t="s">
        <v>394</v>
      </c>
      <c r="K13" s="2232"/>
      <c r="V13" s="505">
        <v>34</v>
      </c>
    </row>
    <row r="14" ht="15" hidden="1" customHeight="1">
      <c r="C14" s="176"/>
      <c r="D14" s="593" t="s">
        <v>108</v>
      </c>
      <c r="E14" s="593" t="s">
        <v>109</v>
      </c>
      <c r="F14" s="593" t="s">
        <v>90</v>
      </c>
      <c r="G14" s="659" t="str">
        <f>G1&amp;".1"</f>
        <v>4.1</v>
      </c>
      <c r="H14" s="659"/>
      <c r="I14" s="659" t="str">
        <f>I1&amp;".1"</f>
        <v>4.1</v>
      </c>
      <c r="J14" s="659"/>
      <c r="K14" s="289"/>
      <c r="V14" s="505">
        <v>0</v>
      </c>
    </row>
    <row r="15" ht="22.5" hidden="1" customHeight="1">
      <c r="A15" s="505"/>
      <c r="C15" s="526"/>
      <c r="D15" s="521">
        <v>1</v>
      </c>
      <c r="E15" s="677" t="s">
        <v>812</v>
      </c>
      <c r="F15" s="521" t="s">
        <v>813</v>
      </c>
      <c r="G15" s="678"/>
      <c r="H15" s="678"/>
      <c r="I15" s="678"/>
      <c r="J15" s="678"/>
      <c r="K15" s="289" t="s">
        <v>814</v>
      </c>
      <c r="V15" s="505">
        <v>0</v>
      </c>
    </row>
    <row r="16" ht="22.5" hidden="1" customHeight="1">
      <c r="A16" s="505"/>
      <c r="C16" s="526"/>
      <c r="D16" s="521">
        <v>2</v>
      </c>
      <c r="E16" s="279" t="s">
        <v>815</v>
      </c>
      <c r="F16" s="521" t="s">
        <v>816</v>
      </c>
      <c r="G16" s="678"/>
      <c r="H16" s="678"/>
      <c r="I16" s="678"/>
      <c r="J16" s="678"/>
      <c r="K16" s="289" t="s">
        <v>817</v>
      </c>
      <c r="V16" s="505">
        <v>0</v>
      </c>
    </row>
    <row r="17" ht="123.75" hidden="1" customHeight="1">
      <c r="A17" s="505"/>
      <c r="C17" s="526"/>
      <c r="D17" s="521">
        <v>3</v>
      </c>
      <c r="E17" s="279" t="s">
        <v>1163</v>
      </c>
      <c r="F17" s="521" t="s">
        <v>310</v>
      </c>
      <c r="G17" s="678"/>
      <c r="H17" s="678"/>
      <c r="I17" s="678"/>
      <c r="J17" s="678"/>
      <c r="K17" s="289" t="s">
        <v>1164</v>
      </c>
      <c r="V17" s="505">
        <v>0</v>
      </c>
    </row>
    <row r="18" ht="48.25" customHeight="1">
      <c r="A18" s="505"/>
      <c r="C18" s="526"/>
      <c r="D18" s="521">
        <v>3</v>
      </c>
      <c r="E18" s="279" t="s">
        <v>818</v>
      </c>
      <c r="F18" s="521" t="s">
        <v>310</v>
      </c>
      <c r="G18" s="809" t="s">
        <v>310</v>
      </c>
      <c r="H18" s="810" t="s">
        <v>310</v>
      </c>
      <c r="I18" s="521" t="s">
        <v>310</v>
      </c>
      <c r="J18" s="578" t="s">
        <v>310</v>
      </c>
      <c r="K18" s="289" t="s">
        <v>1165</v>
      </c>
      <c r="V18" s="505">
        <v>46</v>
      </c>
    </row>
    <row r="19" ht="35.649999999999999" customHeight="1">
      <c r="A19" s="505"/>
      <c r="C19" s="526"/>
      <c r="D19" s="539" t="s">
        <v>328</v>
      </c>
      <c r="E19" s="559" t="s">
        <v>820</v>
      </c>
      <c r="F19" s="521" t="s">
        <v>821</v>
      </c>
      <c r="G19" s="817"/>
      <c r="H19" s="106"/>
      <c r="I19" s="817"/>
      <c r="J19" s="818"/>
      <c r="K19" s="679"/>
      <c r="V19" s="505">
        <v>34</v>
      </c>
    </row>
    <row r="20" ht="35.649999999999999" customHeight="1">
      <c r="A20" s="505"/>
      <c r="C20" s="526"/>
      <c r="D20" s="1890" t="s">
        <v>336</v>
      </c>
      <c r="E20" s="559" t="s">
        <v>822</v>
      </c>
      <c r="F20" s="521" t="s">
        <v>823</v>
      </c>
      <c r="G20" s="817"/>
      <c r="H20" s="106"/>
      <c r="I20" s="817"/>
      <c r="J20" s="106"/>
      <c r="K20" s="679"/>
      <c r="V20" s="505">
        <v>34</v>
      </c>
    </row>
    <row r="21" ht="48.25" customHeight="1">
      <c r="A21" s="505"/>
      <c r="C21" s="526"/>
      <c r="D21" s="1890" t="s">
        <v>338</v>
      </c>
      <c r="E21" s="559" t="s">
        <v>824</v>
      </c>
      <c r="F21" s="521" t="s">
        <v>574</v>
      </c>
      <c r="G21" s="680"/>
      <c r="H21" s="106"/>
      <c r="I21" s="680"/>
      <c r="J21" s="106"/>
      <c r="K21" s="679"/>
      <c r="V21" s="505">
        <v>46</v>
      </c>
    </row>
    <row r="22" ht="67.5" hidden="1" customHeight="1">
      <c r="A22" s="505"/>
      <c r="C22" s="526"/>
      <c r="D22" s="521">
        <v>5</v>
      </c>
      <c r="E22" s="279" t="s">
        <v>1166</v>
      </c>
      <c r="F22" s="521" t="s">
        <v>561</v>
      </c>
      <c r="G22" s="681"/>
      <c r="H22" s="682"/>
      <c r="I22" s="681"/>
      <c r="J22" s="682"/>
      <c r="K22" s="289" t="s">
        <v>1167</v>
      </c>
      <c r="V22" s="505">
        <v>0</v>
      </c>
    </row>
    <row r="23" ht="33.75" hidden="1" customHeight="1">
      <c r="C23" s="451"/>
      <c r="D23" s="521">
        <v>6</v>
      </c>
      <c r="E23" s="279" t="s">
        <v>1168</v>
      </c>
      <c r="F23" s="521" t="s">
        <v>1169</v>
      </c>
      <c r="G23" s="681"/>
      <c r="H23" s="681"/>
      <c r="I23" s="681"/>
      <c r="J23" s="681"/>
      <c r="K23" s="289" t="s">
        <v>1170</v>
      </c>
      <c r="V23" s="505">
        <v>0</v>
      </c>
    </row>
    <row r="24" ht="15.75" customHeight="1">
      <c r="V24" s="505">
        <v>15</v>
      </c>
    </row>
    <row r="25" ht="15.75" customHeight="1">
      <c r="V25" s="505">
        <v>15</v>
      </c>
    </row>
    <row r="26" ht="15.75" customHeight="1">
      <c r="V26" s="505">
        <v>15</v>
      </c>
    </row>
    <row r="27" ht="15.75" customHeight="1">
      <c r="V27" s="505">
        <v>15</v>
      </c>
    </row>
    <row r="28" ht="15.75" customHeight="1">
      <c r="V28" s="505">
        <v>15</v>
      </c>
    </row>
    <row r="29" ht="15.75" customHeight="1">
      <c r="J29" s="819"/>
      <c r="V29" s="505">
        <v>15</v>
      </c>
    </row>
    <row r="30" ht="22.5" hidden="1" customHeight="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autoFilter="0" deleteColumns="1" deleteRows="1" formatColumns="0" formatRows="0" insertColumns="1" insertRows="1" sheet="1" sort="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FF0061-00E4-4DCF-9AB1-00D400AD00F8}"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 xr:uid="{009E00E0-00A5-4393-B566-00840054006A}"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7C00D3-00C8-45C7-BEB6-00AA003100AB}"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2" width="32.57421875"/>
    <col customWidth="1" min="2" max="2" style="1850" width="11.00390625"/>
    <col min="3" max="3" style="1850" width="9.140625"/>
    <col customWidth="1" min="4" max="4" style="1850" width="26.57421875"/>
    <col customWidth="1" min="5" max="5" style="1823" width="36.8515625"/>
    <col customWidth="1" min="6" max="6" style="1823" width="23.57421875"/>
    <col customWidth="1" min="7" max="7" style="1823" width="31.421875"/>
    <col customWidth="1" min="8" max="8" style="1823" width="40.8515625"/>
    <col customWidth="1" min="9" max="9" style="1823" width="14.57421875"/>
    <col customWidth="1" min="10" max="10" style="1823" width="26.8515625"/>
    <col customWidth="1" min="11" max="11" style="1823" width="50.00390625"/>
    <col customWidth="1" min="12" max="12" style="1823" width="52.421875"/>
    <col customWidth="1" min="13" max="13" style="1823" width="10.7109375"/>
    <col customWidth="1" min="14" max="14" style="1823" width="55.140625"/>
    <col customWidth="1" min="15" max="15" style="1823" width="31.8515625"/>
    <col customWidth="1" min="16" max="16" style="1823" width="23.8515625"/>
    <col customWidth="1" min="17" max="17" style="1823" width="46.57421875"/>
    <col customWidth="1" min="18" max="18" style="1823" width="24.00390625"/>
    <col customWidth="1" min="19" max="19" style="1823" width="20.57421875"/>
    <col customWidth="1" min="20" max="20" style="1823" width="22.00390625"/>
    <col customWidth="1" min="21" max="22" style="1823" width="26.421875"/>
    <col customWidth="1" hidden="1" min="23" max="23" style="1823" width="8.28125"/>
    <col customWidth="1" min="24" max="24" style="1823" width="59.7109375"/>
    <col customWidth="1" min="25" max="25" style="1823" width="49.140625"/>
    <col customWidth="1" min="26" max="26" style="1823" width="11.140625"/>
    <col customWidth="1" min="27" max="30" style="1823" width="29.00390625"/>
    <col min="31" max="31" style="1823" width="9.140625"/>
    <col customWidth="1" min="32" max="32" style="1823" width="34.7109375"/>
    <col min="33" max="33" style="1823" width="9.140625"/>
    <col customWidth="1" min="34" max="35" style="1823" width="34.421875"/>
    <col min="36" max="36" style="1823" width="9.140625"/>
    <col customWidth="1" min="37" max="37" style="1823" width="24.57421875"/>
    <col min="38" max="38" style="1823" width="9.140625"/>
    <col customWidth="1" min="39" max="39" style="1823" width="26.140625"/>
    <col customWidth="1" min="40" max="40" style="1823" width="1.7109375"/>
    <col min="41" max="41" style="1823" width="9.140625"/>
    <col customWidth="1" min="42" max="43" style="1823" width="47.8515625"/>
    <col customWidth="1" min="44" max="44" style="1823" width="1.7109375"/>
    <col customWidth="1" min="45" max="45" style="1823" width="21.421875"/>
    <col customWidth="1" min="46" max="46" style="1823" width="1.7109375"/>
    <col customWidth="1" min="47" max="47" style="1823" width="31.28125"/>
    <col customWidth="1" min="48" max="48" style="1823" width="1.7109375"/>
    <col min="49" max="50" style="1823" width="9.140625"/>
    <col customWidth="1" min="51" max="51" style="1823" width="3.7109375"/>
    <col customWidth="1" min="52" max="52" style="1823" width="60.8515625"/>
    <col customWidth="1" min="53" max="53" style="1823" width="49.28125"/>
    <col customWidth="1" min="54" max="54" style="1823" width="35.140625"/>
    <col min="55" max="55" style="1823" width="9.140625"/>
    <col customWidth="1" min="56" max="56" style="1823" width="1.7109375"/>
    <col customWidth="1" min="57" max="57" style="1066" width="12.57421875"/>
    <col customWidth="1" min="58" max="58" style="1066" width="14.28125"/>
    <col customWidth="1" min="59" max="59" style="1823" width="30.7109375"/>
    <col customWidth="1" min="60" max="60" style="1840" width="40.7109375"/>
    <col customWidth="1" min="61" max="61" style="1840" width="15.00390625"/>
    <col customWidth="1" min="62" max="62" style="1840" width="40.7109375"/>
    <col customWidth="1" min="63" max="63" style="1840" width="2.7109375"/>
    <col customWidth="1" min="64" max="64" style="1840" width="44.7109375"/>
    <col customWidth="1" min="65" max="65" style="1840" width="2.7109375"/>
    <col customWidth="1" min="66" max="66" style="1840" width="40.7109375"/>
    <col min="67" max="68" style="1823" width="9.140625"/>
    <col customWidth="1" min="69" max="69" style="1823" width="18.140625"/>
    <col customWidth="1" min="70" max="70" style="1823" width="57.8515625"/>
    <col customWidth="1" min="71" max="71" style="1823" width="1.7109375"/>
    <col customWidth="1" min="72" max="72" style="1823" width="22.57421875"/>
    <col customWidth="1" min="73" max="73" style="1823" width="57.8515625"/>
    <col customWidth="1" min="74" max="74" style="1823" width="1.7109375"/>
    <col customWidth="1" min="75" max="75" style="1823" width="22.57421875"/>
    <col customWidth="1" min="76" max="76" style="1823" width="57.8515625"/>
    <col customWidth="1" min="77" max="77" style="1823" width="1.7109375"/>
    <col customWidth="1" min="78" max="78" style="1823" width="22.57421875"/>
    <col customWidth="1" min="79" max="79" style="1823" width="57.8515625"/>
    <col min="80" max="81" style="1823" width="9.140625"/>
    <col customWidth="1" min="82" max="82" style="1823" width="49.57421875"/>
  </cols>
  <sheetData>
    <row r="1" s="1427" customFormat="1" ht="11.25" customHeight="1">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r="2" ht="11.25" customHeight="1">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r="3" ht="11.25" customHeight="1">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r="4" ht="11.25" customHeight="1">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r="5" ht="11.25" customHeight="1">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r="6" ht="11.25" customHeight="1">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r="7" ht="11.25" customHeight="1">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r="8" ht="11.25" customHeight="1">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r="9" ht="11.25" customHeight="1">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r="10" ht="11.25" customHeight="1">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r="11" ht="11.25" customHeight="1">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r="12" ht="11.25" customHeight="1">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r="13" ht="11.25" customHeight="1">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r="14" ht="11.25" customHeight="1">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r="15" ht="19.5" customHeight="1">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r="16" ht="21" customHeight="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r="17" ht="21" customHeight="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r="18" ht="21" customHeight="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r="19" ht="21" customHeight="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r="20" ht="21" customHeight="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r="21" ht="21" customHeight="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r="22" ht="21" customHeight="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r="23" ht="21" customHeight="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r="24" ht="21" customHeight="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r="25" ht="11.25" customHeight="1">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r="26" ht="11.25" customHeight="1">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r="27" ht="11.25" customHeight="1">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r="28" ht="11.25" customHeight="1">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r="29" ht="11.25" customHeight="1">
      <c r="A29" s="1074" t="s">
        <v>1573</v>
      </c>
      <c r="D29" s="1104" t="s">
        <v>1574</v>
      </c>
      <c r="E29" s="1105" t="str">
        <f>IF(TEMPLATE_GROUP="","",INDEX(StartDateList,MATCH(TEMPLATE_GROUP,CodeTemplateList,0),1))</f>
        <v>01.01.2025</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r="30" ht="11.25" customHeight="1">
      <c r="A30" s="1074" t="s">
        <v>1577</v>
      </c>
      <c r="D30" s="1107"/>
      <c r="E30" s="1108"/>
      <c r="F30" s="1108"/>
      <c r="AX30" s="1120" t="s">
        <v>1578</v>
      </c>
      <c r="AZ30" s="1120" t="s">
        <v>1248</v>
      </c>
      <c r="BE30" s="1120">
        <v>2028</v>
      </c>
      <c r="BJ30" s="1068" t="s">
        <v>1579</v>
      </c>
      <c r="BL30" s="1068" t="s">
        <v>1579</v>
      </c>
    </row>
    <row r="31" ht="12.75" customHeight="1">
      <c r="A31" s="1074" t="s">
        <v>1580</v>
      </c>
      <c r="D31" s="1101"/>
      <c r="E31" s="1102"/>
      <c r="F31" s="1102"/>
      <c r="H31" s="1109"/>
      <c r="AX31" s="1120" t="s">
        <v>1581</v>
      </c>
      <c r="AZ31" s="1120" t="s">
        <v>1582</v>
      </c>
      <c r="BE31" s="1120">
        <v>2029</v>
      </c>
      <c r="BJ31" s="1068" t="s">
        <v>1583</v>
      </c>
      <c r="BL31" s="1068" t="s">
        <v>1583</v>
      </c>
    </row>
    <row r="32" ht="11.25" customHeight="1">
      <c r="A32" s="1074" t="s">
        <v>1584</v>
      </c>
      <c r="D32" s="1104" t="s">
        <v>1585</v>
      </c>
      <c r="E32" s="1105" t="str">
        <f>IF(TEMPLATE_GROUP="","",INDEX(StartDateList,MATCH(TEMPLATE_GROUP,CodeTemplateList,0),1))</f>
        <v>01.01.2025</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r="33" ht="11.25" customHeight="1">
      <c r="A33" s="1074" t="s">
        <v>1588</v>
      </c>
      <c r="O33" s="1074" t="s">
        <v>1245</v>
      </c>
      <c r="AX33" s="1120" t="s">
        <v>1589</v>
      </c>
      <c r="AZ33" s="1120" t="s">
        <v>1220</v>
      </c>
      <c r="BE33" s="1120">
        <v>2031</v>
      </c>
      <c r="BJ33" s="1068" t="s">
        <v>1479</v>
      </c>
      <c r="BL33" s="1068" t="s">
        <v>1479</v>
      </c>
    </row>
    <row r="34" ht="11.25" customHeight="1">
      <c r="A34" s="1074" t="s">
        <v>1590</v>
      </c>
      <c r="O34" s="1074" t="s">
        <v>1281</v>
      </c>
      <c r="AX34" s="1120" t="s">
        <v>1591</v>
      </c>
      <c r="BE34" s="1120">
        <v>2032</v>
      </c>
      <c r="BJ34" s="1068" t="s">
        <v>1490</v>
      </c>
      <c r="BL34" s="1068" t="s">
        <v>1490</v>
      </c>
    </row>
    <row r="35" ht="11.25" customHeight="1">
      <c r="A35" s="1074" t="s">
        <v>1592</v>
      </c>
      <c r="O35" s="1074" t="s">
        <v>1314</v>
      </c>
      <c r="AX35" s="1120" t="s">
        <v>1593</v>
      </c>
      <c r="AZ35" s="1067" t="s">
        <v>1594</v>
      </c>
      <c r="BE35" s="1120">
        <v>2033</v>
      </c>
      <c r="BL35" s="1068" t="s">
        <v>1595</v>
      </c>
    </row>
    <row r="36" ht="11.25" customHeight="1">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r="37" ht="11.25" customHeight="1">
      <c r="A37" s="1074" t="s">
        <v>1600</v>
      </c>
      <c r="E37" s="407" t="s">
        <v>1601</v>
      </c>
      <c r="F37" s="1114" t="s">
        <v>811</v>
      </c>
      <c r="G37" s="407" t="s">
        <v>1602</v>
      </c>
      <c r="O37" s="1074" t="s">
        <v>1358</v>
      </c>
      <c r="AX37" s="1120" t="s">
        <v>1603</v>
      </c>
      <c r="AZ37" s="1120" t="s">
        <v>1247</v>
      </c>
      <c r="BE37" s="1120">
        <v>2035</v>
      </c>
    </row>
    <row r="38" ht="11.25" customHeight="1">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r="39" ht="11.25" customHeight="1">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r="40" ht="11.25" customHeight="1">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r="41" ht="11.25" customHeight="1">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r="42" ht="11.25" customHeight="1">
      <c r="A42" s="1074" t="s">
        <v>1629</v>
      </c>
      <c r="AX42" s="1120" t="s">
        <v>1630</v>
      </c>
      <c r="AZ42" s="1120" t="s">
        <v>1219</v>
      </c>
      <c r="BE42" s="1120">
        <v>2040</v>
      </c>
      <c r="BH42" s="1068" t="s">
        <v>1048</v>
      </c>
      <c r="BJ42" s="1217" t="s">
        <v>1028</v>
      </c>
      <c r="BL42" s="1217" t="s">
        <v>1028</v>
      </c>
      <c r="BN42" s="1068" t="s">
        <v>1631</v>
      </c>
    </row>
    <row r="43" ht="11.25" customHeight="1">
      <c r="A43" s="1074" t="s">
        <v>1632</v>
      </c>
      <c r="AX43" s="1120" t="s">
        <v>1633</v>
      </c>
      <c r="AZ43" s="1120" t="s">
        <v>1245</v>
      </c>
      <c r="BE43" s="1120">
        <v>2041</v>
      </c>
      <c r="BH43" s="1068" t="s">
        <v>1634</v>
      </c>
      <c r="BJ43" s="1217" t="s">
        <v>1628</v>
      </c>
      <c r="BL43" s="1217" t="s">
        <v>1628</v>
      </c>
      <c r="BN43" s="1068" t="s">
        <v>1635</v>
      </c>
    </row>
    <row r="44" ht="11.25" customHeight="1">
      <c r="A44" s="1074" t="s">
        <v>1636</v>
      </c>
      <c r="G44" s="1094">
        <f>YEAR(TODAY())</f>
        <v>2025</v>
      </c>
      <c r="I44" s="799" t="s">
        <v>1637</v>
      </c>
      <c r="J44" s="1089" t="s">
        <v>1638</v>
      </c>
      <c r="K44" s="1089" t="s">
        <v>1639</v>
      </c>
      <c r="AX44" s="1120" t="s">
        <v>1640</v>
      </c>
      <c r="AZ44" s="1120" t="s">
        <v>1281</v>
      </c>
      <c r="BE44" s="1120">
        <v>2042</v>
      </c>
      <c r="BH44" s="1068" t="s">
        <v>1641</v>
      </c>
      <c r="BJ44" s="1217" t="s">
        <v>1048</v>
      </c>
      <c r="BL44" s="1217" t="s">
        <v>1048</v>
      </c>
      <c r="BN44" s="1068" t="s">
        <v>1642</v>
      </c>
    </row>
    <row r="45" ht="11.25" customHeight="1">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r="46" ht="11.25" customHeight="1">
      <c r="A46" s="1074" t="s">
        <v>1652</v>
      </c>
      <c r="E46" s="407" t="s">
        <v>26</v>
      </c>
      <c r="F46" s="1114" t="s">
        <v>1653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 xml:space="preserve">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r="47" ht="11.25" customHeight="1">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r="48" ht="11.25" customHeight="1">
      <c r="A48" s="1074" t="s">
        <v>1660</v>
      </c>
      <c r="E48" s="407" t="s">
        <v>1661</v>
      </c>
      <c r="F48" s="1115" t="s">
        <v>1662</v>
      </c>
      <c r="G48" s="1116" t="str">
        <f>_xlfn.IFERROR(IF(f_year="","01.01."&amp;CURRENT_YEAR,"01.01."&amp;f_year),"01.01."&amp;CURRENT_YEAR)</f>
        <v>01.01.2025</v>
      </c>
      <c r="H48" s="1116" t="str">
        <f>_xlfn.IFERROR(IF(f_year="","31.12."&amp;CURRENT_YEAR,"31.12."&amp;f_year),"31.12."&amp;CURRENT_YEAR)</f>
        <v>31.12.2025</v>
      </c>
      <c r="I48" s="1742">
        <f>IF(f_year="",TRUE,FALSE)</f>
        <v>1</v>
      </c>
      <c r="J48" s="1745" t="s">
        <v>1663</v>
      </c>
      <c r="K48" s="1746"/>
      <c r="AX48" s="1120" t="s">
        <v>1664</v>
      </c>
      <c r="AZ48" s="1120" t="s">
        <v>1375</v>
      </c>
      <c r="BE48" s="1120">
        <v>2046</v>
      </c>
      <c r="BH48" s="1068" t="s">
        <v>1635</v>
      </c>
      <c r="BJ48" s="1217" t="s">
        <v>1036</v>
      </c>
      <c r="BL48" s="1217" t="s">
        <v>1036</v>
      </c>
      <c r="BN48" s="1068" t="s">
        <v>1665</v>
      </c>
    </row>
    <row r="49" ht="11.25" customHeight="1">
      <c r="A49" s="1074" t="s">
        <v>16</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r="50" ht="11.25" customHeight="1">
      <c r="A50" s="1074" t="s">
        <v>1669</v>
      </c>
      <c r="E50" s="407" t="s">
        <v>1670</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r="51" ht="11.25" customHeight="1">
      <c r="A51" s="1074" t="s">
        <v>1672</v>
      </c>
      <c r="E51" s="407" t="s">
        <v>1673</v>
      </c>
      <c r="F51" s="1115" t="s">
        <v>1645</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r="52" ht="11.25" customHeight="1">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r="53" ht="11.25" customHeight="1">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1682</v>
      </c>
      <c r="K53" s="1746"/>
      <c r="AX53" s="1120" t="s">
        <v>1683</v>
      </c>
      <c r="BE53" s="1120">
        <v>2051</v>
      </c>
      <c r="BH53" s="1068" t="s">
        <v>1659</v>
      </c>
      <c r="BJ53" s="1217" t="s">
        <v>1631</v>
      </c>
      <c r="BL53" s="1217" t="s">
        <v>1631</v>
      </c>
    </row>
    <row r="54" ht="11.25" customHeight="1">
      <c r="A54" s="1074" t="s">
        <v>1684</v>
      </c>
      <c r="AX54" s="1120" t="s">
        <v>1685</v>
      </c>
      <c r="AZ54" s="1067" t="s">
        <v>1686</v>
      </c>
      <c r="BE54" s="1120">
        <v>2052</v>
      </c>
      <c r="BH54" s="1068" t="s">
        <v>1665</v>
      </c>
      <c r="BJ54" s="1217" t="s">
        <v>1635</v>
      </c>
      <c r="BL54" s="1217" t="s">
        <v>1635</v>
      </c>
    </row>
    <row r="55" ht="11.25" customHeight="1">
      <c r="A55" s="1074" t="s">
        <v>1687</v>
      </c>
      <c r="AX55" s="1120" t="s">
        <v>1688</v>
      </c>
      <c r="AZ55" s="1120" t="s">
        <v>1222</v>
      </c>
      <c r="BE55" s="1120">
        <v>2053</v>
      </c>
      <c r="BH55" s="1070" t="s">
        <v>28</v>
      </c>
      <c r="BJ55" s="1217" t="s">
        <v>1052</v>
      </c>
      <c r="BL55" s="1217" t="s">
        <v>1052</v>
      </c>
    </row>
    <row r="56" ht="11.25" customHeight="1">
      <c r="A56" s="1074" t="s">
        <v>1689</v>
      </c>
      <c r="D56" s="1118" t="s">
        <v>1690</v>
      </c>
      <c r="E56" s="1095" t="s">
        <v>110</v>
      </c>
      <c r="F56" s="1074" t="s">
        <v>1691</v>
      </c>
      <c r="AX56" s="1120" t="s">
        <v>1692</v>
      </c>
      <c r="AZ56" s="1120" t="s">
        <v>1249</v>
      </c>
      <c r="BE56" s="1120">
        <v>2054</v>
      </c>
      <c r="BH56" s="1070" t="s">
        <v>28</v>
      </c>
      <c r="BJ56" s="1217" t="s">
        <v>1642</v>
      </c>
      <c r="BL56" s="1217" t="s">
        <v>1642</v>
      </c>
    </row>
    <row r="57" ht="11.25" customHeight="1">
      <c r="A57" s="1074" t="s">
        <v>1693</v>
      </c>
      <c r="D57" s="1118" t="s">
        <v>1694</v>
      </c>
      <c r="E57" s="1095" t="s">
        <v>110</v>
      </c>
      <c r="F57" s="1074" t="s">
        <v>1691</v>
      </c>
      <c r="AX57" s="1120" t="s">
        <v>1695</v>
      </c>
      <c r="AZ57" s="1120" t="s">
        <v>1284</v>
      </c>
      <c r="BE57" s="1120">
        <v>2055</v>
      </c>
      <c r="BJ57" s="1217" t="s">
        <v>1651</v>
      </c>
      <c r="BL57" s="1217" t="s">
        <v>1651</v>
      </c>
    </row>
    <row r="58" ht="11.25" customHeight="1">
      <c r="A58" s="1074" t="s">
        <v>1696</v>
      </c>
      <c r="D58" s="1118" t="s">
        <v>1697</v>
      </c>
      <c r="E58" s="1095" t="s">
        <v>110</v>
      </c>
      <c r="F58" s="1074" t="s">
        <v>1691</v>
      </c>
      <c r="AX58" s="1120" t="s">
        <v>1698</v>
      </c>
      <c r="BE58" s="1120">
        <v>2056</v>
      </c>
      <c r="BJ58" s="1217" t="s">
        <v>1655</v>
      </c>
      <c r="BL58" s="1217" t="s">
        <v>1655</v>
      </c>
    </row>
    <row r="59" ht="11.25" customHeight="1">
      <c r="A59" s="1074" t="s">
        <v>1699</v>
      </c>
      <c r="D59" s="1118" t="s">
        <v>130</v>
      </c>
      <c r="E59" s="1095" t="s">
        <v>1587</v>
      </c>
      <c r="F59" s="1074" t="s">
        <v>1700</v>
      </c>
      <c r="AX59" s="1120" t="s">
        <v>1701</v>
      </c>
      <c r="AZ59" s="1067" t="s">
        <v>1702</v>
      </c>
      <c r="BE59" s="1120">
        <v>2057</v>
      </c>
      <c r="BJ59" s="1217" t="s">
        <v>1659</v>
      </c>
      <c r="BL59" s="1217" t="s">
        <v>1659</v>
      </c>
    </row>
    <row r="60" ht="11.25" customHeight="1">
      <c r="A60" s="1074" t="s">
        <v>1703</v>
      </c>
      <c r="D60" s="1118" t="s">
        <v>1704</v>
      </c>
      <c r="E60" s="1095" t="s">
        <v>1587</v>
      </c>
      <c r="F60" s="1074" t="s">
        <v>1700</v>
      </c>
      <c r="AX60" s="1120" t="s">
        <v>1705</v>
      </c>
      <c r="AZ60" s="1120" t="s">
        <v>1223</v>
      </c>
      <c r="BE60" s="1120">
        <v>2058</v>
      </c>
      <c r="BJ60" s="1217" t="s">
        <v>1665</v>
      </c>
      <c r="BL60" s="1217" t="s">
        <v>1665</v>
      </c>
    </row>
    <row r="61" ht="11.25" customHeight="1">
      <c r="A61" s="1074" t="s">
        <v>1706</v>
      </c>
      <c r="D61" s="1118" t="s">
        <v>1707</v>
      </c>
      <c r="E61" s="1095" t="s">
        <v>1587</v>
      </c>
      <c r="F61" s="1074" t="s">
        <v>1700</v>
      </c>
      <c r="AX61" s="1120" t="s">
        <v>1708</v>
      </c>
      <c r="AZ61" s="1120" t="s">
        <v>1250</v>
      </c>
      <c r="BE61" s="1120">
        <v>2059</v>
      </c>
      <c r="BL61" s="1217" t="s">
        <v>1044</v>
      </c>
    </row>
    <row r="62" ht="11.25" customHeight="1">
      <c r="A62" s="1074" t="s">
        <v>1709</v>
      </c>
      <c r="D62" s="1118" t="s">
        <v>129</v>
      </c>
      <c r="E62" s="1095">
        <v>30</v>
      </c>
      <c r="F62" s="1074" t="s">
        <v>1700</v>
      </c>
      <c r="AZ62" s="1120" t="s">
        <v>1285</v>
      </c>
      <c r="BE62" s="1120">
        <v>2060</v>
      </c>
      <c r="BL62" s="1217" t="s">
        <v>1046</v>
      </c>
    </row>
    <row r="63" ht="11.25" customHeight="1">
      <c r="A63" s="1074" t="s">
        <v>1710</v>
      </c>
      <c r="D63" s="1118" t="s">
        <v>1711</v>
      </c>
      <c r="E63" s="1095">
        <v>30</v>
      </c>
      <c r="F63" s="1074" t="s">
        <v>1700</v>
      </c>
      <c r="AZ63" s="1120" t="s">
        <v>1317</v>
      </c>
      <c r="BE63" s="1120">
        <v>2061</v>
      </c>
    </row>
    <row r="64" ht="11.25" customHeight="1">
      <c r="A64" s="1074" t="s">
        <v>1712</v>
      </c>
      <c r="D64" s="1118" t="s">
        <v>1713</v>
      </c>
      <c r="E64" s="1095">
        <v>30</v>
      </c>
      <c r="F64" s="1074" t="s">
        <v>1700</v>
      </c>
      <c r="AZ64" s="1120" t="s">
        <v>1340</v>
      </c>
      <c r="BE64" s="1120">
        <v>2062</v>
      </c>
    </row>
    <row r="65" ht="11.25" customHeight="1">
      <c r="A65" s="1074" t="s">
        <v>1714</v>
      </c>
      <c r="D65" s="1074"/>
      <c r="BE65" s="1120">
        <v>2063</v>
      </c>
    </row>
    <row r="66" ht="11.25" customHeight="1">
      <c r="A66" s="1074" t="s">
        <v>1715</v>
      </c>
      <c r="AZ66" s="1067" t="s">
        <v>1716</v>
      </c>
      <c r="BE66" s="1120">
        <v>2064</v>
      </c>
    </row>
    <row r="67" ht="11.25" customHeight="1">
      <c r="A67" s="1074" t="s">
        <v>1717</v>
      </c>
      <c r="AZ67" s="1120" t="s">
        <v>1224</v>
      </c>
      <c r="BE67" s="1120">
        <v>2065</v>
      </c>
    </row>
    <row r="68" ht="11.25" customHeight="1">
      <c r="A68" s="1074" t="s">
        <v>1718</v>
      </c>
      <c r="AZ68" s="1120" t="s">
        <v>1251</v>
      </c>
      <c r="BE68" s="1120">
        <v>2066</v>
      </c>
      <c r="BH68" s="1067" t="s">
        <v>1719</v>
      </c>
      <c r="BJ68" s="1067" t="s">
        <v>1720</v>
      </c>
      <c r="BL68" s="1067" t="s">
        <v>1721</v>
      </c>
      <c r="BN68" s="1067" t="s">
        <v>1722</v>
      </c>
    </row>
    <row r="69" ht="11.25" customHeight="1">
      <c r="A69" s="1074" t="s">
        <v>1723</v>
      </c>
      <c r="AZ69" s="1120" t="s">
        <v>1286</v>
      </c>
      <c r="BE69" s="1120">
        <v>2067</v>
      </c>
      <c r="BH69" s="1068" t="s">
        <v>1724</v>
      </c>
      <c r="BI69" s="1117" t="s">
        <v>108</v>
      </c>
      <c r="BJ69" s="1068" t="s">
        <v>1725</v>
      </c>
      <c r="BK69" s="1117" t="s">
        <v>108</v>
      </c>
      <c r="BL69" s="1068" t="s">
        <v>1726</v>
      </c>
      <c r="BM69" s="1070" t="s">
        <v>108</v>
      </c>
      <c r="BN69" s="1068" t="s">
        <v>1727</v>
      </c>
    </row>
    <row r="70" ht="11.25" customHeight="1">
      <c r="A70" s="1074" t="s">
        <v>1728</v>
      </c>
      <c r="AZ70" s="1120" t="s">
        <v>1318</v>
      </c>
      <c r="BE70" s="1120">
        <v>2068</v>
      </c>
      <c r="BH70" s="1068" t="s">
        <v>1729</v>
      </c>
      <c r="BJ70" s="1068" t="s">
        <v>1730</v>
      </c>
      <c r="BL70" s="1068" t="s">
        <v>1731</v>
      </c>
      <c r="BN70" s="1068" t="s">
        <v>1732</v>
      </c>
    </row>
    <row r="71" ht="11.25" customHeight="1">
      <c r="A71" s="1074" t="s">
        <v>1733</v>
      </c>
      <c r="AZ71" s="1120" t="s">
        <v>1320</v>
      </c>
      <c r="BE71" s="1120">
        <v>2069</v>
      </c>
      <c r="BH71" s="1068" t="s">
        <v>1734</v>
      </c>
      <c r="BI71" s="1117" t="s">
        <v>90</v>
      </c>
      <c r="BJ71" s="1068" t="s">
        <v>1735</v>
      </c>
      <c r="BK71" s="1117" t="s">
        <v>90</v>
      </c>
      <c r="BL71" s="1068" t="s">
        <v>1736</v>
      </c>
      <c r="BM71" s="1070" t="s">
        <v>90</v>
      </c>
      <c r="BN71" s="1068" t="s">
        <v>1737</v>
      </c>
    </row>
    <row r="72" ht="11.25" customHeight="1">
      <c r="A72" s="1074" t="s">
        <v>1738</v>
      </c>
      <c r="AZ72" s="1120" t="s">
        <v>19</v>
      </c>
      <c r="BE72" s="1120">
        <v>2070</v>
      </c>
      <c r="BH72" s="1068" t="s">
        <v>1739</v>
      </c>
      <c r="BJ72" s="1068" t="s">
        <v>1739</v>
      </c>
      <c r="BL72" s="1068" t="s">
        <v>1739</v>
      </c>
      <c r="BN72" s="1068" t="s">
        <v>1740</v>
      </c>
    </row>
    <row r="73" ht="11.25" customHeight="1">
      <c r="A73" s="1074" t="s">
        <v>1741</v>
      </c>
      <c r="BH73" s="1068" t="s">
        <v>1742</v>
      </c>
      <c r="BI73" s="1117" t="s">
        <v>110</v>
      </c>
      <c r="BJ73" s="1068" t="s">
        <v>1743</v>
      </c>
      <c r="BK73" s="1117" t="s">
        <v>110</v>
      </c>
      <c r="BL73" s="1068" t="s">
        <v>1744</v>
      </c>
      <c r="BM73" s="1070" t="s">
        <v>110</v>
      </c>
      <c r="BN73" s="1068" t="s">
        <v>1745</v>
      </c>
    </row>
    <row r="74" ht="11.25" customHeight="1">
      <c r="A74" s="1074" t="s">
        <v>1746</v>
      </c>
      <c r="BH74" s="1068" t="s">
        <v>1747</v>
      </c>
      <c r="BJ74" s="1068" t="s">
        <v>1748</v>
      </c>
      <c r="BL74" s="1068" t="s">
        <v>1749</v>
      </c>
      <c r="BN74" s="1068" t="s">
        <v>1750</v>
      </c>
    </row>
    <row r="75" ht="11.25" customHeight="1">
      <c r="A75" s="1074" t="s">
        <v>1751</v>
      </c>
      <c r="AZ75" s="1067" t="s">
        <v>1752</v>
      </c>
      <c r="BH75" s="1068" t="s">
        <v>1753</v>
      </c>
      <c r="BJ75" s="1068" t="s">
        <v>1753</v>
      </c>
      <c r="BL75" s="1068" t="s">
        <v>1753</v>
      </c>
    </row>
    <row r="76" ht="11.25" customHeight="1">
      <c r="A76" s="1074" t="s">
        <v>1754</v>
      </c>
      <c r="AZ76" s="1120" t="s">
        <v>1233</v>
      </c>
      <c r="BH76" s="1068" t="s">
        <v>1755</v>
      </c>
      <c r="BJ76" s="1068" t="s">
        <v>1756</v>
      </c>
      <c r="BL76" s="1068" t="s">
        <v>1757</v>
      </c>
    </row>
    <row r="77" ht="11.25" customHeight="1">
      <c r="A77" s="1074" t="s">
        <v>1758</v>
      </c>
      <c r="AZ77" s="1120" t="s">
        <v>1261</v>
      </c>
    </row>
    <row r="78" ht="11.25" customHeight="1">
      <c r="A78" s="1074" t="s">
        <v>1759</v>
      </c>
      <c r="AZ78" s="1120" t="s">
        <v>1293</v>
      </c>
    </row>
    <row r="79" ht="11.25" customHeight="1">
      <c r="A79" s="1074" t="s">
        <v>1760</v>
      </c>
      <c r="AZ79" s="1120" t="s">
        <v>1324</v>
      </c>
      <c r="BH79" s="1067" t="s">
        <v>1761</v>
      </c>
      <c r="BJ79" s="1067" t="s">
        <v>1762</v>
      </c>
      <c r="BL79" s="1067" t="s">
        <v>1763</v>
      </c>
    </row>
    <row r="80" ht="11.25" customHeight="1">
      <c r="A80" s="1074" t="s">
        <v>1764</v>
      </c>
      <c r="AZ80" s="1120" t="s">
        <v>1345</v>
      </c>
      <c r="BH80" s="1068" t="s">
        <v>1765</v>
      </c>
      <c r="BJ80" s="1068" t="s">
        <v>1766</v>
      </c>
      <c r="BL80" s="1068" t="s">
        <v>1767</v>
      </c>
    </row>
    <row r="81" ht="11.25" customHeight="1">
      <c r="A81" s="1074" t="s">
        <v>1768</v>
      </c>
      <c r="AZ81" s="1120" t="s">
        <v>1362</v>
      </c>
      <c r="BH81" s="1068" t="s">
        <v>1769</v>
      </c>
      <c r="BJ81" s="1068" t="s">
        <v>1770</v>
      </c>
      <c r="BL81" s="1068" t="s">
        <v>1771</v>
      </c>
    </row>
    <row r="82" ht="11.25" customHeight="1">
      <c r="A82" s="1074" t="s">
        <v>1772</v>
      </c>
      <c r="AZ82" s="1120" t="s">
        <v>1377</v>
      </c>
      <c r="BH82" s="1068" t="s">
        <v>1773</v>
      </c>
      <c r="BJ82" s="1068" t="s">
        <v>1774</v>
      </c>
      <c r="BL82" s="1068" t="s">
        <v>1775</v>
      </c>
    </row>
    <row r="83" ht="11.25" customHeight="1">
      <c r="A83" s="1074" t="s">
        <v>1776</v>
      </c>
      <c r="BH83" s="1068" t="s">
        <v>1777</v>
      </c>
      <c r="BJ83" s="1068" t="s">
        <v>1778</v>
      </c>
      <c r="BL83" s="1068" t="s">
        <v>1779</v>
      </c>
    </row>
    <row r="84" ht="11.25" customHeight="1">
      <c r="A84" s="1074" t="s">
        <v>1780</v>
      </c>
      <c r="AZ84" s="1067" t="s">
        <v>1781</v>
      </c>
    </row>
    <row r="85" ht="11.25" customHeight="1">
      <c r="A85" s="1870" t="s">
        <v>1782</v>
      </c>
      <c r="AZ85" s="1120" t="s">
        <v>1783</v>
      </c>
    </row>
    <row r="86" ht="11.25" customHeight="1">
      <c r="A86" s="1074" t="s">
        <v>1784</v>
      </c>
      <c r="AZ86" s="1120" t="s">
        <v>1785</v>
      </c>
      <c r="BH86" s="1067" t="s">
        <v>1786</v>
      </c>
      <c r="BJ86" s="1067" t="s">
        <v>1787</v>
      </c>
      <c r="BL86" s="1067" t="s">
        <v>1788</v>
      </c>
    </row>
    <row r="87" ht="11.25" customHeight="1">
      <c r="A87" s="1074" t="s">
        <v>1789</v>
      </c>
      <c r="AZ87" s="1120" t="s">
        <v>1790</v>
      </c>
      <c r="BH87" s="1068" t="s">
        <v>1791</v>
      </c>
      <c r="BJ87" s="1068" t="s">
        <v>1792</v>
      </c>
      <c r="BL87" s="1068" t="s">
        <v>1793</v>
      </c>
    </row>
    <row r="88" ht="11.25" customHeight="1">
      <c r="A88" s="1074" t="s">
        <v>1794</v>
      </c>
      <c r="AZ88" s="1606"/>
      <c r="BH88" s="1068" t="s">
        <v>1795</v>
      </c>
      <c r="BJ88" s="1068" t="s">
        <v>1796</v>
      </c>
      <c r="BL88" s="1068" t="s">
        <v>1797</v>
      </c>
    </row>
    <row r="89" ht="11.25" customHeight="1">
      <c r="A89" s="1074" t="s">
        <v>1798</v>
      </c>
      <c r="AZ89" s="1067" t="s">
        <v>1799</v>
      </c>
    </row>
    <row r="90" ht="11.25" customHeight="1">
      <c r="A90" s="1074" t="s">
        <v>1800</v>
      </c>
      <c r="AZ90" s="1120" t="s">
        <v>1022</v>
      </c>
    </row>
    <row r="91" ht="11.25" customHeight="1">
      <c r="A91" s="1074" t="s">
        <v>1801</v>
      </c>
      <c r="AZ91" s="1120" t="s">
        <v>1058</v>
      </c>
      <c r="BH91" s="1067" t="s">
        <v>1802</v>
      </c>
      <c r="BJ91" s="1067" t="s">
        <v>1803</v>
      </c>
      <c r="BL91" s="1067" t="s">
        <v>1804</v>
      </c>
    </row>
    <row r="92" ht="11.25" customHeight="1">
      <c r="AZ92" s="1120" t="s">
        <v>1805</v>
      </c>
      <c r="BH92" s="1068" t="s">
        <v>1806</v>
      </c>
      <c r="BJ92" s="1068" t="s">
        <v>1807</v>
      </c>
      <c r="BL92" s="1068" t="s">
        <v>1808</v>
      </c>
    </row>
    <row r="93" ht="11.25" customHeight="1">
      <c r="AZ93" s="1120" t="s">
        <v>1809</v>
      </c>
      <c r="BH93" s="1068" t="s">
        <v>1810</v>
      </c>
      <c r="BJ93" s="1068" t="s">
        <v>1811</v>
      </c>
      <c r="BL93" s="1068" t="s">
        <v>1812</v>
      </c>
    </row>
    <row r="94" ht="11.25" customHeight="1">
      <c r="AZ94" s="1120" t="s">
        <v>1813</v>
      </c>
    </row>
    <row r="96" ht="11.25" customHeight="1">
      <c r="AZ96" s="1067" t="s">
        <v>1814</v>
      </c>
      <c r="BH96" s="1067" t="s">
        <v>1815</v>
      </c>
      <c r="BJ96" s="1067" t="s">
        <v>1816</v>
      </c>
      <c r="BL96" s="1067" t="s">
        <v>1817</v>
      </c>
      <c r="BN96" s="1067" t="s">
        <v>1818</v>
      </c>
    </row>
    <row r="97" ht="11.25" customHeight="1">
      <c r="AZ97" s="1901" t="s">
        <v>1819</v>
      </c>
      <c r="BA97" s="1902" t="s">
        <v>1820</v>
      </c>
      <c r="BH97" s="1068" t="s">
        <v>1821</v>
      </c>
      <c r="BJ97" s="1068" t="s">
        <v>1822</v>
      </c>
      <c r="BL97" s="1068" t="s">
        <v>1823</v>
      </c>
      <c r="BN97" s="1068" t="s">
        <v>1824</v>
      </c>
    </row>
    <row r="98" ht="11.25" customHeight="1">
      <c r="AZ98" s="1901" t="s">
        <v>1825</v>
      </c>
      <c r="BA98" s="1902" t="s">
        <v>1826</v>
      </c>
      <c r="BH98" s="1068" t="s">
        <v>1827</v>
      </c>
      <c r="BJ98" s="1068" t="s">
        <v>1828</v>
      </c>
      <c r="BL98" s="1068" t="s">
        <v>1829</v>
      </c>
      <c r="BN98" s="1068" t="s">
        <v>1830</v>
      </c>
    </row>
    <row r="99" ht="22.5" customHeight="1">
      <c r="AZ99" s="1901" t="s">
        <v>1831</v>
      </c>
      <c r="BA99" s="190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8" t="s">
        <v>1832</v>
      </c>
      <c r="BJ99" s="1068" t="s">
        <v>1833</v>
      </c>
      <c r="BL99" s="1068" t="s">
        <v>1834</v>
      </c>
      <c r="BN99" s="1068" t="s">
        <v>1835</v>
      </c>
    </row>
    <row r="100" ht="22.5" customHeight="1">
      <c r="AZ100" s="1901" t="s">
        <v>1836</v>
      </c>
      <c r="BA100"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68" t="s">
        <v>1423</v>
      </c>
      <c r="BL100" s="1068" t="s">
        <v>1423</v>
      </c>
      <c r="BN100" s="1068" t="s">
        <v>1837</v>
      </c>
    </row>
    <row r="101" ht="22.5" customHeight="1">
      <c r="AZ101" s="1901" t="s">
        <v>1838</v>
      </c>
      <c r="BA101" s="1902" t="s">
        <v>1839</v>
      </c>
      <c r="BN101" s="1068" t="s">
        <v>1840</v>
      </c>
    </row>
    <row r="102" ht="22.5" customHeight="1">
      <c r="AZ102" s="1901" t="s">
        <v>1841</v>
      </c>
      <c r="BA102"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68" t="s">
        <v>1842</v>
      </c>
    </row>
    <row r="103" ht="11.25" customHeight="1">
      <c r="AZ103" s="1901" t="s">
        <v>1843</v>
      </c>
      <c r="BA103" s="1902" t="s">
        <v>1844</v>
      </c>
      <c r="BN103" s="1068" t="s">
        <v>1845</v>
      </c>
    </row>
    <row r="104" ht="11.25" customHeight="1">
      <c r="BN104" s="1068" t="s">
        <v>1846</v>
      </c>
    </row>
    <row r="105" ht="11.25" customHeight="1">
      <c r="AZ105" s="1692" t="s">
        <v>1847</v>
      </c>
    </row>
    <row r="106" ht="11.25" customHeight="1">
      <c r="AZ106" s="1120" t="s">
        <v>1848</v>
      </c>
    </row>
    <row r="107" ht="11.25" customHeight="1">
      <c r="AZ107" s="1120" t="s">
        <v>501</v>
      </c>
      <c r="BH107" s="1067" t="s">
        <v>1849</v>
      </c>
      <c r="BJ107" s="1067" t="s">
        <v>1850</v>
      </c>
      <c r="BL107" s="1067" t="s">
        <v>1851</v>
      </c>
      <c r="BN107" s="1067" t="s">
        <v>1852</v>
      </c>
    </row>
    <row r="108" ht="11.25" customHeight="1">
      <c r="AZ108" s="1120" t="s">
        <v>574</v>
      </c>
      <c r="BH108" s="1068" t="s">
        <v>1853</v>
      </c>
      <c r="BJ108" s="1068" t="s">
        <v>1854</v>
      </c>
      <c r="BL108" s="1068" t="s">
        <v>1509</v>
      </c>
      <c r="BN108" s="1068" t="s">
        <v>1855</v>
      </c>
    </row>
    <row r="109" ht="11.25" customHeight="1">
      <c r="BH109" s="1068" t="s">
        <v>1856</v>
      </c>
    </row>
    <row r="110" ht="11.25" customHeight="1">
      <c r="AZ110" s="1692" t="s">
        <v>1857</v>
      </c>
      <c r="BH110" s="1068" t="s">
        <v>1856</v>
      </c>
    </row>
    <row r="111" ht="11.25" customHeight="1">
      <c r="AZ111" s="1901" t="s">
        <v>1819</v>
      </c>
      <c r="BA111" s="1902" t="s">
        <v>1820</v>
      </c>
    </row>
    <row r="112" ht="11.25" customHeight="1">
      <c r="AZ112" s="1901" t="s">
        <v>1825</v>
      </c>
      <c r="BA112" s="1902" t="s">
        <v>1826</v>
      </c>
    </row>
    <row r="113" ht="22.5" customHeight="1">
      <c r="AZ113" s="1901" t="s">
        <v>1831</v>
      </c>
      <c r="BA113" s="190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1" t="s">
        <v>1836</v>
      </c>
      <c r="BA114"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67" t="s">
        <v>1858</v>
      </c>
    </row>
    <row r="115" ht="22.5" customHeight="1">
      <c r="AZ115" s="1901" t="s">
        <v>1841</v>
      </c>
      <c r="BA115"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68" t="s">
        <v>1220</v>
      </c>
    </row>
    <row r="116" ht="11.25" customHeight="1">
      <c r="AZ116" s="1901" t="s">
        <v>1843</v>
      </c>
      <c r="BA116" s="1902" t="s">
        <v>1844</v>
      </c>
      <c r="BH116" s="1068" t="s">
        <v>1247</v>
      </c>
    </row>
    <row r="117" ht="11.25" customHeight="1">
      <c r="BH117" s="1068" t="s">
        <v>1282</v>
      </c>
    </row>
    <row r="118" ht="11.25" customHeight="1">
      <c r="BH118" s="1068" t="s">
        <v>1315</v>
      </c>
    </row>
  </sheetData>
  <sheetProtection autoFilter="0" deleteColumns="1" deleteRows="1" formatColumns="0" formatRows="0" insertColumns="1" insertRows="1" sheet="1" sort="1"/>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defaultRowHeight="11.25" customHeight="1"/>
  <cols>
    <col customWidth="1" hidden="1" min="1" max="2" style="501" width="15.00390625"/>
    <col customWidth="1" min="3" max="3" style="455" width="3.00390625"/>
    <col customWidth="1" min="4" max="4" style="456" width="6.00390625"/>
    <col customWidth="1" min="5" max="5" style="455" width="52.00390625"/>
    <col customWidth="1" min="6" max="6" style="455" width="48.00390625"/>
    <col customWidth="1" min="7" max="7" style="455" width="93.00390625"/>
    <col customWidth="1" min="8" max="8" style="455" width="8.00390625"/>
    <col customWidth="1" min="9" max="9" style="455" width="64.00390625"/>
    <col hidden="1" min="10" max="10" style="455" width="9.140625"/>
  </cols>
  <sheetData>
    <row r="1" ht="11.25" hidden="1" customHeight="1">
      <c r="A1" s="501" t="s">
        <v>303</v>
      </c>
      <c r="J1" s="455" t="s">
        <v>14</v>
      </c>
    </row>
    <row r="2" ht="22.5" hidden="1" customHeight="1">
      <c r="A2" s="502"/>
      <c r="B2" s="502"/>
      <c r="C2" s="1730" t="s">
        <v>692</v>
      </c>
      <c r="D2" s="1520"/>
      <c r="E2" s="1526"/>
      <c r="F2" s="1549"/>
      <c r="H2" s="475"/>
      <c r="J2" s="455">
        <v>0</v>
      </c>
    </row>
    <row r="3" ht="11.25" hidden="1" customHeight="1">
      <c r="J3" s="455">
        <v>0</v>
      </c>
    </row>
    <row r="4" ht="11.5" customHeight="1">
      <c r="A4" s="1550"/>
      <c r="B4" s="1550"/>
      <c r="J4" s="455">
        <v>11</v>
      </c>
    </row>
    <row r="5" ht="27.300000000000001" customHeight="1">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39"/>
      <c r="F5" s="2240"/>
      <c r="I5" s="715"/>
      <c r="J5" s="455">
        <v>26</v>
      </c>
    </row>
    <row r="6" ht="18" customHeight="1">
      <c r="D6" s="2176" t="str">
        <f>IF(region_name=0,"Не определено",region_name)</f>
        <v xml:space="preserve">Приморский край</v>
      </c>
      <c r="E6" s="2176"/>
      <c r="F6" s="2176"/>
      <c r="I6" s="715"/>
      <c r="J6" s="455">
        <v>17</v>
      </c>
    </row>
    <row r="7" s="477" customFormat="1" ht="11.5" customHeight="1">
      <c r="A7" s="501"/>
      <c r="B7" s="501"/>
      <c r="D7" s="714"/>
      <c r="E7" s="714"/>
      <c r="F7" s="752"/>
      <c r="G7" s="714"/>
      <c r="J7" s="477">
        <v>11</v>
      </c>
    </row>
    <row r="8" ht="11.25" hidden="1" customHeight="1">
      <c r="A8" s="502"/>
      <c r="B8" s="502"/>
      <c r="C8" s="457"/>
      <c r="D8" s="463"/>
      <c r="E8" s="2207"/>
      <c r="F8" s="2207"/>
      <c r="J8" s="455">
        <v>0</v>
      </c>
    </row>
    <row r="9" ht="11.5" customHeight="1">
      <c r="A9" s="502"/>
      <c r="B9" s="502"/>
      <c r="C9" s="457"/>
      <c r="D9" s="2204" t="s">
        <v>304</v>
      </c>
      <c r="E9" s="2205"/>
      <c r="F9" s="2205"/>
      <c r="G9" s="2208" t="s">
        <v>305</v>
      </c>
      <c r="J9" s="455">
        <v>11</v>
      </c>
    </row>
    <row r="10" ht="11.5" customHeight="1">
      <c r="A10" s="502"/>
      <c r="B10" s="502"/>
      <c r="C10" s="457"/>
      <c r="D10" s="1474" t="s">
        <v>88</v>
      </c>
      <c r="E10" s="1476" t="s">
        <v>306</v>
      </c>
      <c r="F10" s="1476" t="s">
        <v>307</v>
      </c>
      <c r="G10" s="2209"/>
      <c r="J10" s="455">
        <v>11</v>
      </c>
    </row>
    <row r="11" ht="1.05" customHeight="1">
      <c r="A11" s="502"/>
      <c r="B11" s="502"/>
      <c r="C11" s="457"/>
      <c r="D11" s="464"/>
      <c r="E11" s="464"/>
      <c r="F11" s="464"/>
      <c r="G11" s="464"/>
      <c r="J11" s="455">
        <v>1</v>
      </c>
    </row>
    <row r="12" ht="24" customHeight="1">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08" t="str">
        <f>IF(org="","",org)</f>
        <v xml:space="preserve">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3"/>
      <c r="J12" s="455">
        <v>23</v>
      </c>
    </row>
    <row r="13" ht="19.949999999999999" customHeight="1">
      <c r="A13" s="502"/>
      <c r="B13" s="502"/>
      <c r="C13" s="457"/>
      <c r="D13" s="1520">
        <v>2</v>
      </c>
      <c r="E13" s="1527" t="s">
        <v>1859</v>
      </c>
      <c r="F13" s="1521" t="s">
        <v>310</v>
      </c>
      <c r="G13" s="474"/>
      <c r="H13" s="1533"/>
      <c r="J13" s="455">
        <v>19</v>
      </c>
    </row>
    <row r="14" ht="19.949999999999999" customHeight="1">
      <c r="A14" s="502"/>
      <c r="B14" s="502"/>
      <c r="C14" s="457"/>
      <c r="D14" s="1523" t="s">
        <v>712</v>
      </c>
      <c r="E14" s="1524" t="s">
        <v>1860</v>
      </c>
      <c r="F14" s="1526"/>
      <c r="G14" s="1525" t="s">
        <v>1861</v>
      </c>
      <c r="H14" s="1533"/>
      <c r="J14" s="455">
        <v>19</v>
      </c>
    </row>
    <row r="15" ht="19.949999999999999" customHeight="1">
      <c r="A15" s="502"/>
      <c r="B15" s="502"/>
      <c r="C15" s="457"/>
      <c r="D15" s="1523" t="s">
        <v>311</v>
      </c>
      <c r="E15" s="1524" t="s">
        <v>1862</v>
      </c>
      <c r="F15" s="1526"/>
      <c r="G15" s="1525" t="s">
        <v>1863</v>
      </c>
      <c r="H15" s="1533"/>
      <c r="J15" s="455">
        <v>19</v>
      </c>
    </row>
    <row r="16" ht="24" customHeight="1">
      <c r="A16" s="502"/>
      <c r="B16" s="502"/>
      <c r="C16" s="457"/>
      <c r="D16" s="1523" t="s">
        <v>314</v>
      </c>
      <c r="E16" s="1522" t="s">
        <v>1864</v>
      </c>
      <c r="F16" s="1531"/>
      <c r="G16" s="474" t="s">
        <v>1865</v>
      </c>
      <c r="H16" s="1533"/>
      <c r="J16" s="455">
        <v>23</v>
      </c>
    </row>
    <row r="17" ht="48.25" customHeight="1">
      <c r="A17" s="502"/>
      <c r="B17" s="502"/>
      <c r="C17" s="457"/>
      <c r="D17" s="1520">
        <v>3</v>
      </c>
      <c r="E17" s="1527" t="s">
        <v>1866</v>
      </c>
      <c r="F17" s="1526"/>
      <c r="G17" s="474" t="s">
        <v>1867</v>
      </c>
      <c r="H17" s="1533"/>
      <c r="J17" s="455">
        <v>46</v>
      </c>
    </row>
    <row r="18" ht="48.25" customHeight="1">
      <c r="A18" s="1475">
        <v>1</v>
      </c>
      <c r="B18" s="502"/>
      <c r="C18" s="1477"/>
      <c r="D18" s="1520" t="s">
        <v>91</v>
      </c>
      <c r="E18" s="1527" t="s">
        <v>1868</v>
      </c>
      <c r="F18" s="1526"/>
      <c r="G18" s="474" t="s">
        <v>1867</v>
      </c>
      <c r="H18" s="1533"/>
      <c r="I18" s="852"/>
      <c r="J18" s="455">
        <v>46</v>
      </c>
    </row>
    <row r="19" ht="23.25" customHeight="1">
      <c r="A19" s="502"/>
      <c r="B19" s="502"/>
      <c r="C19" s="457"/>
      <c r="D19" s="1520" t="s">
        <v>110</v>
      </c>
      <c r="E19" s="1527" t="s">
        <v>1869</v>
      </c>
      <c r="F19" s="1521" t="s">
        <v>310</v>
      </c>
      <c r="G19" s="2471" t="s">
        <v>1870</v>
      </c>
      <c r="H19" s="475"/>
      <c r="J19" s="455">
        <v>22</v>
      </c>
    </row>
    <row r="20" s="1530" customFormat="1" ht="5.25" hidden="1" customHeight="1">
      <c r="A20" s="502"/>
      <c r="B20" s="502"/>
      <c r="C20" s="1529"/>
      <c r="D20" s="1528" t="s">
        <v>1119</v>
      </c>
      <c r="E20" s="1014"/>
      <c r="F20" s="1013"/>
      <c r="G20" s="2472"/>
      <c r="J20" s="1530">
        <v>0</v>
      </c>
    </row>
    <row r="21" ht="15.75" customHeight="1">
      <c r="A21" s="502"/>
      <c r="B21" s="502"/>
      <c r="C21" s="457"/>
      <c r="D21" s="467"/>
      <c r="E21" s="415" t="s">
        <v>343</v>
      </c>
      <c r="F21" s="469"/>
      <c r="G21" s="2473"/>
      <c r="H21" s="1533"/>
      <c r="J21" s="455">
        <v>15</v>
      </c>
    </row>
    <row r="22" s="501" customFormat="1" ht="26.25" customHeight="1">
      <c r="A22" s="502"/>
      <c r="B22" s="502"/>
      <c r="C22" s="502"/>
      <c r="D22" s="1520" t="s">
        <v>92</v>
      </c>
      <c r="E22" s="474" t="s">
        <v>1871</v>
      </c>
      <c r="F22" s="1526"/>
      <c r="G22" s="474" t="s">
        <v>1872</v>
      </c>
      <c r="H22" s="1532"/>
      <c r="J22" s="501">
        <v>25</v>
      </c>
    </row>
    <row r="23" s="501" customFormat="1" ht="19.949999999999999" customHeight="1">
      <c r="A23" s="502"/>
      <c r="B23" s="502"/>
      <c r="C23" s="502"/>
      <c r="D23" s="1520" t="s">
        <v>93</v>
      </c>
      <c r="E23" s="1527" t="s">
        <v>1873</v>
      </c>
      <c r="F23" s="1531"/>
      <c r="G23" s="474" t="s">
        <v>1874</v>
      </c>
      <c r="H23" s="1532"/>
      <c r="J23" s="501">
        <v>19</v>
      </c>
    </row>
    <row r="24" s="501" customFormat="1" ht="144" hidden="1" customHeight="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r="25" ht="11.25" hidden="1" customHeight="1">
      <c r="A25" s="501" t="s">
        <v>82</v>
      </c>
      <c r="B25" s="501">
        <v>0</v>
      </c>
      <c r="C25" s="455">
        <v>3</v>
      </c>
      <c r="D25" s="456">
        <v>6</v>
      </c>
      <c r="E25" s="455">
        <v>52</v>
      </c>
      <c r="F25" s="455">
        <v>48</v>
      </c>
      <c r="G25" s="455">
        <v>93</v>
      </c>
      <c r="H25" s="455">
        <v>8</v>
      </c>
      <c r="I25" s="455">
        <v>64</v>
      </c>
      <c r="J25" s="455">
        <v>11</v>
      </c>
    </row>
  </sheetData>
  <sheetProtection autoFilter="0" deleteColumns="1" deleteRows="1" formatColumns="0" formatRows="0" insertColumns="1" insertRows="1" sheet="1" sort="1"/>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C700F1-00E1-44CF-91BA-00F50095005A}"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14005D-008E-49A9-ADC7-002D00C5008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46.00390625"/>
    <col customWidth="1" min="7" max="8" style="1635" width="16.00390625"/>
    <col customWidth="1" min="9" max="9" style="1635" width="35.00390625"/>
    <col customWidth="1" min="10" max="10" style="1635" width="89.00390625"/>
    <col customWidth="1" min="11" max="11" style="1624" width="3.00390625"/>
    <col customWidth="1" min="12" max="14" style="1624" width="8.00390625"/>
    <col customWidth="1" min="15" max="15" style="1624" width="25.00390625"/>
    <col customWidth="1" min="16" max="16" style="1624" width="14.00390625"/>
    <col customWidth="1" min="17" max="20" style="225" width="8.00390625"/>
    <col customWidth="1" min="21" max="254" style="1635" width="8.00390625"/>
    <col hidden="1" min="255" max="255" style="1635" width="9.140625"/>
  </cols>
  <sheetData>
    <row r="1" ht="22.5" hidden="1" customHeight="1">
      <c r="F1" s="1631" t="s">
        <v>1875</v>
      </c>
      <c r="G1" s="1631" t="s">
        <v>48</v>
      </c>
      <c r="H1" s="1631" t="s">
        <v>50</v>
      </c>
      <c r="IU1" s="1155" t="s">
        <v>14</v>
      </c>
    </row>
    <row r="2" s="1850" customFormat="1" ht="22.5" hidden="1" customHeight="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r="3" s="1642" customFormat="1" ht="4.2000000000000002" customHeight="1">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r="4" s="1819" customFormat="1" ht="14.65" customHeight="1">
      <c r="A4" s="1155"/>
      <c r="B4" s="1160"/>
      <c r="C4" s="1155"/>
      <c r="D4" s="1495"/>
      <c r="E4" s="509"/>
      <c r="F4" s="1642"/>
      <c r="G4" s="509"/>
      <c r="H4" s="509"/>
      <c r="I4" s="509"/>
      <c r="J4" s="166"/>
      <c r="K4" s="247"/>
      <c r="L4" s="500"/>
      <c r="M4" s="500"/>
      <c r="N4" s="500"/>
      <c r="O4" s="226"/>
      <c r="P4" s="500"/>
      <c r="Q4" s="225"/>
      <c r="R4" s="225"/>
      <c r="S4" s="225"/>
      <c r="T4" s="225"/>
      <c r="IU4" s="507">
        <v>14</v>
      </c>
    </row>
    <row r="5" s="1819" customFormat="1" ht="27.300000000000001" customHeight="1">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r="6" s="1819" customFormat="1" ht="14.65" customHeight="1">
      <c r="A6" s="1155"/>
      <c r="B6" s="1160"/>
      <c r="C6" s="1155"/>
      <c r="D6" s="1495"/>
      <c r="E6" s="509"/>
      <c r="F6" s="167"/>
      <c r="G6" s="167"/>
      <c r="H6" s="167"/>
      <c r="I6" s="167"/>
      <c r="J6" s="168"/>
      <c r="K6" s="500"/>
      <c r="L6" s="500"/>
      <c r="M6" s="500"/>
      <c r="N6" s="500"/>
      <c r="O6" s="226"/>
      <c r="P6" s="500"/>
      <c r="Q6" s="225"/>
      <c r="R6" s="225"/>
      <c r="S6" s="225"/>
      <c r="T6" s="225"/>
      <c r="IU6" s="507">
        <v>14</v>
      </c>
    </row>
    <row r="7" s="1819" customFormat="1" ht="14.65" customHeight="1">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r="8" s="1819" customFormat="1" ht="21" customHeight="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r="9" s="1850" customFormat="1" ht="23.25" customHeight="1">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r="10" s="1850" customFormat="1" ht="15.75" customHeight="1">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r="11" s="1819" customFormat="1" ht="22" customHeight="1">
      <c r="A11" s="1155"/>
      <c r="B11" s="1160"/>
      <c r="C11" s="1155"/>
      <c r="D11" s="451"/>
      <c r="E11" s="180"/>
      <c r="F11" s="180"/>
      <c r="G11" s="180"/>
      <c r="H11" s="180"/>
      <c r="I11" s="180"/>
      <c r="J11" s="180"/>
      <c r="K11" s="500"/>
      <c r="L11" s="500"/>
      <c r="M11" s="500"/>
      <c r="N11" s="500"/>
      <c r="O11" s="226"/>
      <c r="P11" s="500"/>
      <c r="Q11" s="225"/>
      <c r="R11" s="225"/>
      <c r="S11" s="225"/>
      <c r="T11" s="225"/>
      <c r="IU11" s="507">
        <v>21</v>
      </c>
    </row>
    <row r="12" s="1819" customFormat="1" ht="14.65" customHeight="1">
      <c r="A12" s="1155"/>
      <c r="B12" s="1160"/>
      <c r="C12" s="1155"/>
      <c r="D12" s="451"/>
      <c r="E12" s="1155"/>
      <c r="F12" s="1155"/>
      <c r="G12" s="1155"/>
      <c r="H12" s="1155"/>
      <c r="I12" s="1155"/>
      <c r="J12" s="1155"/>
      <c r="K12" s="500"/>
      <c r="L12" s="500"/>
      <c r="M12" s="500"/>
      <c r="N12" s="500"/>
      <c r="O12" s="226"/>
      <c r="P12" s="500"/>
      <c r="Q12" s="225"/>
      <c r="R12" s="225"/>
      <c r="S12" s="225"/>
      <c r="T12" s="225"/>
      <c r="IU12" s="507">
        <v>14</v>
      </c>
    </row>
    <row r="13" s="1819" customFormat="1" ht="1.05" customHeight="1">
      <c r="A13" s="1155"/>
      <c r="B13" s="1160"/>
      <c r="C13" s="1155"/>
      <c r="D13" s="451"/>
      <c r="E13" s="1155"/>
      <c r="F13" s="1155"/>
      <c r="G13" s="1155"/>
      <c r="H13" s="1155"/>
      <c r="I13" s="1155"/>
      <c r="J13" s="1155"/>
      <c r="K13" s="500"/>
      <c r="L13" s="500"/>
      <c r="M13" s="500"/>
      <c r="N13" s="500"/>
      <c r="O13" s="226"/>
      <c r="P13" s="500"/>
      <c r="Q13" s="225"/>
      <c r="R13" s="225"/>
      <c r="S13" s="225"/>
      <c r="T13" s="225"/>
      <c r="IU13" s="507">
        <v>1</v>
      </c>
    </row>
    <row r="14" s="1064" customFormat="1" ht="10.5" customHeight="1">
      <c r="B14" s="834"/>
      <c r="D14" s="182"/>
      <c r="K14" s="500"/>
      <c r="L14" s="500"/>
      <c r="M14" s="500"/>
      <c r="N14" s="500"/>
      <c r="O14" s="226"/>
      <c r="P14" s="500"/>
      <c r="Q14" s="225"/>
      <c r="R14" s="225"/>
      <c r="S14" s="225"/>
      <c r="T14" s="225"/>
      <c r="IU14" s="181">
        <v>10</v>
      </c>
    </row>
    <row r="15" s="1064" customFormat="1" ht="10.5" customHeight="1">
      <c r="B15" s="834"/>
      <c r="D15" s="182"/>
      <c r="K15" s="500"/>
      <c r="L15" s="500"/>
      <c r="M15" s="500"/>
      <c r="N15" s="500"/>
      <c r="O15" s="226"/>
      <c r="P15" s="500"/>
      <c r="Q15" s="225"/>
      <c r="R15" s="225"/>
      <c r="S15" s="225"/>
      <c r="T15" s="225"/>
      <c r="IU15" s="181">
        <v>10</v>
      </c>
    </row>
    <row r="16" ht="14.65" customHeight="1">
      <c r="IU16" s="1155">
        <v>14</v>
      </c>
    </row>
    <row r="17" ht="14.65" customHeight="1">
      <c r="IU17" s="1155">
        <v>14</v>
      </c>
    </row>
    <row r="18" ht="14.65" customHeight="1">
      <c r="IU18" s="1155">
        <v>14</v>
      </c>
    </row>
    <row r="19" ht="14.65" customHeight="1">
      <c r="G19" s="373"/>
      <c r="H19" s="373"/>
      <c r="I19" s="373"/>
      <c r="IU19" s="1155">
        <v>14</v>
      </c>
    </row>
    <row r="20" ht="14.65" customHeight="1">
      <c r="IU20" s="1155">
        <v>14</v>
      </c>
    </row>
    <row r="21" ht="14.65" customHeight="1">
      <c r="IU21" s="1155">
        <v>14</v>
      </c>
    </row>
    <row r="22" ht="14.65" customHeight="1">
      <c r="IU22" s="1155">
        <v>14</v>
      </c>
    </row>
    <row r="23" ht="14.65" customHeight="1">
      <c r="K23" s="1155"/>
      <c r="L23" s="1155"/>
      <c r="M23" s="1155"/>
      <c r="IU23" s="1155">
        <v>14</v>
      </c>
    </row>
    <row r="24" ht="22.5" hidden="1" customHeight="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autoFilter="0" deleteColumns="1" deleteRows="1" formatColumns="0" formatRows="0" insertColumns="1" insertRows="1" sheet="1" sort="1"/>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20014-006A-4C87-AA81-008900E200E3}" type="textLength" allowBlank="1" showErrorMessage="1" showInputMessage="1">
          <x14:formula1>
            <xm:f>13</xm:f>
          </x14:formula1>
          <x14:formula2>
            <xm:f>15</xm:f>
          </x14:formula2>
          <xm:sqref>I3</xm:sqref>
        </x14:dataValidation>
        <x14:dataValidation xr:uid="{00E100DF-00B3-4486-AF2A-00E000BE009B}"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27.00390625"/>
    <col customWidth="1" min="7" max="7" style="1635" width="16.00390625"/>
    <col customWidth="1" min="8" max="8" style="1635" width="12.00390625"/>
    <col customWidth="1" min="9" max="9" style="1635" width="32.00390625"/>
    <col customWidth="1" min="10" max="11" style="1635" width="41.00390625"/>
    <col customWidth="1" min="12" max="12" style="1635" width="89.00390625"/>
    <col customWidth="1" min="13" max="13" style="1624" width="3.00390625"/>
    <col customWidth="1" min="14" max="16" style="1624" width="8.00390625"/>
    <col customWidth="1" min="17" max="17" style="1624" width="25.00390625"/>
    <col customWidth="1" min="18" max="18" style="1624" width="14.00390625"/>
    <col customWidth="1" min="19" max="22" style="225" width="8.00390625"/>
    <col customWidth="1" min="23" max="256" style="1635" width="8.00390625"/>
    <col hidden="1" min="257" max="257" style="1635" width="9.140625"/>
  </cols>
  <sheetData>
    <row r="1" ht="22.5" hidden="1" customHeight="1">
      <c r="IW1" s="1155" t="s">
        <v>14</v>
      </c>
    </row>
    <row r="2" s="1850" customFormat="1" ht="22.5" hidden="1" customHeight="1">
      <c r="A2" s="831"/>
      <c r="B2" s="1160">
        <v>1</v>
      </c>
      <c r="C2" s="1160"/>
      <c r="D2" s="1928" t="s">
        <v>692</v>
      </c>
      <c r="E2" s="1889"/>
      <c r="F2" s="1892" t="str">
        <f>IF(ROIV_INFO_NAME="","",ROIV_INFO_NAME)</f>
        <v xml:space="preserve">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r="3" s="1642" customFormat="1" ht="5.25" hidden="1" customHeight="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r="4" s="1819" customFormat="1" ht="14.65" customHeight="1">
      <c r="A4" s="1155"/>
      <c r="B4" s="1160"/>
      <c r="C4" s="1155"/>
      <c r="D4" s="1495"/>
      <c r="E4" s="509"/>
      <c r="F4" s="509"/>
      <c r="G4" s="509"/>
      <c r="H4" s="509"/>
      <c r="I4" s="509"/>
      <c r="J4" s="509"/>
      <c r="K4" s="509"/>
      <c r="L4" s="166"/>
      <c r="M4" s="247"/>
      <c r="N4" s="500"/>
      <c r="O4" s="500"/>
      <c r="P4" s="500"/>
      <c r="Q4" s="226"/>
      <c r="R4" s="500"/>
      <c r="S4" s="225"/>
      <c r="T4" s="225"/>
      <c r="U4" s="225"/>
      <c r="V4" s="225"/>
      <c r="IW4" s="507">
        <v>14</v>
      </c>
    </row>
    <row r="5" s="1819" customFormat="1" ht="27.300000000000001" customHeight="1">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r="6" s="1819" customFormat="1" ht="14.65" customHeight="1">
      <c r="A6" s="1155"/>
      <c r="B6" s="1160"/>
      <c r="C6" s="1155"/>
      <c r="D6" s="1495"/>
      <c r="E6" s="509"/>
      <c r="F6" s="167"/>
      <c r="G6" s="167"/>
      <c r="H6" s="167"/>
      <c r="I6" s="167"/>
      <c r="J6" s="167"/>
      <c r="K6" s="167"/>
      <c r="L6" s="168"/>
      <c r="M6" s="500"/>
      <c r="N6" s="500"/>
      <c r="O6" s="500"/>
      <c r="P6" s="500"/>
      <c r="Q6" s="226"/>
      <c r="R6" s="500"/>
      <c r="S6" s="225"/>
      <c r="T6" s="225"/>
      <c r="U6" s="225"/>
      <c r="V6" s="225"/>
      <c r="IW6" s="507">
        <v>14</v>
      </c>
    </row>
    <row r="7" s="1819" customFormat="1" ht="14.65" customHeight="1">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r="8" s="1819" customFormat="1" ht="67.200000000000003" customHeight="1">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r="9" s="1819" customFormat="1" ht="29.25" customHeight="1">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r="10" s="1850" customFormat="1" ht="23.25" customHeight="1">
      <c r="A10" s="2099"/>
      <c r="B10" s="1160">
        <v>1</v>
      </c>
      <c r="C10" s="1160"/>
      <c r="D10" s="800"/>
      <c r="E10" s="798">
        <v>1</v>
      </c>
      <c r="F10" s="1539" t="str">
        <f>IF(ROIV_INFO_NAME="","",ROIV_INFO_NAME)</f>
        <v xml:space="preserve">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r="11" s="1850" customFormat="1" ht="15.75" customHeight="1">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r="12" s="1819" customFormat="1" ht="22" customHeight="1">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r="13" s="1819" customFormat="1" ht="14.65" customHeight="1">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r="14" s="1819" customFormat="1" ht="1.05" customHeight="1">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r="15" ht="22.5" hidden="1" customHeight="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autoFilter="0" deleteColumns="1" deleteRows="1" formatColumns="0" formatRows="0" insertColumns="1" insertRows="1" sheet="1" sort="1"/>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400DF-00AB-4DB5-9AD8-00BA00D40048}" type="textLength" allowBlank="1" showErrorMessage="1" showInputMessage="1">
          <x14:formula1>
            <xm:f>13</xm:f>
          </x14:formula1>
          <x14:formula2>
            <xm:f>15</xm:f>
          </x14:formula2>
          <xm:sqref>H3:I3</xm:sqref>
        </x14:dataValidation>
        <x14:dataValidation xr:uid="{007E002E-0000-409B-B378-00A2000C007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BD009B-0009-4C21-BBEF-00F400B700E2}" type="time" allowBlank="1" prompt="Укажите время в формате ЧЧ:ММ" showErrorMessage="1" showInputMessage="1">
          <x14:formula1>
            <xm:f>0</xm:f>
          </x14:formula1>
          <x14:formula2>
            <xm:f>0.9993055555555556</xm:f>
          </x14:formula2>
          <xm:sqref>H10 H2</xm:sqref>
        </x14:dataValidation>
        <x14:dataValidation xr:uid="{0077002F-00FF-4F2E-9DF6-0020007B00C7}"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27.00390625"/>
    <col customWidth="1" min="7" max="7" style="1635" width="16.00390625"/>
    <col customWidth="1" min="8" max="8" style="1635" width="12.00390625"/>
    <col customWidth="1" min="9" max="9" style="1635" width="32.00390625"/>
    <col customWidth="1" min="10" max="11" style="1635" width="41.00390625"/>
    <col customWidth="1" min="12" max="12" style="1635" width="89.00390625"/>
    <col customWidth="1" min="13" max="13" style="1624" width="3.00390625"/>
    <col customWidth="1" min="14" max="16" style="1624" width="8.00390625"/>
    <col customWidth="1" min="17" max="17" style="1624" width="25.00390625"/>
    <col customWidth="1" min="18" max="18" style="1624" width="14.00390625"/>
    <col customWidth="1" min="19" max="22" style="225" width="8.00390625"/>
    <col customWidth="1" min="23" max="256" style="1635" width="8.00390625"/>
    <col hidden="1" min="257" max="257" style="1635" width="9.140625"/>
  </cols>
  <sheetData>
    <row r="1" ht="22.5" hidden="1" customHeight="1">
      <c r="IW1" s="1631" t="s">
        <v>14</v>
      </c>
    </row>
    <row r="2" s="1850" customFormat="1" ht="22.5" hidden="1" customHeight="1">
      <c r="A2" s="831"/>
      <c r="B2" s="1366">
        <v>1</v>
      </c>
      <c r="C2" s="1366"/>
      <c r="D2" s="1928" t="s">
        <v>692</v>
      </c>
      <c r="E2" s="1904"/>
      <c r="F2" s="1906" t="str">
        <f>IF(ROIV_INFO_NAME="","",ROIV_INFO_NAME)</f>
        <v xml:space="preserve">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r="3" s="1642" customFormat="1" ht="5.25" hidden="1" customHeight="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r="4" s="1819" customFormat="1" ht="14.65" customHeight="1">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r="5" s="1819" customFormat="1" ht="27.300000000000001" customHeight="1">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r="6" s="1819" customFormat="1" ht="14.65" customHeight="1">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r="7" s="1819" customFormat="1" ht="14.65" customHeight="1">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r="8" s="1819" customFormat="1" ht="67.200000000000003" customHeight="1">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r="9" s="1819" customFormat="1" ht="29.25" customHeight="1">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r="10" s="1850" customFormat="1" ht="1.05" customHeight="1">
      <c r="A10" s="2099"/>
      <c r="B10" s="1366">
        <v>1</v>
      </c>
      <c r="C10" s="1366"/>
      <c r="D10" s="800"/>
      <c r="E10" s="795">
        <v>0</v>
      </c>
      <c r="F10" s="1891" t="str">
        <f>IF(ROIV_INFO_NAME="","",ROIV_INFO_NAME)</f>
        <v xml:space="preserve">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r="11" s="1850" customFormat="1" ht="15.75" customHeight="1">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r="12" s="1819" customFormat="1" ht="22" customHeight="1">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r="13" s="1819" customFormat="1" ht="14.65" customHeight="1">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r="14" s="1819" customFormat="1" ht="1.05" customHeight="1">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r="15" ht="22.5" hidden="1" customHeight="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autoFilter="0" deleteColumns="1" deleteRows="1" insertColumns="1" insertRows="1" sheet="1" sort="1"/>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500CD-006D-4195-B3C5-008E00E900D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510093-004D-4E6F-892B-001F006F007A}" type="textLength" allowBlank="1" showErrorMessage="1" showInputMessage="1">
          <x14:formula1>
            <xm:f>13</xm:f>
          </x14:formula1>
          <x14:formula2>
            <xm:f>15</xm:f>
          </x14:formula2>
          <xm:sqref>H3:I3</xm:sqref>
        </x14:dataValidation>
        <x14:dataValidation xr:uid="{005800E3-0056-4590-82BD-00BA00870005}" type="textLength" allowBlank="1" operator="lessThanOrEqual" showErrorMessage="1" showInputMessage="1">
          <x14:formula1>
            <xm:f>990</xm:f>
          </x14:formula1>
          <xm:sqref>I2</xm:sqref>
        </x14:dataValidation>
        <x14:dataValidation xr:uid="{00D50077-00D5-4202-8D35-00A6000300D1}"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27.00390625"/>
    <col customWidth="1" min="7" max="7" style="1635" width="29.00390625"/>
    <col customWidth="1" min="8" max="8" style="1635" width="25.00390625"/>
    <col customWidth="1" min="9" max="9" style="1635" width="5.00390625"/>
    <col customWidth="1" min="10" max="10" style="1635" width="6.00390625"/>
    <col customWidth="1" min="11" max="11" style="1635" width="41.00390625"/>
    <col customWidth="1" min="12" max="12" style="1635" width="42.00390625"/>
    <col customWidth="1" min="13" max="13" style="1635" width="41.00390625"/>
    <col customWidth="1" min="14" max="14" style="1635" width="89.00390625"/>
    <col customWidth="1" min="15" max="15" style="1624" width="3.00390625"/>
    <col customWidth="1" min="16" max="16" style="1624" width="8.00390625"/>
    <col hidden="1" min="17" max="17" style="1635" width="9.140625"/>
  </cols>
  <sheetData>
    <row r="1" ht="22.5" hidden="1" customHeight="1">
      <c r="Q1" s="1155" t="s">
        <v>14</v>
      </c>
    </row>
    <row r="2" s="1850" customFormat="1" ht="22.5" hidden="1" customHeight="1">
      <c r="A2" s="496"/>
      <c r="B2" s="1160">
        <v>1</v>
      </c>
      <c r="C2" s="1160"/>
      <c r="D2" s="1928" t="s">
        <v>692</v>
      </c>
      <c r="E2" s="2127">
        <v>1</v>
      </c>
      <c r="F2" s="2303" t="str">
        <f>IF(region_name="","",region_name)</f>
        <v xml:space="preserve">Приморский край</v>
      </c>
      <c r="G2" s="2483"/>
      <c r="H2" s="2484"/>
      <c r="I2" s="474"/>
      <c r="J2" s="1910">
        <v>1</v>
      </c>
      <c r="K2" s="1912"/>
      <c r="L2" s="1912"/>
      <c r="M2" s="1912"/>
      <c r="N2" s="492"/>
      <c r="O2" s="1535"/>
      <c r="P2" s="511"/>
      <c r="Q2" s="423">
        <v>0</v>
      </c>
    </row>
    <row r="3" s="1850" customFormat="1" ht="22.5" hidden="1" customHeight="1">
      <c r="A3" s="831"/>
      <c r="B3" s="1160"/>
      <c r="C3" s="1160"/>
      <c r="D3" s="801"/>
      <c r="E3" s="2127"/>
      <c r="F3" s="2303"/>
      <c r="G3" s="2483"/>
      <c r="H3" s="2485"/>
      <c r="I3" s="421"/>
      <c r="J3" s="1500"/>
      <c r="K3" s="1500" t="s">
        <v>1885</v>
      </c>
      <c r="L3" s="1543"/>
      <c r="M3" s="1920"/>
      <c r="N3" s="1913"/>
      <c r="O3" s="1535"/>
      <c r="P3" s="511"/>
      <c r="Q3" s="423">
        <v>0</v>
      </c>
    </row>
    <row r="4" s="1642" customFormat="1" ht="5.25" hidden="1" customHeight="1">
      <c r="A4" s="496"/>
      <c r="D4" s="494"/>
      <c r="F4" s="247" t="s">
        <v>83</v>
      </c>
      <c r="G4" s="494" t="s">
        <v>84</v>
      </c>
      <c r="H4" s="494"/>
      <c r="I4" s="1923"/>
      <c r="J4" s="1544"/>
      <c r="K4" s="1911"/>
      <c r="L4" s="1911"/>
      <c r="M4" s="1911"/>
      <c r="N4" s="1907"/>
      <c r="O4" s="247" t="s">
        <v>83</v>
      </c>
      <c r="P4" s="247"/>
      <c r="Q4" s="511">
        <v>0</v>
      </c>
    </row>
    <row r="5" s="1850" customFormat="1" ht="22.5" hidden="1" customHeight="1">
      <c r="A5" s="1641"/>
      <c r="B5" s="1366">
        <v>1</v>
      </c>
      <c r="C5" s="1366"/>
      <c r="D5" s="801"/>
      <c r="E5" s="1913"/>
      <c r="F5" s="1913"/>
      <c r="G5" s="1913"/>
      <c r="H5" s="1924"/>
      <c r="I5" s="1929" t="s">
        <v>692</v>
      </c>
      <c r="J5" s="1922">
        <v>1</v>
      </c>
      <c r="K5" s="1912"/>
      <c r="L5" s="1912"/>
      <c r="M5" s="1912"/>
      <c r="N5" s="492"/>
      <c r="O5" s="1535"/>
      <c r="P5" s="1636"/>
      <c r="Q5" s="624">
        <v>0</v>
      </c>
    </row>
    <row r="6" s="1819" customFormat="1" ht="14.65" customHeight="1">
      <c r="A6" s="1155"/>
      <c r="B6" s="1160"/>
      <c r="C6" s="1155"/>
      <c r="D6" s="1495"/>
      <c r="E6" s="509"/>
      <c r="F6" s="509"/>
      <c r="G6" s="509"/>
      <c r="H6" s="509"/>
      <c r="I6" s="509"/>
      <c r="J6" s="509"/>
      <c r="K6" s="509"/>
      <c r="L6" s="509"/>
      <c r="M6" s="509"/>
      <c r="N6" s="1635"/>
      <c r="O6" s="247"/>
      <c r="P6" s="500"/>
      <c r="Q6" s="507">
        <v>14</v>
      </c>
    </row>
    <row r="7" s="1819" customFormat="1" ht="27.300000000000001" customHeight="1">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r="8" s="1819" customFormat="1" ht="14.65" customHeight="1">
      <c r="A8" s="1155"/>
      <c r="B8" s="1160"/>
      <c r="C8" s="1155"/>
      <c r="D8" s="1495"/>
      <c r="E8" s="509"/>
      <c r="F8" s="167"/>
      <c r="G8" s="167"/>
      <c r="H8" s="167"/>
      <c r="I8" s="167"/>
      <c r="J8" s="167"/>
      <c r="K8" s="167"/>
      <c r="L8" s="167"/>
      <c r="M8" s="167"/>
      <c r="N8" s="616"/>
      <c r="O8" s="500"/>
      <c r="P8" s="500"/>
      <c r="Q8" s="507">
        <v>14</v>
      </c>
    </row>
    <row r="9" s="1546" customFormat="1" ht="14.25" hidden="1" customHeight="1">
      <c r="A9" s="1468"/>
      <c r="B9" s="1478"/>
      <c r="C9" s="1468"/>
      <c r="D9" s="1495"/>
      <c r="E9" s="1914"/>
      <c r="F9" s="1914"/>
      <c r="G9" s="1914"/>
      <c r="H9" s="1914"/>
      <c r="I9" s="2493"/>
      <c r="J9" s="2493"/>
      <c r="K9" s="2493"/>
      <c r="L9" s="1914"/>
      <c r="M9" s="1915"/>
      <c r="O9" s="1545"/>
      <c r="P9" s="1545"/>
      <c r="Q9" s="1546">
        <v>0</v>
      </c>
    </row>
    <row r="10" s="1819" customFormat="1" ht="14.65" customHeight="1">
      <c r="A10" s="1155"/>
      <c r="B10" s="1160"/>
      <c r="C10" s="1155"/>
      <c r="D10" s="1495"/>
      <c r="E10" s="2127" t="s">
        <v>304</v>
      </c>
      <c r="F10" s="2127"/>
      <c r="G10" s="2127"/>
      <c r="H10" s="2127"/>
      <c r="I10" s="2127"/>
      <c r="J10" s="2127"/>
      <c r="K10" s="2127"/>
      <c r="L10" s="2127"/>
      <c r="M10" s="2101"/>
      <c r="N10" s="2478" t="s">
        <v>305</v>
      </c>
      <c r="O10" s="500"/>
      <c r="P10" s="500"/>
      <c r="Q10" s="507">
        <v>14</v>
      </c>
    </row>
    <row r="11" s="1819" customFormat="1" ht="44.25" customHeight="1">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r="12" s="1819" customFormat="1" ht="29.25" customHeight="1">
      <c r="A12" s="1155"/>
      <c r="B12" s="1160"/>
      <c r="C12" s="1155"/>
      <c r="D12" s="1495"/>
      <c r="E12" s="2478"/>
      <c r="F12" s="2492"/>
      <c r="G12" s="1909" t="s">
        <v>1890</v>
      </c>
      <c r="H12" s="1909" t="s">
        <v>312</v>
      </c>
      <c r="I12" s="2492"/>
      <c r="J12" s="2492"/>
      <c r="K12" s="2492"/>
      <c r="L12" s="2492"/>
      <c r="M12" s="2480"/>
      <c r="N12" s="2479"/>
      <c r="O12" s="500"/>
      <c r="P12" s="500"/>
      <c r="Q12" s="507">
        <v>28</v>
      </c>
    </row>
    <row r="13" s="1850" customFormat="1" ht="23.25" customHeight="1">
      <c r="A13" s="2099">
        <v>26379339</v>
      </c>
      <c r="B13" s="1160">
        <v>1</v>
      </c>
      <c r="C13" s="1160"/>
      <c r="D13" s="801"/>
      <c r="E13" s="2127">
        <v>1</v>
      </c>
      <c r="F13" s="2486" t="str">
        <f>IF(region_name="","",region_name)</f>
        <v xml:space="preserve">Приморский край</v>
      </c>
      <c r="G13" s="2487"/>
      <c r="H13" s="2494"/>
      <c r="I13" s="474"/>
      <c r="J13" s="1905">
        <v>1</v>
      </c>
      <c r="K13" s="1918"/>
      <c r="L13" s="1919"/>
      <c r="M13" s="1919"/>
      <c r="N13" s="2488" t="s">
        <v>1891</v>
      </c>
      <c r="O13" s="1535"/>
      <c r="P13" s="511"/>
      <c r="Q13" s="423">
        <v>22</v>
      </c>
    </row>
    <row r="14" s="1850" customFormat="1" ht="23.25" customHeight="1">
      <c r="A14" s="2099"/>
      <c r="B14" s="1160"/>
      <c r="C14" s="1160"/>
      <c r="D14" s="801"/>
      <c r="E14" s="2127"/>
      <c r="F14" s="2486"/>
      <c r="G14" s="2487"/>
      <c r="H14" s="2495"/>
      <c r="I14" s="421"/>
      <c r="J14" s="1500"/>
      <c r="K14" s="1500" t="s">
        <v>1885</v>
      </c>
      <c r="L14" s="1543"/>
      <c r="M14" s="1543"/>
      <c r="N14" s="2489"/>
      <c r="O14" s="1535"/>
      <c r="P14" s="511"/>
      <c r="Q14" s="423">
        <v>22</v>
      </c>
    </row>
    <row r="15" s="1850" customFormat="1" ht="23.25" customHeight="1">
      <c r="A15" s="2099"/>
      <c r="B15" s="1160"/>
      <c r="C15" s="412"/>
      <c r="D15" s="801"/>
      <c r="E15" s="421"/>
      <c r="F15" s="1500" t="s">
        <v>1877</v>
      </c>
      <c r="G15" s="1542"/>
      <c r="H15" s="1542"/>
      <c r="I15" s="187"/>
      <c r="J15" s="187"/>
      <c r="K15" s="187"/>
      <c r="L15" s="187"/>
      <c r="M15" s="187"/>
      <c r="N15" s="2489"/>
      <c r="O15" s="1536"/>
      <c r="P15" s="511"/>
      <c r="Q15" s="423">
        <v>22</v>
      </c>
    </row>
    <row r="16" s="1819" customFormat="1" ht="22" customHeight="1">
      <c r="A16" s="1155"/>
      <c r="B16" s="1160"/>
      <c r="C16" s="1155"/>
      <c r="D16" s="451"/>
      <c r="E16" s="180"/>
      <c r="F16" s="180"/>
      <c r="G16" s="180"/>
      <c r="H16" s="180"/>
      <c r="I16" s="180"/>
      <c r="J16" s="180"/>
      <c r="K16" s="180"/>
      <c r="L16" s="180"/>
      <c r="M16" s="509"/>
      <c r="N16" s="1635"/>
      <c r="O16" s="500"/>
      <c r="P16" s="500"/>
      <c r="Q16" s="507">
        <v>21</v>
      </c>
    </row>
    <row r="17" s="1819" customFormat="1" ht="14.65" customHeight="1">
      <c r="A17" s="1155"/>
      <c r="B17" s="1160"/>
      <c r="C17" s="1155"/>
      <c r="D17" s="451"/>
      <c r="E17" s="1155"/>
      <c r="F17" s="1155"/>
      <c r="G17" s="1155"/>
      <c r="H17" s="1155"/>
      <c r="I17" s="1155"/>
      <c r="J17" s="1155"/>
      <c r="K17" s="1155"/>
      <c r="L17" s="1155"/>
      <c r="M17" s="1155"/>
      <c r="N17" s="1631"/>
      <c r="O17" s="500"/>
      <c r="P17" s="500"/>
      <c r="Q17" s="507">
        <v>14</v>
      </c>
    </row>
    <row r="18" s="1819" customFormat="1" ht="1.05" customHeight="1">
      <c r="A18" s="1155"/>
      <c r="B18" s="1160"/>
      <c r="C18" s="1155"/>
      <c r="D18" s="451"/>
      <c r="E18" s="1155"/>
      <c r="F18" s="1155"/>
      <c r="G18" s="1155"/>
      <c r="H18" s="1155"/>
      <c r="I18" s="1155"/>
      <c r="J18" s="1155"/>
      <c r="K18" s="1155"/>
      <c r="L18" s="1155"/>
      <c r="M18" s="1155"/>
      <c r="N18" s="1631"/>
      <c r="O18" s="500"/>
      <c r="P18" s="500"/>
      <c r="Q18" s="507">
        <v>1</v>
      </c>
    </row>
    <row r="19" ht="22.5" hidden="1" customHeight="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autoFilter="0" deleteColumns="1" deleteRows="1" formatColumns="0" formatRows="0" insertColumns="1" insertRows="1" sheet="1" sort="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D0059-002B-4673-AE17-005E000500B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CB005B-0095-40C6-B35F-00020078009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defaultRowHeight="14.25" customHeight="1"/>
  <cols>
    <col hidden="1" min="1" max="1" style="358" width="9.140625"/>
    <col hidden="1" min="2" max="2" style="1823" width="9.140625"/>
    <col customWidth="1" min="3" max="3" style="120" width="3.00390625"/>
    <col customWidth="1" min="4" max="4" style="1823" width="6.00390625"/>
    <col customWidth="1" min="5" max="5" style="1823" width="22.00390625"/>
    <col customWidth="1" min="6" max="6" style="1823" width="15.00390625"/>
    <col customWidth="1" min="7" max="7" style="1823" width="14.00390625"/>
    <col customWidth="1" min="8" max="8" style="1823" width="47.00390625"/>
    <col customWidth="1" min="9" max="9" style="1823" width="115.00390625"/>
    <col customWidth="1" min="10" max="10" style="1823" width="3.00390625"/>
    <col customWidth="1" min="11" max="12" style="1823" width="8.00390625"/>
    <col hidden="1" min="13" max="13" style="1823" width="9.140625"/>
  </cols>
  <sheetData>
    <row r="1" ht="14.25" hidden="1" customHeight="1">
      <c r="M1" s="121" t="s">
        <v>14</v>
      </c>
    </row>
    <row r="2" ht="14.25" hidden="1" customHeight="1">
      <c r="M2" s="121">
        <v>0</v>
      </c>
    </row>
    <row r="3" ht="14.25" hidden="1" customHeight="1">
      <c r="M3" s="121">
        <v>0</v>
      </c>
    </row>
    <row r="4" ht="3" customHeight="1">
      <c r="M4" s="121">
        <v>3</v>
      </c>
    </row>
    <row r="5" s="1635" customFormat="1" ht="31.5" customHeight="1">
      <c r="A5" s="115"/>
      <c r="C5" s="90"/>
      <c r="D5" s="2100" t="s">
        <v>1892</v>
      </c>
      <c r="E5" s="2100"/>
      <c r="F5" s="2100"/>
      <c r="G5" s="2100"/>
      <c r="H5" s="2100"/>
      <c r="I5" s="265"/>
      <c r="M5" s="83">
        <v>30</v>
      </c>
    </row>
    <row r="6" ht="3" hidden="1" customHeight="1">
      <c r="D6" s="122"/>
      <c r="E6" s="122"/>
      <c r="F6" s="122"/>
      <c r="G6" s="122"/>
      <c r="H6" s="122"/>
      <c r="I6" s="122"/>
      <c r="M6" s="121">
        <v>0</v>
      </c>
    </row>
    <row r="7" s="358" customFormat="1" ht="14.65" customHeight="1">
      <c r="B7" s="119"/>
      <c r="C7" s="120"/>
      <c r="D7" s="123"/>
      <c r="E7" s="123"/>
      <c r="F7" s="123"/>
      <c r="G7" s="123"/>
      <c r="H7" s="752"/>
      <c r="I7" s="123"/>
      <c r="J7" s="124"/>
      <c r="M7" s="118">
        <v>14</v>
      </c>
    </row>
    <row r="8" ht="14.65" customHeight="1">
      <c r="D8" s="2209" t="s">
        <v>304</v>
      </c>
      <c r="E8" s="2209"/>
      <c r="F8" s="2209"/>
      <c r="G8" s="2209"/>
      <c r="H8" s="2209"/>
      <c r="I8" s="2209" t="s">
        <v>305</v>
      </c>
      <c r="M8" s="121">
        <v>14</v>
      </c>
    </row>
    <row r="9" ht="29.25" customHeight="1">
      <c r="D9" s="2209" t="s">
        <v>88</v>
      </c>
      <c r="E9" s="2209" t="s">
        <v>1893</v>
      </c>
      <c r="F9" s="2209"/>
      <c r="G9" s="2209"/>
      <c r="H9" s="2209"/>
      <c r="I9" s="2209"/>
      <c r="M9" s="121">
        <v>28</v>
      </c>
    </row>
    <row r="10" ht="24" customHeight="1">
      <c r="D10" s="2209"/>
      <c r="E10" s="127" t="s">
        <v>1894</v>
      </c>
      <c r="F10" s="127" t="s">
        <v>1895</v>
      </c>
      <c r="G10" s="127" t="s">
        <v>1896</v>
      </c>
      <c r="H10" s="127" t="s">
        <v>394</v>
      </c>
      <c r="I10" s="2209"/>
      <c r="M10" s="121">
        <v>23</v>
      </c>
    </row>
    <row r="11" ht="12" hidden="1" customHeight="1">
      <c r="D11" s="87" t="s">
        <v>108</v>
      </c>
      <c r="E11" s="87" t="s">
        <v>91</v>
      </c>
      <c r="F11" s="87" t="s">
        <v>110</v>
      </c>
      <c r="G11" s="87" t="s">
        <v>92</v>
      </c>
      <c r="H11" s="87" t="s">
        <v>93</v>
      </c>
      <c r="I11" s="87" t="s">
        <v>111</v>
      </c>
      <c r="M11" s="121">
        <v>0</v>
      </c>
    </row>
    <row r="12" s="1823" customFormat="1" ht="26.25" customHeight="1">
      <c r="A12" s="145" t="s">
        <v>90</v>
      </c>
      <c r="B12" s="125" t="s">
        <v>28</v>
      </c>
      <c r="C12" s="126"/>
      <c r="D12" s="128" t="s">
        <v>108</v>
      </c>
      <c r="E12" s="381"/>
      <c r="F12" s="381"/>
      <c r="G12" s="1734" t="s">
        <v>28</v>
      </c>
      <c r="H12" s="382"/>
      <c r="I12" s="2169" t="s">
        <v>1897</v>
      </c>
      <c r="K12" s="272"/>
      <c r="L12" s="273"/>
      <c r="M12" s="117">
        <v>25</v>
      </c>
    </row>
    <row r="13" ht="15.75" customHeight="1">
      <c r="A13" s="121"/>
      <c r="B13" s="121"/>
      <c r="C13" s="121"/>
      <c r="D13" s="109"/>
      <c r="E13" s="130" t="s">
        <v>468</v>
      </c>
      <c r="F13" s="129"/>
      <c r="G13" s="129"/>
      <c r="H13" s="214"/>
      <c r="I13" s="2171"/>
      <c r="M13" s="121">
        <v>15</v>
      </c>
    </row>
    <row r="14" ht="3" customHeight="1">
      <c r="A14" s="121"/>
      <c r="B14" s="121"/>
      <c r="C14" s="121"/>
      <c r="M14" s="121">
        <v>3</v>
      </c>
    </row>
    <row r="15" ht="29.25" customHeight="1">
      <c r="E15" s="2496" t="s">
        <v>1898</v>
      </c>
      <c r="F15" s="2496"/>
      <c r="G15" s="2496"/>
      <c r="H15" s="2496"/>
      <c r="M15" s="121">
        <v>28</v>
      </c>
    </row>
    <row r="16" ht="14.25" hidden="1" customHeight="1">
      <c r="A16" s="118" t="s">
        <v>82</v>
      </c>
      <c r="B16" s="119">
        <v>0</v>
      </c>
      <c r="C16" s="120">
        <v>3</v>
      </c>
      <c r="D16" s="121">
        <v>6</v>
      </c>
      <c r="E16" s="121">
        <v>22</v>
      </c>
      <c r="F16" s="121">
        <v>15</v>
      </c>
      <c r="G16" s="121">
        <v>14</v>
      </c>
      <c r="H16" s="121">
        <v>47</v>
      </c>
      <c r="I16" s="121">
        <v>115</v>
      </c>
      <c r="J16" s="121">
        <v>3</v>
      </c>
      <c r="K16" s="121">
        <v>8</v>
      </c>
      <c r="L16" s="121">
        <v>8</v>
      </c>
      <c r="M16" s="121">
        <v>14</v>
      </c>
    </row>
  </sheetData>
  <sheetProtection autoFilter="0" deleteColumns="1" deleteRows="1" formatColumns="0" formatRows="0" insertColumns="1" insertRows="1" sheet="1" sort="1"/>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D0005-00D5-426C-931C-00F10016001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3E00B0-00B4-4E80-9829-003D00AB00D8}"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defaultRowHeight="14.25" customHeight="1"/>
  <cols>
    <col hidden="1" min="1" max="2" style="264" width="9.140625"/>
    <col customWidth="1" min="3" max="3" style="91" width="3.00390625"/>
    <col customWidth="1" min="4" max="4" style="264" width="6.00390625"/>
    <col customWidth="1" min="5" max="5" style="264" width="94.00390625"/>
    <col customWidth="1" min="6" max="9" style="264" width="8.00390625"/>
    <col hidden="1" min="10" max="10" style="264" width="9.140625"/>
  </cols>
  <sheetData>
    <row r="1" ht="14.25" hidden="1" customHeight="1">
      <c r="J1" s="69" t="s">
        <v>14</v>
      </c>
    </row>
    <row r="2" ht="14.25" hidden="1" customHeight="1">
      <c r="J2" s="69">
        <v>0</v>
      </c>
    </row>
    <row r="3" ht="14.25" hidden="1" customHeight="1">
      <c r="J3" s="69">
        <v>0</v>
      </c>
    </row>
    <row r="4" ht="14.25" hidden="1" customHeight="1">
      <c r="J4" s="69">
        <v>0</v>
      </c>
    </row>
    <row r="5" ht="14.25" hidden="1" customHeight="1">
      <c r="J5" s="69">
        <v>0</v>
      </c>
    </row>
    <row r="6" ht="3" customHeight="1">
      <c r="C6" s="92"/>
      <c r="D6" s="70"/>
      <c r="E6" s="70"/>
      <c r="J6" s="69">
        <v>3</v>
      </c>
    </row>
    <row r="7" ht="23.25" customHeight="1">
      <c r="C7" s="92"/>
      <c r="D7" s="2497" t="s">
        <v>1899</v>
      </c>
      <c r="E7" s="2498"/>
      <c r="F7" s="267"/>
      <c r="J7" s="69">
        <v>22</v>
      </c>
    </row>
    <row r="8" ht="3" customHeight="1">
      <c r="C8" s="92"/>
      <c r="D8" s="70"/>
      <c r="E8" s="70"/>
      <c r="J8" s="69">
        <v>3</v>
      </c>
    </row>
    <row r="9" ht="16.800000000000001" customHeight="1">
      <c r="C9" s="92"/>
      <c r="D9" s="105" t="s">
        <v>88</v>
      </c>
      <c r="E9" s="260" t="s">
        <v>1900</v>
      </c>
      <c r="J9" s="69">
        <v>16</v>
      </c>
    </row>
    <row r="10" ht="1.05" customHeight="1">
      <c r="C10" s="92"/>
      <c r="D10" s="87"/>
      <c r="E10" s="87"/>
      <c r="J10" s="69">
        <v>1</v>
      </c>
    </row>
    <row r="11" ht="11.25" hidden="1" customHeight="1">
      <c r="C11" s="92"/>
      <c r="D11" s="150">
        <v>0</v>
      </c>
      <c r="E11" s="261"/>
      <c r="J11" s="69">
        <v>0</v>
      </c>
    </row>
    <row r="12" ht="15.75" customHeight="1">
      <c r="C12" s="136"/>
      <c r="D12" s="113">
        <v>1</v>
      </c>
      <c r="E12" s="377"/>
      <c r="J12" s="69">
        <v>15</v>
      </c>
    </row>
    <row r="13" ht="12.75" customHeight="1">
      <c r="C13" s="92"/>
      <c r="D13" s="262"/>
      <c r="E13" s="263" t="s">
        <v>1901</v>
      </c>
      <c r="J13" s="69">
        <v>12</v>
      </c>
    </row>
    <row r="14" ht="3" customHeight="1">
      <c r="J14" s="69">
        <v>3</v>
      </c>
    </row>
    <row r="15" ht="23.25" customHeight="1">
      <c r="C15" s="137"/>
      <c r="D15" s="2499" t="s">
        <v>1902</v>
      </c>
      <c r="E15" s="2499"/>
      <c r="F15" s="138"/>
      <c r="G15" s="138"/>
      <c r="H15" s="138"/>
      <c r="I15" s="138"/>
      <c r="J15" s="69">
        <v>22</v>
      </c>
    </row>
    <row r="16" ht="14.25" hidden="1" customHeight="1">
      <c r="A16" s="69" t="s">
        <v>82</v>
      </c>
      <c r="B16" s="69">
        <v>0</v>
      </c>
      <c r="C16" s="91">
        <v>3</v>
      </c>
      <c r="D16" s="69">
        <v>6</v>
      </c>
      <c r="E16" s="69">
        <v>94</v>
      </c>
      <c r="F16" s="69">
        <v>8</v>
      </c>
      <c r="G16" s="69">
        <v>8</v>
      </c>
      <c r="H16" s="69">
        <v>8</v>
      </c>
      <c r="I16" s="69">
        <v>8</v>
      </c>
      <c r="J16" s="69">
        <v>14</v>
      </c>
    </row>
  </sheetData>
  <sheetProtection autoFilter="0" deleteColumns="1" deleteRows="1" formatColumns="0" formatRows="0" insertColumns="1" insertRows="1" sheet="1" sort="1"/>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D4001A-00EB-4C39-B5A5-0092000E00BA}"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C6" zoomScale="90" workbookViewId="0">
      <selection activeCell="A1" sqref="A1"/>
    </sheetView>
  </sheetViews>
  <sheetFormatPr defaultColWidth="9.140625" defaultRowHeight="14.25" customHeight="1"/>
  <cols>
    <col hidden="1" min="1" max="2" style="264" width="9.140625"/>
    <col customWidth="1" min="3" max="3" style="91" width="3.00390625"/>
    <col customWidth="1" min="4" max="4" style="264" width="6.00390625"/>
    <col customWidth="1" min="5" max="5" style="264" width="94.00390625"/>
    <col customWidth="1" min="6" max="12" style="264" width="8.00390625"/>
    <col hidden="1" min="13" max="13" style="264" width="9.140625"/>
  </cols>
  <sheetData>
    <row r="1" ht="14.25" hidden="1" customHeight="1">
      <c r="L1" s="264"/>
      <c r="M1" s="69" t="s">
        <v>14</v>
      </c>
    </row>
    <row r="2" ht="14.25" hidden="1" customHeight="1">
      <c r="M2" s="69">
        <v>0</v>
      </c>
    </row>
    <row r="3" ht="14.25" hidden="1" customHeight="1">
      <c r="M3" s="69">
        <v>0</v>
      </c>
    </row>
    <row r="4" ht="14.25" hidden="1" customHeight="1">
      <c r="M4" s="69">
        <v>0</v>
      </c>
    </row>
    <row r="5" ht="14.25" hidden="1" customHeight="1">
      <c r="M5" s="69">
        <v>0</v>
      </c>
    </row>
    <row r="6" ht="3" customHeight="1">
      <c r="C6" s="92"/>
      <c r="D6" s="70"/>
      <c r="E6" s="70"/>
      <c r="M6" s="69">
        <v>3</v>
      </c>
    </row>
    <row r="7" ht="23.25" customHeight="1">
      <c r="C7" s="92"/>
      <c r="D7" s="2100" t="s">
        <v>1903</v>
      </c>
      <c r="E7" s="2100"/>
      <c r="F7" s="267"/>
      <c r="M7" s="69">
        <v>22</v>
      </c>
    </row>
    <row r="8" ht="3" customHeight="1">
      <c r="C8" s="92"/>
      <c r="D8" s="70"/>
      <c r="E8" s="70"/>
      <c r="M8" s="69">
        <v>3</v>
      </c>
    </row>
    <row r="9" ht="16.800000000000001" customHeight="1">
      <c r="C9" s="92"/>
      <c r="D9" s="105" t="s">
        <v>88</v>
      </c>
      <c r="E9" s="108" t="s">
        <v>291</v>
      </c>
      <c r="M9" s="69">
        <v>16</v>
      </c>
    </row>
    <row r="10" ht="12.75" customHeight="1">
      <c r="C10" s="92"/>
      <c r="D10" s="87" t="s">
        <v>108</v>
      </c>
      <c r="E10" s="87" t="s">
        <v>109</v>
      </c>
      <c r="M10" s="69">
        <v>12</v>
      </c>
    </row>
    <row r="11" ht="15" hidden="1" customHeight="1">
      <c r="C11" s="92"/>
      <c r="D11" s="113">
        <v>0</v>
      </c>
      <c r="E11" s="149"/>
      <c r="M11" s="69">
        <v>0</v>
      </c>
    </row>
    <row r="12" ht="14.65" customHeight="1">
      <c r="C12" s="92"/>
      <c r="D12" s="109"/>
      <c r="E12" s="107" t="s">
        <v>1901</v>
      </c>
      <c r="M12" s="69">
        <v>14</v>
      </c>
    </row>
    <row r="13" ht="14.25" hidden="1" customHeight="1">
      <c r="A13" s="69" t="s">
        <v>82</v>
      </c>
      <c r="B13" s="69">
        <v>0</v>
      </c>
      <c r="C13" s="91">
        <v>3</v>
      </c>
      <c r="D13" s="69">
        <v>6</v>
      </c>
      <c r="E13" s="69">
        <v>94</v>
      </c>
      <c r="F13" s="69">
        <v>8</v>
      </c>
      <c r="G13" s="69">
        <v>8</v>
      </c>
      <c r="H13" s="69">
        <v>8</v>
      </c>
      <c r="I13" s="69">
        <v>8</v>
      </c>
      <c r="J13" s="69">
        <v>8</v>
      </c>
      <c r="K13" s="69">
        <v>8</v>
      </c>
      <c r="L13" s="69">
        <v>8</v>
      </c>
      <c r="M13" s="69">
        <v>14</v>
      </c>
    </row>
  </sheetData>
  <sheetProtection autoFilter="0" deleteColumns="1" deleteRows="1" formatColumns="0" formatRows="0" insertColumns="1" insertRows="1" sheet="1" sort="1"/>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CD00F4-0039-4AB1-AA9C-00DE001C0063}"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defaultRowHeight="11.25" customHeight="1"/>
  <cols>
    <col hidden="1" min="1" max="2" style="1850" width="9.140625"/>
    <col customWidth="1" min="3" max="4" style="1850" width="3.00390625"/>
    <col customWidth="1" min="5" max="6" style="1850" width="15.00390625"/>
    <col customWidth="1" min="7" max="7" style="1850" width="11.57421875"/>
    <col customWidth="1" min="8" max="9" style="1850" width="3.00390625"/>
    <col customWidth="1" min="10" max="10" style="1850" width="12.00390625"/>
    <col customWidth="1" min="11" max="11" style="1850" width="0.28125"/>
    <col customWidth="1" min="12" max="13" style="1850" width="10.00390625"/>
    <col customWidth="1" min="14" max="15" style="1850" width="3.00390625"/>
    <col customWidth="1" min="16" max="16" style="1850" width="19.00390625"/>
    <col customWidth="1" min="17" max="17" style="1850" width="0.28125"/>
    <col customWidth="1" min="18" max="19" style="1850" width="10.00390625"/>
    <col customWidth="1" min="20" max="21" style="1850" width="3.00390625"/>
    <col customWidth="1" min="22" max="22" style="1850" width="25.00390625"/>
    <col customWidth="1" min="23" max="23" style="1850" width="0.28125"/>
    <col customWidth="1" min="24" max="25" style="1850" width="10.00390625"/>
    <col customWidth="1" min="26" max="27" style="1850" width="3.00390625"/>
    <col customWidth="1" min="28" max="28" style="1850" width="16.00390625"/>
    <col customWidth="1" min="29" max="29" style="1850" width="0.28125"/>
    <col customWidth="1" min="30" max="31" style="1850" width="10.00390625"/>
    <col customWidth="1" min="32" max="33" style="1850" width="3.00390625"/>
    <col customWidth="1" min="34" max="34" style="1850" width="8.00390625"/>
    <col customWidth="1" min="35" max="35" style="1850" width="21.00390625"/>
    <col customWidth="1" min="36" max="36" style="1850" width="8.00390625"/>
    <col customWidth="1" min="37" max="37" style="358" width="8.00390625"/>
    <col customWidth="1" min="38" max="64" style="1850" width="8.00390625"/>
    <col hidden="1" min="65" max="65" style="1850" width="9.140625"/>
  </cols>
  <sheetData>
    <row r="1" s="1316" customFormat="1" ht="11.25" hidden="1" customHeight="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r="2" s="1553" customFormat="1" ht="11.25" hidden="1" customHeight="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r="3" s="1554" customFormat="1" ht="11.5" customHeight="1">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r="4" s="1819" customFormat="1" ht="34.5" customHeight="1">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r="5" s="1819" customFormat="1" ht="14.65" customHeight="1">
      <c r="A5" s="1632"/>
      <c r="B5" s="1631"/>
      <c r="C5" s="1515"/>
      <c r="D5" s="2176" t="str">
        <f>IF(org=0,"Не определено",org)</f>
        <v xml:space="preserve">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r="6" s="1819" customFormat="1" ht="14.65" customHeight="1">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r="7" s="1316" customFormat="1" ht="1.05" customHeight="1">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r="8" ht="33.75" customHeight="1">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r="9" ht="23.25" customHeight="1">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r="10" ht="24" customHeight="1">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r="11" ht="15" customHeight="1">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r="12" ht="14.65" customHeight="1">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r="13" ht="14.65" customHeight="1">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r="14" ht="14.65" customHeight="1">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r="15" ht="11.5" customHeight="1">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r="16" s="1554" customFormat="1" ht="11.5" customHeight="1">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r="17" ht="15" customHeight="1">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r="18" ht="14.65" customHeight="1">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r="19" ht="14.65" customHeight="1">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r="20" ht="14.65" customHeight="1">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r="21" ht="11.5" customHeight="1">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r="22" s="1554" customFormat="1" ht="11.5" customHeight="1">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r="23" ht="15" customHeight="1">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r="24" ht="14.65" customHeight="1">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r="25" ht="14.65" customHeight="1">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r="26" ht="14.65" customHeight="1">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r="27" ht="11.5" customHeight="1">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r="28" s="1554" customFormat="1" ht="11.5" customHeight="1">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r="29" ht="15" customHeight="1">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r="30" ht="14.65" customHeight="1">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r="31" ht="14.65" customHeight="1">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r="32" ht="14.65" customHeight="1">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r="33" ht="11.5" customHeight="1">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r="34" s="1554" customFormat="1" ht="11.5" customHeight="1">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r="35" ht="15" customHeight="1">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r="36" ht="14.65" customHeight="1">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r="37" ht="14.65" customHeight="1">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r="38" ht="14.65" customHeight="1">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r="39" ht="11.5" customHeight="1">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r="40" s="1554" customFormat="1" ht="11.5" customHeight="1">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r="41" ht="11.5" customHeight="1">
      <c r="AK41" s="423"/>
      <c r="BM41" s="293">
        <v>11</v>
      </c>
    </row>
    <row r="42" ht="11.5" customHeight="1">
      <c r="AK42" s="423"/>
      <c r="BM42" s="293">
        <v>11</v>
      </c>
    </row>
    <row r="43" ht="11.5" customHeight="1">
      <c r="AK43" s="423"/>
      <c r="BM43" s="293">
        <v>11</v>
      </c>
    </row>
    <row r="44" ht="11.5" customHeight="1">
      <c r="AK44" s="423"/>
      <c r="BM44" s="293">
        <v>11</v>
      </c>
    </row>
    <row r="45" ht="11.5" customHeight="1">
      <c r="AK45" s="423"/>
      <c r="BM45" s="293">
        <v>11</v>
      </c>
    </row>
    <row r="46" ht="11.5" customHeight="1">
      <c r="AK46" s="423"/>
      <c r="BM46" s="293">
        <v>11</v>
      </c>
    </row>
    <row r="47" ht="11.5" customHeight="1">
      <c r="AK47" s="423"/>
      <c r="BM47" s="293">
        <v>11</v>
      </c>
    </row>
    <row r="48" ht="11.5" customHeight="1">
      <c r="AK48" s="423"/>
      <c r="BM48" s="293">
        <v>11</v>
      </c>
    </row>
    <row r="49" ht="11.5" customHeight="1">
      <c r="AK49" s="423"/>
      <c r="BM49" s="293">
        <v>11</v>
      </c>
    </row>
    <row r="50" ht="11.25" hidden="1" customHeight="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autoFilter="0" deleteColumns="1" deleteRows="1" formatColumns="0" formatRows="0" insertColumns="1" insertRows="1" sheet="1" sort="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70016-0078-4C32-B0B9-004E00CD0001}"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5C00CB-00C4-4A3F-A334-000100ED00BE}"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0" width="1.7109375"/>
    <col customWidth="1" min="2" max="2" style="1850" width="34.57421875"/>
    <col customWidth="1" min="3" max="3" style="1850" width="85.00390625"/>
    <col customWidth="1" min="4" max="4" style="1850" width="17.00390625"/>
    <col customWidth="1" min="5" max="5" style="1850" width="8.00390625"/>
    <col hidden="1" min="6" max="6" style="1850" width="9.140625"/>
  </cols>
  <sheetData>
    <row r="1" ht="3" customHeight="1">
      <c r="F1" s="89" t="s">
        <v>14</v>
      </c>
    </row>
    <row r="2" ht="22.5" customHeight="1">
      <c r="B2" s="2613" t="s">
        <v>1904</v>
      </c>
      <c r="C2" s="2500"/>
      <c r="D2" s="2500"/>
      <c r="E2" s="268"/>
      <c r="F2" s="89">
        <v>22</v>
      </c>
    </row>
    <row r="3" ht="3" customHeight="1">
      <c r="F3" s="89">
        <v>3</v>
      </c>
    </row>
    <row r="4" ht="23.25" customHeight="1">
      <c r="B4" s="2614" t="s">
        <v>1905</v>
      </c>
      <c r="C4" s="383" t="s">
        <v>1906</v>
      </c>
      <c r="D4" s="383" t="s">
        <v>1907</v>
      </c>
      <c r="F4" s="89">
        <v>22</v>
      </c>
    </row>
    <row r="5" ht="11.25" hidden="1" customHeight="1">
      <c r="A5" s="89" t="s">
        <v>82</v>
      </c>
      <c r="B5" s="89">
        <v>34</v>
      </c>
      <c r="C5" s="89">
        <v>85</v>
      </c>
      <c r="D5" s="89">
        <v>17</v>
      </c>
      <c r="E5" s="89">
        <v>8</v>
      </c>
      <c r="F5" s="89">
        <v>11</v>
      </c>
    </row>
  </sheetData>
  <sheetProtection autoFilter="0" deleteColumns="1" deleteRows="1" formatColumns="0" formatRows="0" insertColumns="1" insertRows="1" sheet="1" sort="1"/>
  <autoFilter ref="B4:D4"/>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0" width="26.57421875"/>
    <col customWidth="1" min="2" max="2" style="1850" width="10.00390625"/>
    <col min="3" max="3" style="1850" width="9.140625"/>
    <col customWidth="1" min="4" max="4" style="1850" width="11.140625"/>
    <col customWidth="1" min="5" max="5" style="1850" width="16.57421875"/>
    <col customWidth="1" min="6" max="6" style="1850" width="16.28125"/>
    <col customWidth="1" min="7" max="7" style="1850" width="19.140625"/>
    <col customWidth="1" min="8" max="11" style="1850" width="10.00390625"/>
    <col customWidth="1" min="12" max="12" style="1850" width="12.7109375"/>
    <col customWidth="1" min="13" max="13" style="1850" width="61.28125"/>
    <col customWidth="1" min="14" max="14" style="1850" width="10.00390625"/>
    <col customWidth="1" min="15" max="17" style="1850" width="23.7109375"/>
    <col customWidth="1" min="18" max="18" style="1850" width="11.7109375"/>
    <col customWidth="1" min="19" max="19" style="1850" width="8.57421875"/>
    <col customWidth="1" min="20" max="20" style="1850" width="11.7109375"/>
    <col customWidth="1" min="21" max="21" style="1850" width="8.57421875"/>
    <col customWidth="1" min="22" max="22" style="1850" width="4.7109375"/>
    <col customWidth="1" min="23" max="23" style="1850" width="115.7109375"/>
    <col customWidth="1" min="24" max="24" style="1850" width="115.28125"/>
    <col min="25" max="27" style="1850" width="9.140625"/>
    <col customWidth="1" min="28" max="28" style="1850" width="115.7109375"/>
    <col min="29" max="29" style="1850" width="9.140625"/>
    <col customWidth="1" min="30" max="90" style="1850" width="115.7109375"/>
    <col min="91" max="184" style="1850" width="9.140625"/>
  </cols>
  <sheetData>
    <row r="2" s="1815" customFormat="1" ht="17.25" customHeight="1">
      <c r="A2" s="1815" t="s">
        <v>1908</v>
      </c>
    </row>
    <row r="4" s="264" customFormat="1" ht="15" customHeight="1">
      <c r="C4" s="1816"/>
      <c r="D4" s="113"/>
      <c r="E4" s="377"/>
    </row>
    <row r="6" s="1815" customFormat="1" ht="17.25" customHeight="1">
      <c r="A6" s="1815" t="s">
        <v>1909</v>
      </c>
    </row>
    <row r="8" s="264" customFormat="1" ht="17.25" customHeight="1">
      <c r="C8" s="1817"/>
      <c r="D8" s="113"/>
      <c r="E8" s="114"/>
    </row>
    <row r="11" s="1815" customFormat="1" ht="17.25" customHeight="1">
      <c r="A11" s="1815" t="s">
        <v>1910</v>
      </c>
    </row>
    <row r="13" s="1819" customFormat="1" ht="15" customHeight="1">
      <c r="A13" s="2217">
        <v>1</v>
      </c>
      <c r="B13" s="1160"/>
      <c r="C13" s="801" t="s">
        <v>692</v>
      </c>
      <c r="D13" s="1818"/>
      <c r="E13" s="1805">
        <f>A13</f>
        <v>1</v>
      </c>
      <c r="F13" s="804"/>
      <c r="G13" s="540" t="str">
        <f>"Территория "&amp;E13</f>
        <v xml:space="preserve">Территория 1</v>
      </c>
      <c r="H13" s="792"/>
      <c r="I13" s="792"/>
      <c r="J13" s="789"/>
      <c r="K13" s="1624"/>
      <c r="L13" s="1624"/>
      <c r="M13" s="1624"/>
      <c r="N13" s="226"/>
      <c r="O13" s="1624"/>
      <c r="P13" s="225"/>
      <c r="Q13" s="225"/>
      <c r="R13" s="225"/>
      <c r="S13" s="225"/>
    </row>
    <row r="14" s="1850" customFormat="1" ht="15" customHeight="1">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r="15" s="1850" customFormat="1" ht="15" customHeight="1">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ht="17.25" customHeight="1">
      <c r="A17" s="1815" t="s">
        <v>1911</v>
      </c>
    </row>
    <row r="19" s="1850" customFormat="1" ht="15" customHeight="1">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ht="15" customHeight="1">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r="22" s="1850" customFormat="1" ht="15" customHeight="1">
      <c r="U22" s="185"/>
    </row>
    <row r="23" s="1853" customFormat="1" ht="15" customHeight="1">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r="24" s="1853" customFormat="1" ht="15" customHeight="1">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r="25" s="1853" customFormat="1" ht="15" customHeight="1">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r="26" s="1850" customFormat="1" ht="15" customHeight="1">
      <c r="U26" s="185"/>
    </row>
    <row r="27" s="1850" customFormat="1" ht="15" customHeight="1">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r="28" s="1850" customFormat="1" ht="15" customHeight="1">
      <c r="U28" s="185"/>
    </row>
    <row r="29" s="1853" customFormat="1" ht="15" customHeight="1">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r="30" s="1853" customFormat="1" ht="15" customHeight="1">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r="31" s="1850" customFormat="1" ht="15" customHeight="1">
      <c r="U31" s="185"/>
    </row>
    <row r="32" s="1850" customFormat="1" ht="15" customHeight="1">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r="33" s="1850" customFormat="1" ht="15" customHeight="1">
      <c r="U33" s="185"/>
    </row>
    <row r="34" s="1853" customFormat="1" ht="15" customHeight="1">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r="35" s="1850" customFormat="1" ht="15" customHeight="1">
      <c r="U35" s="185"/>
    </row>
    <row r="36" s="1850" customFormat="1" ht="15" customHeight="1">
      <c r="U36" s="185"/>
    </row>
    <row r="37" s="1815" customFormat="1" ht="11.25" customHeight="1">
      <c r="A37" s="1815" t="s">
        <v>1915</v>
      </c>
    </row>
    <row r="38" ht="11.25" customHeight="1"/>
    <row r="39" s="455" customFormat="1" ht="22.5" customHeight="1">
      <c r="A39" s="1791"/>
      <c r="B39" s="457"/>
      <c r="C39" s="859"/>
      <c r="D39" s="440"/>
      <c r="E39" s="860"/>
      <c r="F39" s="1812"/>
      <c r="G39" s="1822"/>
      <c r="H39" s="475"/>
    </row>
    <row r="40" ht="11.25" customHeight="1"/>
    <row r="41" s="1815" customFormat="1" ht="11.25" customHeight="1">
      <c r="A41" s="1815" t="s">
        <v>1916</v>
      </c>
    </row>
    <row r="42" ht="11.25" customHeight="1"/>
    <row r="43" s="455" customFormat="1" ht="22.5" customHeight="1">
      <c r="A43" s="457"/>
      <c r="B43" s="457"/>
      <c r="C43" s="457"/>
      <c r="D43" s="440"/>
      <c r="E43" s="860"/>
      <c r="F43" s="861"/>
      <c r="G43" s="1822"/>
      <c r="H43" s="475"/>
    </row>
    <row r="44" ht="11.25" customHeight="1"/>
    <row r="45" s="1815" customFormat="1" ht="11.25" customHeight="1">
      <c r="A45" s="1815" t="s">
        <v>1917</v>
      </c>
    </row>
    <row r="46" ht="11.25" customHeight="1"/>
    <row r="47" s="455" customFormat="1" ht="24" customHeight="1">
      <c r="A47" s="2202" t="s">
        <v>317</v>
      </c>
      <c r="B47" s="502"/>
      <c r="C47" s="2213"/>
      <c r="D47" s="445" t="str">
        <f>A47</f>
        <v>5.1</v>
      </c>
      <c r="E47" s="442" t="s">
        <v>318</v>
      </c>
      <c r="F47" s="1976" t="s">
        <v>310</v>
      </c>
      <c r="G47" s="444" t="s">
        <v>319</v>
      </c>
      <c r="H47" s="475"/>
      <c r="I47" s="852"/>
    </row>
    <row r="48" s="455" customFormat="1" ht="22.5" customHeight="1">
      <c r="A48" s="2202"/>
      <c r="B48" s="502"/>
      <c r="C48" s="2213"/>
      <c r="D48" s="440" t="str">
        <f>D47&amp;".1"</f>
        <v>5.1.1</v>
      </c>
      <c r="E48" s="439" t="s">
        <v>320</v>
      </c>
      <c r="F48" s="1977" t="s">
        <v>28</v>
      </c>
      <c r="G48" s="474"/>
      <c r="H48" s="475"/>
      <c r="I48" s="852"/>
    </row>
    <row r="49" s="455" customFormat="1" ht="22.5" customHeight="1">
      <c r="A49" s="2202"/>
      <c r="B49" s="502"/>
      <c r="C49" s="2213"/>
      <c r="D49" s="440" t="str">
        <f>D47&amp;".2"</f>
        <v>5.1.2</v>
      </c>
      <c r="E49" s="439" t="s">
        <v>321</v>
      </c>
      <c r="F49" s="1732" t="s">
        <v>28</v>
      </c>
      <c r="G49" s="444" t="s">
        <v>322</v>
      </c>
      <c r="H49" s="475"/>
      <c r="I49" s="852"/>
    </row>
    <row r="50" s="455" customFormat="1" ht="22.5" customHeight="1">
      <c r="A50" s="2202"/>
      <c r="B50" s="502"/>
      <c r="C50" s="2213"/>
      <c r="D50" s="440" t="str">
        <f>D47&amp;".3"</f>
        <v>5.1.3</v>
      </c>
      <c r="E50" s="439" t="s">
        <v>323</v>
      </c>
      <c r="F50" s="1977" t="s">
        <v>28</v>
      </c>
      <c r="G50" s="474"/>
      <c r="H50" s="475"/>
      <c r="I50" s="852"/>
    </row>
    <row r="51" s="455" customFormat="1" ht="22.5" customHeight="1">
      <c r="A51" s="2202"/>
      <c r="B51" s="502"/>
      <c r="C51" s="2213"/>
      <c r="D51" s="440" t="str">
        <f>D47&amp;".4"</f>
        <v>5.1.4</v>
      </c>
      <c r="E51" s="439" t="s">
        <v>324</v>
      </c>
      <c r="F51" s="1977" t="s">
        <v>28</v>
      </c>
      <c r="G51" s="444" t="s">
        <v>325</v>
      </c>
      <c r="H51" s="475"/>
      <c r="I51" s="852"/>
    </row>
    <row r="54" s="1815" customFormat="1" ht="17.25" customHeight="1">
      <c r="A54" s="1815" t="s">
        <v>1918</v>
      </c>
    </row>
    <row r="56" s="1612" customFormat="1" ht="18.75" customHeight="1">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ht="11.25" customHeight="1">
      <c r="A58" s="1815" t="s">
        <v>1919</v>
      </c>
    </row>
    <row r="60" s="1635" customFormat="1" ht="14.25" customHeight="1">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ht="11.25" customHeight="1">
      <c r="A62" s="1815" t="s">
        <v>1920</v>
      </c>
    </row>
    <row r="64" s="1823" customFormat="1" ht="15" customHeight="1">
      <c r="A64" s="145" t="s">
        <v>90</v>
      </c>
      <c r="B64" s="125" t="s">
        <v>28</v>
      </c>
      <c r="C64" s="1826"/>
      <c r="D64" s="128"/>
      <c r="E64" s="381"/>
      <c r="F64" s="381"/>
      <c r="G64" s="1803"/>
      <c r="H64" s="1825"/>
      <c r="I64" s="1804"/>
      <c r="K64" s="272"/>
      <c r="L64" s="273"/>
    </row>
    <row r="66" s="1815" customFormat="1" ht="11.25" customHeight="1">
      <c r="A66" s="1815" t="s">
        <v>1921</v>
      </c>
    </row>
    <row r="68" s="1635" customFormat="1" ht="14.25" customHeight="1">
      <c r="A68" s="343"/>
      <c r="B68" s="1160"/>
      <c r="C68" s="376"/>
      <c r="D68" s="1810"/>
      <c r="E68" s="886"/>
      <c r="F68" s="1825"/>
      <c r="G68" s="89"/>
      <c r="I68" s="1624"/>
      <c r="J68" s="1624"/>
    </row>
    <row r="70" s="1815" customFormat="1" ht="11.25" customHeight="1">
      <c r="A70" s="1815" t="s">
        <v>1922</v>
      </c>
    </row>
    <row r="72" s="1635" customFormat="1" ht="27" customHeight="1">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r="73" s="1635" customFormat="1" ht="10.5" customHeight="1">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ht="11.25" customHeight="1">
      <c r="A75" s="1815" t="s">
        <v>1925</v>
      </c>
    </row>
    <row r="77" s="1635" customFormat="1" ht="27" customHeight="1">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ht="11.25" customHeight="1">
      <c r="A79" s="1815" t="s">
        <v>1926</v>
      </c>
    </row>
    <row r="80" ht="17.25" customHeight="1"/>
    <row r="81" s="1635" customFormat="1" ht="21" customHeight="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r="82" s="1635" customFormat="1" ht="0.75" customHeight="1">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r="83" s="1635" customFormat="1" ht="0.75" customHeight="1">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r="84" s="1635" customFormat="1" ht="0.75" customHeight="1">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r="85" s="1635" customFormat="1" ht="0.75" customHeight="1">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r="86" s="1635" customFormat="1" ht="0.75" customHeight="1">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r="87" s="1635" customFormat="1" ht="12" customHeight="1">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ht="11.25" customHeight="1">
      <c r="A89" s="1815" t="s">
        <v>1928</v>
      </c>
    </row>
    <row r="91" s="1635" customFormat="1" ht="11.25" customHeight="1">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r="92" s="1635" customFormat="1" ht="11.25" customHeight="1">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r="93" s="1635" customFormat="1" ht="11.25" customHeight="1">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ht="11.25" customHeight="1">
      <c r="A95" s="1815" t="s">
        <v>1930</v>
      </c>
    </row>
    <row r="97" s="1635" customFormat="1" ht="11.25" customHeight="1">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ht="11.25" customHeight="1">
      <c r="A99" s="1815" t="s">
        <v>1931</v>
      </c>
    </row>
    <row r="101" s="1635" customFormat="1" ht="11.25" customHeight="1">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r="102" s="1635" customFormat="1" ht="11.25" customHeight="1">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r="103" s="1635" customFormat="1" ht="11.25" customHeight="1">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r="104" s="1635" customFormat="1" ht="11.25" customHeight="1">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r="105" s="1635" customFormat="1" ht="11.25" customHeight="1">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ht="11.25" customHeight="1">
      <c r="A107" s="1815" t="s">
        <v>1933</v>
      </c>
    </row>
    <row r="108" ht="17.25" customHeight="1"/>
    <row r="109" s="925" customFormat="1" ht="21" customHeight="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r="110" s="925" customFormat="1" ht="24.75" customHeight="1">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r="111" s="925" customFormat="1" ht="12" customHeight="1">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ht="11.25" customHeight="1">
      <c r="A113" s="1815" t="s">
        <v>1935</v>
      </c>
    </row>
    <row r="115" s="1850" customFormat="1" ht="15" customHeight="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r="116" s="1850" customFormat="1" ht="15" customHeight="1">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r="117" s="1850" customFormat="1" ht="15" customHeight="1">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r="118" s="1850" customFormat="1" ht="24.75" customHeight="1">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r="119" s="1850" customFormat="1" ht="11.25" hidden="1" customHeight="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r="120" s="1850" customFormat="1" ht="11.25" customHeight="1">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r="121" s="1850" customFormat="1" ht="24.75" customHeight="1">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r="122" s="1850" customFormat="1" ht="11.25" hidden="1" customHeight="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r="123" s="1850" customFormat="1" ht="11.25" customHeight="1">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ht="11.25" customHeight="1">
      <c r="A125" s="1815" t="s">
        <v>1937</v>
      </c>
    </row>
    <row r="127" s="1850" customFormat="1" ht="15" customHeight="1">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r="128" s="1850" customFormat="1" ht="15" customHeight="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r="129" s="1850" customFormat="1" ht="15" customHeight="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r="130" s="1850" customFormat="1" ht="24.75" customHeight="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r="131" s="1850" customFormat="1" ht="11.25" hidden="1" customHeight="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r="132" s="1850" customFormat="1" ht="11.25" customHeight="1">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r="133" s="1316" customFormat="1" ht="5.25" hidden="1" customHeight="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r="134" s="1316" customFormat="1" ht="5.25" hidden="1" customHeight="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r="135" s="1316" customFormat="1" ht="5.25" hidden="1" customHeight="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r="136" ht="17.25" customHeight="1">
      <c r="D136" s="1836"/>
    </row>
    <row r="137" s="1815" customFormat="1" ht="11.25" customHeight="1">
      <c r="A137" s="1815" t="s">
        <v>1938</v>
      </c>
    </row>
    <row r="139" s="1850" customFormat="1" ht="45" customHeight="1">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r="140" s="1850" customFormat="1" ht="11.25" customHeight="1">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r="141" s="1850" customFormat="1" ht="11.25" customHeight="1">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r="142" s="1850" customFormat="1" ht="11.25" customHeight="1">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ht="11.25" customHeight="1">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r="148" s="1850" customFormat="1" ht="11.25" customHeight="1">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ht="11.25" customHeight="1">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ht="17.25" customHeight="1">
      <c r="A152" s="1815" t="s">
        <v>1942</v>
      </c>
    </row>
    <row r="153" ht="17.25" customHeight="1">
      <c r="G153" s="1839"/>
      <c r="H153" s="1839"/>
      <c r="I153" s="1839"/>
      <c r="M153" s="1835"/>
    </row>
    <row r="154" s="1853" customFormat="1" ht="17.25" customHeight="1">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r="155" s="1853" customFormat="1" ht="17.25" customHeight="1">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r="156" s="1853" customFormat="1" ht="17.25" customHeight="1">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r="157" s="1853" customFormat="1" ht="17.25" customHeight="1">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r="158" s="1853" customFormat="1" ht="17.25" customHeight="1">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r="159" ht="17.25" customHeight="1">
      <c r="G159" s="1839"/>
      <c r="H159" s="1839"/>
      <c r="I159" s="1839"/>
      <c r="M159" s="1835"/>
    </row>
    <row r="160" s="1853" customFormat="1" ht="17.25" customHeight="1">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r="161" s="1853" customFormat="1" ht="17.25" customHeight="1">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r="162" s="1853" customFormat="1" ht="17.25" customHeight="1">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r="163" s="1853" customFormat="1" ht="17.25" customHeight="1">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r="164" ht="17.25" customHeight="1">
      <c r="G164" s="1839"/>
      <c r="H164" s="1839"/>
      <c r="I164" s="1839"/>
      <c r="M164" s="1835"/>
    </row>
    <row r="165" s="1853" customFormat="1" ht="17.25" customHeight="1">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r="166" s="1853" customFormat="1" ht="17.25" customHeight="1">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r="167" s="1853" customFormat="1" ht="17.25" customHeight="1">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r="168" ht="17.25" customHeight="1">
      <c r="G168" s="1839"/>
      <c r="H168" s="1839"/>
      <c r="I168" s="1839"/>
      <c r="M168" s="1835"/>
    </row>
    <row r="169" s="1853" customFormat="1" ht="17.25" customHeight="1">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r="170" s="1853" customFormat="1" ht="17.25" customHeight="1">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r="171" ht="17.25" customHeight="1">
      <c r="G171" s="1839"/>
      <c r="H171" s="1839"/>
      <c r="I171" s="1839"/>
      <c r="M171" s="1835"/>
    </row>
    <row r="172" s="1853" customFormat="1" ht="17.25" customHeight="1">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ht="17.25" customHeight="1">
      <c r="A174" s="1815" t="s">
        <v>1943</v>
      </c>
    </row>
    <row r="175" ht="17.25" customHeight="1">
      <c r="G175" s="1839"/>
      <c r="H175" s="1839"/>
      <c r="I175" s="1839"/>
      <c r="M175" s="1835"/>
    </row>
    <row r="176" s="1853" customFormat="1" ht="17.25" customHeight="1">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r="177" s="1853" customFormat="1" ht="17.25" customHeight="1">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r="178" s="1853" customFormat="1" ht="17.25" customHeight="1">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r="179" s="1853" customFormat="1" ht="17.25" customHeight="1">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r="180" s="1853" customFormat="1" ht="17.25" customHeight="1">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r="181" ht="17.25" customHeight="1">
      <c r="A181" s="1850"/>
    </row>
    <row r="182" s="1853" customFormat="1" ht="17.25" customHeight="1">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r="183" s="1853" customFormat="1" ht="17.25" customHeight="1">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r="184" s="1853" customFormat="1" ht="17.25" customHeight="1">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r="185" s="1853" customFormat="1" ht="17.25" customHeight="1">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r="186" ht="17.25" customHeight="1">
      <c r="A186" s="1850"/>
    </row>
    <row r="187" s="1853" customFormat="1" ht="17.25" customHeight="1">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r="188" s="1853" customFormat="1" ht="17.25" customHeight="1">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r="189" s="1853" customFormat="1" ht="17.25" customHeight="1">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r="190" ht="17.25" customHeight="1">
      <c r="A190" s="1850"/>
    </row>
    <row r="191" s="1853" customFormat="1" ht="17.25" customHeight="1">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r="192" s="1853" customFormat="1" ht="17.25" customHeight="1">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r="193" ht="17.25" customHeight="1">
      <c r="A193" s="1850"/>
    </row>
    <row r="194" ht="16.5" customHeight="1">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r="195" ht="16.5" customHeight="1">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r="196" ht="17.25" customHeight="1">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r="197" ht="17.25" customHeight="1">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r="198" ht="17.25" customHeight="1">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ht="17.25" customHeight="1">
      <c r="A200" s="1815" t="s">
        <v>1944</v>
      </c>
    </row>
    <row r="201" ht="17.25" customHeight="1">
      <c r="G201" s="1839"/>
      <c r="H201" s="1839"/>
      <c r="I201" s="1839"/>
      <c r="M201" s="1835"/>
    </row>
    <row r="202" s="1850" customFormat="1" ht="15" customHeight="1">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r="203" s="1850" customFormat="1" ht="15" customHeight="1">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r="204" s="1850" customFormat="1" ht="15" customHeight="1">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r="205" s="1850" customFormat="1" ht="15" customHeight="1">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r="206" s="1850" customFormat="1" ht="11.25" customHeight="1">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r="207" s="1554" customFormat="1" ht="11.25" customHeight="1">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r="208" ht="17.25" customHeight="1">
      <c r="G208" s="1839"/>
      <c r="I208" s="1839"/>
      <c r="J208" s="1839"/>
      <c r="N208" s="1835"/>
    </row>
    <row r="209" s="1850" customFormat="1" ht="15" customHeight="1">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r="210" s="1850" customFormat="1" ht="15" customHeight="1">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r="211" s="1850" customFormat="1" ht="15" customHeight="1">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r="212" s="1850" customFormat="1" ht="15" customHeight="1">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r="213" s="1850" customFormat="1" ht="11.25" customHeight="1">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r="214" s="1554" customFormat="1" ht="11.25" customHeight="1">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r="215" ht="17.25" customHeight="1">
      <c r="A215" s="1850"/>
    </row>
  </sheetData>
  <sheetProtection autoFilter="0" deleteColumns="1" deleteRows="1" formatColumns="0" formatRows="0" insertColumns="1" insertRows="1" sheet="1" sort="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9300F9-007F-4EBB-814F-007A00E6004F}"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A500E9-001F-4AEB-B90B-006E0036002A}"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C9003B-00EC-4D66-9919-00D2007B002D}"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A20086-00E7-4B52-910F-00F30019000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AB001C-0056-4080-BBE4-005D000100CD}"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D7001D-003E-4FA9-8762-0055008A008D}" type="textLength" allowBlank="1" error="Допускается ввод не более 900 символов!" operator="lessThan" showErrorMessage="1" showInputMessage="1">
          <x14:formula1>
            <xm:f>900</xm:f>
          </x14:formula1>
          <xm:sqref>M29 M23</xm:sqref>
        </x14:dataValidation>
        <x14:dataValidation xr:uid="{00E300E9-0079-45DB-BCB3-003E00EF00B9}" type="list" allowBlank="1" showErrorMessage="1" showInputMessage="1">
          <x14:formula1>
            <xm:f>DESCRIPTION_TERRITORY</xm:f>
          </x14:formula1>
          <xm:sqref>I34</xm:sqref>
        </x14:dataValidation>
        <x14:dataValidation xr:uid="{00910086-0022-49C3-B8FE-009C00DC0092}"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C7004F-0035-493A-B5F6-001900E40023}"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9C0040-005C-48E3-85B7-003F00A400C0}"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890009-00A5-40F7-9A5D-00BC007E004B}"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EB00D5-00F4-49C8-8817-006E00A50081}"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E400DA-00DE-4124-B6CF-008F00EF00D8}"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0" width="43.140625"/>
    <col hidden="1" min="2" max="2" style="840" width="43.140625"/>
    <col min="3" max="3" style="840" width="43.140625"/>
    <col customWidth="1" min="4" max="5" style="840" width="36.421875"/>
    <col customWidth="1" min="6" max="8" style="981" width="36.421875"/>
  </cols>
  <sheetData>
    <row r="1" ht="9" customHeight="1">
      <c r="A1" s="846" t="s">
        <v>1948</v>
      </c>
      <c r="B1" s="846"/>
      <c r="C1" s="982" t="s">
        <v>1949</v>
      </c>
      <c r="D1" s="980" t="s">
        <v>811</v>
      </c>
      <c r="E1" s="980" t="s">
        <v>857</v>
      </c>
      <c r="F1" s="980" t="s">
        <v>910</v>
      </c>
      <c r="G1" s="980" t="s">
        <v>897</v>
      </c>
      <c r="H1" s="980" t="s">
        <v>1625</v>
      </c>
    </row>
    <row r="2" ht="9" customHeight="1">
      <c r="A2" s="983" t="s">
        <v>1950</v>
      </c>
      <c r="B2" s="983"/>
      <c r="C2" s="984" t="str">
        <f>INDEX(TEMPLATE_NUMBER_FORM_LIST,MATCH(TEMPLATE_SPHERE,TEMPLATE_SPHERE_LIST,0))</f>
        <v>16</v>
      </c>
      <c r="D2" s="983" t="s">
        <v>1474</v>
      </c>
      <c r="E2" s="983" t="s">
        <v>148</v>
      </c>
      <c r="F2" s="985" t="s">
        <v>148</v>
      </c>
      <c r="G2" s="983" t="s">
        <v>148</v>
      </c>
      <c r="H2" s="986"/>
    </row>
    <row r="3" ht="63" customHeight="1">
      <c r="A3" s="846"/>
      <c r="B3" s="846" t="s">
        <v>108</v>
      </c>
      <c r="C3" s="984"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r="4" ht="243" customHeight="1">
      <c r="A4" s="846" t="s">
        <v>1952</v>
      </c>
      <c r="B4" s="846" t="s">
        <v>109</v>
      </c>
      <c r="C4" s="984"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3"/>
      <c r="G4" s="983"/>
      <c r="H4" s="846" t="s">
        <v>1954</v>
      </c>
    </row>
    <row r="5" ht="117" customHeight="1">
      <c r="A5" s="846" t="s">
        <v>1955</v>
      </c>
      <c r="B5" s="846" t="s">
        <v>90</v>
      </c>
      <c r="C5" s="984"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r="6" ht="90" customHeight="1">
      <c r="A6" s="846" t="s">
        <v>1958</v>
      </c>
      <c r="B6" s="846" t="s">
        <v>91</v>
      </c>
      <c r="C6" s="984"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r="7" ht="45" customHeight="1">
      <c r="A7" s="846" t="s">
        <v>1959</v>
      </c>
      <c r="B7" s="846" t="s">
        <v>110</v>
      </c>
      <c r="C7" s="984" t="str">
        <f>IF(TEMPLATE_SPHERE="HEAT",D7,E7)</f>
        <v xml:space="preserve">Форма 11. Информация о расходах на капитальный и текущий ремонт основных средств</v>
      </c>
      <c r="D7" s="846" t="s">
        <v>1960</v>
      </c>
      <c r="E7" s="846" t="s">
        <v>1961</v>
      </c>
      <c r="F7" s="986"/>
      <c r="G7" s="986"/>
      <c r="H7" s="986"/>
    </row>
    <row r="8" ht="108" customHeight="1">
      <c r="A8" s="846" t="s">
        <v>1962</v>
      </c>
      <c r="B8" s="846" t="s">
        <v>92</v>
      </c>
      <c r="C8" s="984"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r="9" ht="99" customHeight="1">
      <c r="A9" s="846" t="s">
        <v>1964</v>
      </c>
      <c r="B9" s="846"/>
      <c r="C9" s="846" t="s">
        <v>1965</v>
      </c>
      <c r="D9" s="846"/>
      <c r="E9" s="846"/>
      <c r="F9" s="986"/>
      <c r="G9" s="986"/>
      <c r="H9" s="986"/>
    </row>
    <row r="10" ht="126" customHeight="1">
      <c r="A10" s="846" t="s">
        <v>1966</v>
      </c>
      <c r="B10" s="846"/>
      <c r="C10" s="846" t="s">
        <v>1967</v>
      </c>
      <c r="D10" s="846"/>
      <c r="E10" s="846"/>
      <c r="F10" s="986"/>
      <c r="G10" s="986"/>
      <c r="H10" s="986"/>
    </row>
    <row r="11" ht="108" customHeight="1">
      <c r="A11" s="846" t="s">
        <v>1968</v>
      </c>
      <c r="B11" s="846"/>
      <c r="C11" s="846" t="s">
        <v>1969</v>
      </c>
      <c r="D11" s="846"/>
      <c r="E11" s="846"/>
      <c r="F11" s="986"/>
      <c r="G11" s="986"/>
      <c r="H11" s="986"/>
    </row>
    <row r="12" ht="54" customHeight="1">
      <c r="A12" s="846" t="s">
        <v>1970</v>
      </c>
      <c r="B12" s="846"/>
      <c r="C12" s="846" t="s">
        <v>1971</v>
      </c>
      <c r="D12" s="846"/>
      <c r="E12" s="846"/>
      <c r="F12" s="986"/>
      <c r="G12" s="986"/>
      <c r="H12" s="986"/>
    </row>
    <row r="13" ht="45" customHeight="1">
      <c r="A13" s="846" t="s">
        <v>1972</v>
      </c>
      <c r="B13" s="846"/>
      <c r="C13" s="846" t="s">
        <v>1973</v>
      </c>
      <c r="D13" s="846"/>
      <c r="E13" s="846"/>
      <c r="F13" s="986"/>
      <c r="G13" s="986"/>
      <c r="H13" s="986"/>
    </row>
    <row r="14" ht="117" customHeight="1">
      <c r="A14" s="846" t="s">
        <v>1974</v>
      </c>
      <c r="B14" s="846"/>
      <c r="C14" s="846" t="s">
        <v>1975</v>
      </c>
      <c r="D14" s="846"/>
      <c r="E14" s="846"/>
      <c r="F14" s="986"/>
      <c r="G14" s="986"/>
      <c r="H14" s="986"/>
    </row>
    <row r="15" ht="117" customHeight="1">
      <c r="A15" s="846" t="s">
        <v>1976</v>
      </c>
      <c r="B15" s="846"/>
      <c r="C15" s="846" t="s">
        <v>1977</v>
      </c>
      <c r="D15" s="846"/>
      <c r="E15" s="846"/>
      <c r="F15" s="986"/>
      <c r="G15" s="986"/>
      <c r="H15" s="986"/>
    </row>
    <row r="16" ht="63" customHeight="1">
      <c r="A16" s="846" t="s">
        <v>1978</v>
      </c>
      <c r="B16" s="846"/>
      <c r="C16" s="846" t="s">
        <v>1979</v>
      </c>
      <c r="D16" s="846"/>
      <c r="E16" s="846"/>
      <c r="F16" s="986"/>
      <c r="G16" s="986"/>
      <c r="H16" s="986"/>
    </row>
    <row r="17" ht="54" customHeight="1">
      <c r="A17" s="846" t="s">
        <v>1980</v>
      </c>
      <c r="B17" s="846"/>
      <c r="C17" s="984" t="s">
        <v>1981</v>
      </c>
      <c r="D17" s="846"/>
      <c r="E17" s="846"/>
      <c r="F17" s="986"/>
      <c r="G17" s="986"/>
      <c r="H17" s="986"/>
    </row>
    <row r="18" ht="27" customHeight="1">
      <c r="A18" s="846" t="s">
        <v>1982</v>
      </c>
      <c r="B18" s="846"/>
      <c r="C18" s="984" t="s">
        <v>1983</v>
      </c>
      <c r="D18" s="846"/>
      <c r="E18" s="846"/>
      <c r="F18" s="986"/>
      <c r="G18" s="986"/>
      <c r="H18" s="986"/>
    </row>
    <row r="19" ht="54" customHeight="1">
      <c r="A19" s="846" t="s">
        <v>1984</v>
      </c>
      <c r="B19" s="846"/>
      <c r="C19" s="984" t="s">
        <v>1985</v>
      </c>
      <c r="D19" s="846"/>
      <c r="E19" s="846"/>
      <c r="F19" s="986"/>
      <c r="G19" s="986"/>
      <c r="H19" s="986"/>
    </row>
    <row r="20" ht="36" customHeight="1">
      <c r="A20" s="846" t="s">
        <v>1986</v>
      </c>
      <c r="B20" s="846"/>
      <c r="C20" s="984" t="s">
        <v>1987</v>
      </c>
      <c r="D20" s="846"/>
      <c r="E20" s="846"/>
      <c r="F20" s="986"/>
      <c r="G20" s="986"/>
      <c r="H20" s="986"/>
    </row>
    <row r="21" ht="36" customHeight="1">
      <c r="A21" s="846" t="s">
        <v>1988</v>
      </c>
      <c r="B21" s="846"/>
      <c r="C21" s="984" t="s">
        <v>1989</v>
      </c>
      <c r="D21" s="846"/>
      <c r="E21" s="846"/>
      <c r="F21" s="986"/>
      <c r="G21" s="986"/>
      <c r="H21" s="986"/>
    </row>
    <row r="22" ht="27" customHeight="1">
      <c r="A22" s="846" t="s">
        <v>1990</v>
      </c>
      <c r="B22" s="846"/>
      <c r="C22" s="984" t="s">
        <v>1991</v>
      </c>
      <c r="D22" s="846"/>
      <c r="E22" s="846"/>
      <c r="F22" s="986"/>
      <c r="G22" s="986"/>
      <c r="H22" s="986"/>
    </row>
    <row r="23" ht="36" customHeight="1">
      <c r="A23" s="846" t="s">
        <v>1992</v>
      </c>
      <c r="B23" s="846"/>
      <c r="C23" s="984" t="s">
        <v>1993</v>
      </c>
      <c r="D23" s="846"/>
      <c r="E23" s="846"/>
      <c r="F23" s="986"/>
      <c r="G23" s="986"/>
      <c r="H23" s="986"/>
    </row>
    <row r="24" ht="28.5" customHeight="1">
      <c r="A24" s="846" t="s">
        <v>1994</v>
      </c>
      <c r="B24" s="846"/>
      <c r="C24" s="984" t="s">
        <v>1995</v>
      </c>
      <c r="D24" s="846"/>
      <c r="E24" s="846"/>
      <c r="F24" s="986"/>
      <c r="G24" s="986"/>
      <c r="H24" s="986"/>
    </row>
    <row r="25" ht="36" customHeight="1">
      <c r="A25" s="846" t="s">
        <v>1996</v>
      </c>
      <c r="B25" s="846"/>
      <c r="C25" s="984" t="s">
        <v>1997</v>
      </c>
      <c r="D25" s="846"/>
      <c r="E25" s="846"/>
      <c r="F25" s="986"/>
      <c r="G25" s="986"/>
      <c r="H25" s="986"/>
    </row>
    <row r="26" ht="27" customHeight="1">
      <c r="A26" s="846" t="s">
        <v>1998</v>
      </c>
      <c r="B26" s="846"/>
      <c r="C26" s="984" t="s">
        <v>1999</v>
      </c>
      <c r="D26" s="846"/>
      <c r="E26" s="846"/>
      <c r="F26" s="986"/>
      <c r="G26" s="986"/>
      <c r="H26" s="986"/>
    </row>
    <row r="27" ht="36" customHeight="1">
      <c r="A27" s="846" t="s">
        <v>2000</v>
      </c>
      <c r="B27" s="846"/>
      <c r="C27" s="984" t="s">
        <v>2001</v>
      </c>
      <c r="D27" s="846"/>
      <c r="E27" s="846"/>
      <c r="F27" s="986"/>
      <c r="G27" s="986"/>
      <c r="H27" s="986"/>
    </row>
    <row r="28" ht="28.5" customHeight="1">
      <c r="A28" s="846" t="s">
        <v>2002</v>
      </c>
      <c r="B28" s="846"/>
      <c r="C28" s="984" t="s">
        <v>2003</v>
      </c>
      <c r="D28" s="846"/>
      <c r="E28" s="846"/>
      <c r="F28" s="986"/>
      <c r="G28" s="986"/>
      <c r="H28" s="986"/>
    </row>
    <row r="29" ht="126" customHeight="1">
      <c r="A29" s="846" t="s">
        <v>2004</v>
      </c>
      <c r="B29" s="846" t="s">
        <v>1576</v>
      </c>
      <c r="C29" s="984"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r="30" ht="36" customHeight="1">
      <c r="A30" s="846" t="s">
        <v>2007</v>
      </c>
      <c r="B30" s="846"/>
      <c r="C30" s="984"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r="31" ht="54" customHeight="1">
      <c r="A31" s="846" t="s">
        <v>2009</v>
      </c>
      <c r="B31" s="846"/>
      <c r="C31" s="984"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86"/>
      <c r="G31" s="986"/>
      <c r="H31" s="986"/>
    </row>
    <row r="32" ht="198" customHeight="1">
      <c r="A32" s="846" t="s">
        <v>2011</v>
      </c>
      <c r="B32" s="846"/>
      <c r="C32" s="984"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86"/>
      <c r="G32" s="986"/>
      <c r="H32" s="846" t="s">
        <v>2013</v>
      </c>
    </row>
    <row r="33" ht="9" customHeight="1">
      <c r="A33" s="846"/>
      <c r="B33" s="846"/>
      <c r="C33" s="984"/>
      <c r="D33" s="846"/>
      <c r="E33" s="846"/>
      <c r="F33" s="986"/>
      <c r="G33" s="986"/>
      <c r="H33" s="986"/>
    </row>
    <row r="34" ht="9" customHeight="1">
      <c r="A34" s="846"/>
      <c r="B34" s="846" t="s">
        <v>1512</v>
      </c>
      <c r="C34" s="984">
        <f>INDEX(TEMPLATE_NAME_FORM_LIST,B34,MATCH(TEMPLATE_SPHERE,TEMPLATE_SPHERE_LIST,0))</f>
        <v>0</v>
      </c>
      <c r="D34" s="846"/>
      <c r="E34" s="846"/>
      <c r="F34" s="986"/>
      <c r="G34" s="986"/>
      <c r="H34" s="986"/>
    </row>
  </sheetData>
  <sheetProtection autoFilter="0" deleteColumns="1" deleteRows="1" insertColumns="1" insertRows="1" sheet="1" sort="1"/>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0" width="9.140625"/>
    <col customWidth="1" min="3" max="7" style="842" width="8.00390625"/>
    <col customWidth="1" min="8" max="12" style="842" width="8.57421875"/>
    <col customWidth="1" min="13" max="14" style="842" width="27.7109375"/>
    <col customWidth="1" min="15" max="19" style="842" width="5.140625"/>
    <col customWidth="1" min="20" max="24" style="842" width="27.7109375"/>
    <col customWidth="1" min="25" max="25" style="1001" width="1.8515625"/>
    <col customWidth="1" min="26" max="26" style="840" width="27.7109375"/>
    <col customWidth="1" min="27" max="27" style="851" width="27.7109375"/>
    <col customWidth="1" min="28" max="29" style="840" width="27.7109375"/>
    <col customWidth="1" min="30" max="30" style="840" width="3.8515625"/>
    <col min="31" max="34" style="840" width="9.140625"/>
  </cols>
  <sheetData>
    <row r="1" s="839" customFormat="1" ht="18" customHeight="1">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r="2" ht="18" customHeight="1">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r="3" ht="162" customHeight="1">
      <c r="A3" s="845" t="s">
        <v>26</v>
      </c>
      <c r="B3" s="845"/>
      <c r="C3" s="2596" t="s">
        <v>2020</v>
      </c>
      <c r="D3" s="2597"/>
      <c r="E3" s="2597"/>
      <c r="F3" s="2598"/>
      <c r="G3" s="843"/>
      <c r="H3" s="843"/>
      <c r="I3" s="843"/>
      <c r="J3" s="843"/>
      <c r="K3" s="843"/>
      <c r="L3" s="843"/>
      <c r="M3" s="843"/>
      <c r="N3" s="844"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r="4" ht="9" customHeight="1">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r="5" ht="9" customHeight="1">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r="6" ht="9" customHeight="1">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r="7" ht="9" customHeight="1">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r="8" ht="9" customHeight="1">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r="9" ht="9" customHeight="1">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r="10" ht="9" customHeight="1">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r="11" ht="45" customHeight="1">
      <c r="A11" s="2593" t="s">
        <v>33</v>
      </c>
      <c r="B11" s="899">
        <v>1</v>
      </c>
      <c r="C11" s="2599" t="s">
        <v>1563</v>
      </c>
      <c r="D11" s="2599" t="s">
        <v>1559</v>
      </c>
      <c r="E11" s="2599" t="s">
        <v>1658</v>
      </c>
      <c r="F11" s="2599" t="s">
        <v>2025</v>
      </c>
      <c r="G11" s="2599"/>
      <c r="H11" s="898" t="s">
        <v>2026</v>
      </c>
      <c r="I11" s="898"/>
      <c r="J11" s="898"/>
      <c r="K11" s="898"/>
      <c r="L11" s="898"/>
      <c r="M11" s="844" t="str">
        <f>IF(TEMPLATE_SPHERE="HEAT",T11,U11)</f>
        <v xml:space="preserve">Количество поданных заявок</v>
      </c>
      <c r="N11" s="844"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r="12" ht="45" customHeight="1">
      <c r="A12" s="2593"/>
      <c r="B12" s="899">
        <v>2</v>
      </c>
      <c r="C12" s="2600"/>
      <c r="D12" s="2600"/>
      <c r="E12" s="2600"/>
      <c r="F12" s="2600"/>
      <c r="G12" s="2600"/>
      <c r="H12" s="898" t="s">
        <v>2030</v>
      </c>
      <c r="I12" s="898"/>
      <c r="J12" s="898"/>
      <c r="K12" s="898"/>
      <c r="L12" s="898"/>
      <c r="M12" s="844" t="str">
        <f>IF(TEMPLATE_SPHERE="HEAT",T12,U12)</f>
        <v xml:space="preserve">Количество рассмотренных заявок</v>
      </c>
      <c r="N12" s="844"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r="13" ht="72" customHeight="1">
      <c r="A13" s="2593"/>
      <c r="B13" s="899">
        <v>3</v>
      </c>
      <c r="C13" s="2600"/>
      <c r="D13" s="2600"/>
      <c r="E13" s="2600"/>
      <c r="F13" s="2600"/>
      <c r="G13" s="2600"/>
      <c r="H13" s="2592" t="s">
        <v>2034</v>
      </c>
      <c r="I13" s="898"/>
      <c r="J13" s="898"/>
      <c r="K13" s="898"/>
      <c r="L13" s="898"/>
      <c r="M13" s="844"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 xml:space="preserve">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r="14" ht="45" customHeight="1">
      <c r="A14" s="2593"/>
      <c r="B14" s="899">
        <v>4</v>
      </c>
      <c r="C14" s="2600"/>
      <c r="D14" s="2600"/>
      <c r="E14" s="2600"/>
      <c r="F14" s="2600"/>
      <c r="G14" s="2600"/>
      <c r="H14" s="2592"/>
      <c r="I14" s="901"/>
      <c r="J14" s="901"/>
      <c r="K14" s="901"/>
      <c r="L14" s="901"/>
      <c r="M14" s="847" t="str">
        <f>IF(TEMPLATE_SPHERE="HEAT",T14,U14)</f>
        <v xml:space="preserve">Причины отказа в заключении договора о подключении (технологическом присоединении) к системе теплоснабжения</v>
      </c>
      <c r="N14" s="844"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r="15" ht="108" customHeight="1">
      <c r="A15" s="2593"/>
      <c r="B15" s="899">
        <v>5</v>
      </c>
      <c r="C15" s="2600"/>
      <c r="D15" s="2600"/>
      <c r="E15" s="2600"/>
      <c r="F15" s="2600"/>
      <c r="G15" s="2600"/>
      <c r="H15" s="2594" t="s">
        <v>2040</v>
      </c>
      <c r="I15" s="900"/>
      <c r="J15" s="900"/>
      <c r="K15" s="900"/>
      <c r="L15" s="900"/>
      <c r="M15" s="849"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48"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r="16" ht="108" customHeight="1">
      <c r="A16" s="899"/>
      <c r="B16" s="899">
        <v>6</v>
      </c>
      <c r="C16" s="2601"/>
      <c r="D16" s="2601"/>
      <c r="E16" s="2601"/>
      <c r="F16" s="2601"/>
      <c r="G16" s="2601"/>
      <c r="H16" s="2595"/>
      <c r="I16" s="962"/>
      <c r="J16" s="962"/>
      <c r="K16" s="962"/>
      <c r="L16" s="962"/>
      <c r="M16" s="892"/>
      <c r="N16" s="848"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r="17" ht="9" customHeight="1">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r="18" ht="27" customHeight="1">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 xml:space="preserve">Выручка от регулируемого вида деятельности с распределением по видам деятельности</v>
      </c>
      <c r="K18" s="1005"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4">
        <f>IF(I18=0,"",I18)</f>
        <v>1</v>
      </c>
      <c r="M18" s="844" t="str">
        <f>IF(J18=0,"",J18)</f>
        <v xml:space="preserve">Выручка от регулируемого вида деятельности с распределением по видам деятельности</v>
      </c>
      <c r="N18" s="844" t="str">
        <f>IF(K18=0,"",K18)</f>
        <v xml:space="preserve">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r="19" ht="36" customHeight="1">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 xml:space="preserve">Указывается суммарная себестоимость производимых товаров.</v>
      </c>
      <c r="L19" s="844">
        <f>IF(I19=0,"",I19)</f>
        <v>2</v>
      </c>
      <c r="M19" s="844" t="str">
        <f>IF(J19=0,"",J19)</f>
        <v xml:space="preserve">Себестоимость производимых товаров (оказываемых услуг) по регулируемому виду деятельности, включая:</v>
      </c>
      <c r="N19" s="844" t="str">
        <f>IF(K19=0,"",K19)</f>
        <v xml:space="preserve">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r="20" ht="27" customHeight="1">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 xml:space="preserve">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 xml:space="preserve">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r="21" ht="36" customHeight="1">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 xml:space="preserve">Указываются суммарные расходы на приобретение топлива всех видов.</v>
      </c>
      <c r="L21" s="844" t="str">
        <f>IF(I21=0,"",I21)</f>
        <v>2.2</v>
      </c>
      <c r="M21" s="844"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 xml:space="preserve">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r="22" ht="36" customHeight="1">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r="23" ht="27" customHeight="1">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r="24" ht="36" customHeight="1">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r="25" ht="36" customHeight="1">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 xml:space="preserve">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r="26" ht="18" customHeight="1">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 xml:space="preserve">Средневзвешенная стоимость 1 кВт.ч (с учетом мощности)</v>
      </c>
      <c r="K26" s="1005">
        <f>INDEX(TEMPLATE_NOTE_POINT_FHD,B26,MATCH(TEMPLATE_SPHERE,TEMPLATE_SPHERE_LIST_FOR_NOTE,0))</f>
        <v>0</v>
      </c>
      <c r="L26" s="844" t="str">
        <f>IF(I26=0,"",I26)</f>
        <v>2.3.1</v>
      </c>
      <c r="M26" s="844" t="str">
        <f>IF(J26=0,"",J26)</f>
        <v xml:space="preserve">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4" t="s">
        <v>2065</v>
      </c>
      <c r="V26" s="964" t="s">
        <v>2065</v>
      </c>
      <c r="W26" s="964" t="s">
        <v>2065</v>
      </c>
      <c r="X26" s="843"/>
      <c r="Y26" s="1000"/>
      <c r="Z26" s="846"/>
      <c r="AA26" s="849"/>
      <c r="AB26" s="846"/>
      <c r="AC26" s="846"/>
      <c r="AD26" s="846"/>
    </row>
    <row r="27" ht="18" customHeight="1">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 xml:space="preserve">Объём приобретения электрической энергии</v>
      </c>
      <c r="K27" s="1005">
        <f>INDEX(TEMPLATE_NOTE_POINT_FHD,B27,MATCH(TEMPLATE_SPHERE,TEMPLATE_SPHERE_LIST_FOR_NOTE,0))</f>
        <v>0</v>
      </c>
      <c r="L27" s="844" t="str">
        <f>IF(I27=0,"",I27)</f>
        <v>2.3.2</v>
      </c>
      <c r="M27" s="844" t="str">
        <f>IF(J27=0,"",J27)</f>
        <v xml:space="preserve">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r="28" ht="27" customHeight="1">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 xml:space="preserve">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 xml:space="preserve">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r="29" ht="27" customHeight="1">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 xml:space="preserve">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 xml:space="preserve">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r="30" ht="54" customHeight="1">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r="31" ht="18" customHeight="1">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 xml:space="preserve">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 xml:space="preserve">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r="32" ht="36" customHeight="1">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r="33" ht="45" customHeight="1">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r="34" ht="27" customHeight="1">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 xml:space="preserve">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 xml:space="preserve">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r="35" ht="45" customHeight="1">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r="36" ht="18" customHeight="1">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 xml:space="preserve">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 xml:space="preserve">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r="37" ht="18" customHeight="1">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 xml:space="preserve">Расходы на амортизацию основных средств</v>
      </c>
      <c r="K37" s="1005">
        <f>INDEX(TEMPLATE_NOTE_POINT_FHD,B37,MATCH(TEMPLATE_SPHERE,TEMPLATE_SPHERE_LIST_FOR_NOTE,0))</f>
        <v>0</v>
      </c>
      <c r="L37" s="844" t="str">
        <f>IF(I37=0,"",I37)</f>
        <v>2.8.1</v>
      </c>
      <c r="M37" s="844" t="str">
        <f>IF(J37=0,"",J37)</f>
        <v xml:space="preserve">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r="38" ht="18" customHeight="1">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 xml:space="preserve">Расходы на амортизацию нематериальных активов</v>
      </c>
      <c r="K38" s="1005">
        <f>INDEX(TEMPLATE_NOTE_POINT_FHD,B38,MATCH(TEMPLATE_SPHERE,TEMPLATE_SPHERE_LIST_FOR_NOTE,0))</f>
        <v>0</v>
      </c>
      <c r="L38" s="844" t="str">
        <f>IF(I38=0,"",I38)</f>
        <v>2.8.2</v>
      </c>
      <c r="M38" s="844" t="str">
        <f>IF(J38=0,"",J38)</f>
        <v xml:space="preserve">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r="39" ht="36" customHeight="1">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 xml:space="preserve">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r="40" ht="18" customHeight="1">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 xml:space="preserve">Общепроизводственные расходы, в том числе:</v>
      </c>
      <c r="K40" s="1005" t="str">
        <f>INDEX(TEMPLATE_NOTE_POINT_FHD,B40,MATCH(TEMPLATE_SPHERE,TEMPLATE_SPHERE_LIST_FOR_NOTE,0))</f>
        <v xml:space="preserve">Указывается общая сумма общепроизводственных расходов.</v>
      </c>
      <c r="L40" s="844" t="str">
        <f>IF(I40=0,"",I40)</f>
        <v>2.10</v>
      </c>
      <c r="M40" s="844" t="str">
        <f>IF(J40=0,"",J40)</f>
        <v xml:space="preserve">Общепроизводственные расходы, в том числе:</v>
      </c>
      <c r="N40" s="844" t="str">
        <f>IF(K40=0,"",K40)</f>
        <v xml:space="preserve">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r="41" ht="27" customHeight="1">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 xml:space="preserve">Расходы на текущий ремонт</v>
      </c>
      <c r="K41" s="1005" t="str">
        <f>INDEX(TEMPLATE_NOTE_POINT_FHD,B41,MATCH(TEMPLATE_SPHERE,TEMPLATE_SPHERE_LIST_FOR_NOTE,0))</f>
        <v xml:space="preserve">Указываются расходы на текущий ремонт, отнесенные к общепроизводственным расходам.</v>
      </c>
      <c r="L41" s="844" t="str">
        <f>IF(I41=0,"",I41)</f>
        <v>2.10.1</v>
      </c>
      <c r="M41" s="844" t="str">
        <f>IF(J41=0,"",J41)</f>
        <v xml:space="preserve">Расходы на текущий ремонт</v>
      </c>
      <c r="N41" s="844" t="str">
        <f>IF(K41=0,"",K41)</f>
        <v xml:space="preserve">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r="42" ht="27" customHeight="1">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 xml:space="preserve">Расходы на капитальный ремонт</v>
      </c>
      <c r="K42" s="1005"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4" t="str">
        <f>IF(I42=0,"",I42)</f>
        <v>2.10.2</v>
      </c>
      <c r="M42" s="844" t="str">
        <f>IF(J42=0,"",J42)</f>
        <v xml:space="preserve">Расходы на капитальный ремонт</v>
      </c>
      <c r="N42" s="844" t="str">
        <f>IF(K42=0,"",K42)</f>
        <v xml:space="preserve">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r="43" ht="18" customHeight="1">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 xml:space="preserve">Общехозяйственные расходы, в том числе:</v>
      </c>
      <c r="K43" s="1005" t="str">
        <f>INDEX(TEMPLATE_NOTE_POINT_FHD,B43,MATCH(TEMPLATE_SPHERE,TEMPLATE_SPHERE_LIST_FOR_NOTE,0))</f>
        <v xml:space="preserve">Указывается общая сумма общехозяйственных расходов.</v>
      </c>
      <c r="L43" s="844" t="str">
        <f>IF(I43=0,"",I43)</f>
        <v>2.11</v>
      </c>
      <c r="M43" s="844" t="str">
        <f>IF(J43=0,"",J43)</f>
        <v xml:space="preserve">Общехозяйственные расходы, в том числе:</v>
      </c>
      <c r="N43" s="844" t="str">
        <f>IF(K43=0,"",K43)</f>
        <v xml:space="preserve">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r="44" ht="27" customHeight="1">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 xml:space="preserve">Расходы на текущий ремонт</v>
      </c>
      <c r="K44" s="1005" t="str">
        <f>INDEX(TEMPLATE_NOTE_POINT_FHD,B44,MATCH(TEMPLATE_SPHERE,TEMPLATE_SPHERE_LIST_FOR_NOTE,0))</f>
        <v xml:space="preserve">Указываются расходы на текущий ремонт, отнесенные к общехозяйственным расходам.</v>
      </c>
      <c r="L44" s="844" t="str">
        <f>IF(I44=0,"",I44)</f>
        <v>2.11.1</v>
      </c>
      <c r="M44" s="844" t="str">
        <f>IF(J44=0,"",J44)</f>
        <v xml:space="preserve">Расходы на текущий ремонт</v>
      </c>
      <c r="N44" s="844" t="str">
        <f>IF(K44=0,"",K44)</f>
        <v xml:space="preserve">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r="45" ht="27" customHeight="1">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 xml:space="preserve">Расходы на капитальный ремонт</v>
      </c>
      <c r="K45" s="1005" t="str">
        <f>INDEX(TEMPLATE_NOTE_POINT_FHD,B45,MATCH(TEMPLATE_SPHERE,TEMPLATE_SPHERE_LIST_FOR_NOTE,0))</f>
        <v xml:space="preserve">Указываются расходы на капитальный ремонт, отнесенные к общехозяйственным расходам.</v>
      </c>
      <c r="L45" s="844" t="str">
        <f>IF(I45=0,"",I45)</f>
        <v>2.11.2</v>
      </c>
      <c r="M45" s="844" t="str">
        <f>IF(J45=0,"",J45)</f>
        <v xml:space="preserve">Расходы на капитальный ремонт</v>
      </c>
      <c r="N45" s="844" t="str">
        <f>IF(K45=0,"",K45)</f>
        <v xml:space="preserve">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r="46" ht="54" customHeight="1">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 xml:space="preserve">Расходы на капитальный и текущий ремонт основных средств</v>
      </c>
      <c r="K46" s="1005"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 xml:space="preserve">Расходы на капитальный и текущий ремонт основных средств</v>
      </c>
      <c r="N46" s="844"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r="47" ht="54" customHeight="1">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r="48" ht="54" customHeight="1">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r="49" ht="54" customHeight="1">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r="50" ht="126" customHeight="1">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r="51" ht="27" customHeight="1">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 xml:space="preserve">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r="52" ht="36" customHeight="1">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 xml:space="preserve">Чистая прибыль, полученная от регулируемого вида деятельности, в том числе:</v>
      </c>
      <c r="K52" s="1005"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4" t="str">
        <f>IF(I52=0,"",I52)</f>
        <v>4</v>
      </c>
      <c r="M52" s="844" t="str">
        <f>IF(J52=0,"",J52)</f>
        <v xml:space="preserve">Чистая прибыль, полученная от регулируемого вида деятельности, в том числе:</v>
      </c>
      <c r="N52" s="844" t="str">
        <f>IF(K52=0,"",K52)</f>
        <v xml:space="preserve">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r="53" ht="36" customHeight="1">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r="54" ht="18" customHeight="1">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 xml:space="preserve">Изменение стоимости основных фондов, в том числе:</v>
      </c>
      <c r="K54" s="1005" t="str">
        <f>INDEX(TEMPLATE_NOTE_POINT_FHD,B54,MATCH(TEMPLATE_SPHERE,TEMPLATE_SPHERE_LIST_FOR_NOTE,0))</f>
        <v xml:space="preserve">Указывается общее изменение стоимости основных фондов.</v>
      </c>
      <c r="L54" s="844" t="str">
        <f>IF(I54=0,"",I54)</f>
        <v>5</v>
      </c>
      <c r="M54" s="844" t="str">
        <f>IF(J54=0,"",J54)</f>
        <v xml:space="preserve">Изменение стоимости основных фондов, в том числе:</v>
      </c>
      <c r="N54" s="844" t="str">
        <f>IF(K54=0,"",K54)</f>
        <v xml:space="preserve">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r="55" ht="36" customHeight="1">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 xml:space="preserve">Изменение стоимости основных фондов за счет:</v>
      </c>
      <c r="K55" s="1005"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4" t="str">
        <f>IF(I55=0,"",I55)</f>
        <v>5.1</v>
      </c>
      <c r="M55" s="844" t="str">
        <f>IF(J55=0,"",J55)</f>
        <v xml:space="preserve">Изменение стоимости основных фондов за счет:</v>
      </c>
      <c r="N55" s="844" t="str">
        <f>IF(K55=0,"",K55)</f>
        <v xml:space="preserve">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r="56" ht="27" customHeight="1">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 xml:space="preserve">Изменения стоимости основных фондов за счет их ввода в эксплуатацию</v>
      </c>
      <c r="K56" s="1005" t="str">
        <f>INDEX(TEMPLATE_NOTE_POINT_FHD,B56,MATCH(TEMPLATE_SPHERE,TEMPLATE_SPHERE_LIST_FOR_NOTE,0))</f>
        <v xml:space="preserve">Указываются изменение стоимости основных фондов за счет их ввода в эксплуатацию.</v>
      </c>
      <c r="L56" s="844" t="str">
        <f>IF(I56=0,"",I56)</f>
        <v>5.1.1</v>
      </c>
      <c r="M56" s="844" t="str">
        <f>IF(J56=0,"",J56)</f>
        <v xml:space="preserve">Изменения стоимости основных фондов за счет их ввода в эксплуатацию</v>
      </c>
      <c r="N56" s="844" t="str">
        <f>IF(K56=0,"",K56)</f>
        <v xml:space="preserve">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r="57" ht="27" customHeight="1">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 xml:space="preserve">Изменения стоимости основных фондов за счет их вывода в эксплуатацию</v>
      </c>
      <c r="K57" s="1005" t="str">
        <f>INDEX(TEMPLATE_NOTE_POINT_FHD,B57,MATCH(TEMPLATE_SPHERE,TEMPLATE_SPHERE_LIST_FOR_NOTE,0))</f>
        <v xml:space="preserve">Указываются изменение стоимости основных фондов за счет их вывода из эксплуатации.</v>
      </c>
      <c r="L57" s="844" t="str">
        <f>IF(I57=0,"",I57)</f>
        <v>5.1.2</v>
      </c>
      <c r="M57" s="844" t="str">
        <f>IF(J57=0,"",J57)</f>
        <v xml:space="preserve">Изменения стоимости основных фондов за счет их вывода в эксплуатацию</v>
      </c>
      <c r="N57" s="844" t="str">
        <f>IF(K57=0,"",K57)</f>
        <v xml:space="preserve">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r="58" ht="18" customHeight="1">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 xml:space="preserve">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 xml:space="preserve">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r="59" ht="36" customHeight="1">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r="60" ht="81" customHeight="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 xml:space="preserve">Годовая бухгалтерская (финансовая) отчетность, включая бухгалтерский баланс и приложения к нему</v>
      </c>
      <c r="N60" s="844"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r="61" ht="9" customHeight="1">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r="62" ht="9" customHeight="1">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r="63" ht="18" customHeight="1">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r="64" ht="18" customHeight="1">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r="65" ht="18" customHeight="1">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r="66" ht="18" customHeight="1">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r="67" ht="27" customHeight="1">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r="68" ht="27" customHeight="1">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r="69" ht="9" customHeight="1">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r="70" ht="27" customHeight="1">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r="71" ht="36" customHeight="1">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r="72" ht="27" customHeight="1">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r="73" ht="36" customHeight="1">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r="74" ht="18" customHeight="1">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r="75" ht="18" customHeight="1">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r="76" ht="36" customHeight="1">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r="77" ht="18" customHeight="1">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r="78" ht="72" customHeight="1">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r="79" ht="36" customHeight="1">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 xml:space="preserve">Тепловая нагрузка по договорам, заключенным в рамках осуществления регулируемых видов деятельности</v>
      </c>
      <c r="N79" s="844"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r="80" ht="45" customHeight="1">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 xml:space="preserve">Объем вырабатываемой регулируемой организацией тепловой энергии в рамках осуществления регулируемых видов деятельности</v>
      </c>
      <c r="N80" s="844"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r="81" ht="36" customHeight="1">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 xml:space="preserve">Информация указывается только едиными теплоснабжающими организациями.</v>
      </c>
      <c r="L81" s="844" t="str">
        <f>IF(I81=0,"",I81)</f>
        <v>9.1</v>
      </c>
      <c r="M81" s="844" t="str">
        <f>IF(J81=0,"",J81)</f>
        <v xml:space="preserve">Объем приобретаемой регулируемой организацией тепловой энергии в рамках осуществления регулируемых видов деятельности</v>
      </c>
      <c r="N81" s="844" t="str">
        <f>IF(K81=0,"",K81)</f>
        <v xml:space="preserve">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r="82" ht="90" customHeight="1">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r="83" ht="9" customHeight="1">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 xml:space="preserve">По приборам учёта</v>
      </c>
      <c r="K83" s="1005">
        <f>INDEX(TEMPLATE_NOTE_POINT_FHD,B83,MATCH(TEMPLATE_SPHERE,TEMPLATE_SPHERE_LIST_FOR_NOTE,0))</f>
        <v>0</v>
      </c>
      <c r="L83" s="844" t="str">
        <f>IF(I83=0,"",I83)</f>
        <v>10.1</v>
      </c>
      <c r="M83" s="844" t="str">
        <f>IF(J83=0,"",J83)</f>
        <v xml:space="preserve">По приборам учёта</v>
      </c>
      <c r="N83" s="844" t="str">
        <f>IF(K83=0,"",K83)</f>
        <v/>
      </c>
      <c r="O83" s="957" t="s">
        <v>2081</v>
      </c>
      <c r="P83" s="957"/>
      <c r="Q83" s="957"/>
      <c r="R83" s="957"/>
      <c r="S83" s="957"/>
      <c r="T83" s="843" t="s">
        <v>2194</v>
      </c>
      <c r="U83" s="843"/>
      <c r="V83" s="843"/>
      <c r="W83" s="843"/>
      <c r="X83" s="843"/>
      <c r="Y83" s="1000"/>
      <c r="Z83" s="846"/>
      <c r="AA83" s="849"/>
      <c r="AB83" s="846"/>
      <c r="AC83" s="846"/>
      <c r="AD83" s="846"/>
    </row>
    <row r="84" ht="54" customHeight="1">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r="85" ht="9" customHeight="1">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 xml:space="preserve">Расчётным путём</v>
      </c>
      <c r="K85" s="1005">
        <f>INDEX(TEMPLATE_NOTE_POINT_FHD,B85,MATCH(TEMPLATE_SPHERE,TEMPLATE_SPHERE_LIST_FOR_NOTE,0))</f>
        <v>0</v>
      </c>
      <c r="L85" s="844" t="str">
        <f>IF(I85=0,"",I85)</f>
        <v>10.2</v>
      </c>
      <c r="M85" s="844" t="str">
        <f>IF(J85=0,"",J85)</f>
        <v xml:space="preserve">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r="86" ht="27" customHeight="1">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 xml:space="preserve">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r="87" ht="36" customHeight="1">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r="88" ht="18" customHeight="1">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 xml:space="preserve">Фактический объем потерь при передаче тепловой энергии</v>
      </c>
      <c r="K88" s="1005">
        <f>INDEX(TEMPLATE_NOTE_POINT_FHD,B88,MATCH(TEMPLATE_SPHERE,TEMPLATE_SPHERE_LIST_FOR_NOTE,0))</f>
        <v>0</v>
      </c>
      <c r="L88" s="844" t="str">
        <f>IF(I88=0,"",I88)</f>
        <v>12</v>
      </c>
      <c r="M88" s="844" t="str">
        <f>IF(J88=0,"",J88)</f>
        <v xml:space="preserve">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r="89" ht="18" customHeight="1">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 xml:space="preserve">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 xml:space="preserve">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r="90" ht="27" customHeight="1">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 xml:space="preserve">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 xml:space="preserve">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r="91" ht="18" customHeight="1">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r="92" ht="27" customHeight="1">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r="93" ht="27" customHeight="1">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r="94" ht="45" customHeight="1">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r="95" ht="99" customHeight="1">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r="96" ht="99" customHeight="1">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r="97" ht="63" customHeight="1">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r="98" ht="63" customHeight="1">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r="99" ht="90" customHeight="1">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4" t="str">
        <f>IF(I99=0,"",I99)</f>
        <v>19</v>
      </c>
      <c r="M99" s="844"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 xml:space="preserve">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r="100" ht="27" customHeight="1">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 xml:space="preserve">Информация о показателях физического износа объектов теплоснабжения</v>
      </c>
      <c r="K100" s="1005"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4" t="str">
        <f>IF(I100=0,"",I100)</f>
        <v>19.1</v>
      </c>
      <c r="M100" s="844" t="str">
        <f>IF(J100=0,"",J100)</f>
        <v xml:space="preserve">Информация о показателях физического износа объектов теплоснабжения</v>
      </c>
      <c r="N100" s="844" t="str">
        <f>IF(K100=0,"",K100)</f>
        <v xml:space="preserve">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r="101" ht="27" customHeight="1">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 xml:space="preserve">Информация о показателях энергетической эффективности объектов теплоснабжения</v>
      </c>
      <c r="K101" s="1005"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4" t="str">
        <f>IF(I101=0,"",I101)</f>
        <v>19.2</v>
      </c>
      <c r="M101" s="844" t="str">
        <f>IF(J101=0,"",J101)</f>
        <v xml:space="preserve">Информация о показателях энергетической эффективности объектов теплоснабжения</v>
      </c>
      <c r="N101" s="844" t="str">
        <f>IF(K101=0,"",K101)</f>
        <v xml:space="preserve">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r="102" ht="9" customHeight="1">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r="103" ht="9" customHeight="1">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r="104" ht="9" customHeight="1">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r="105" ht="9" customHeight="1">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r="106" ht="9" customHeight="1">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r="107" ht="9" customHeight="1">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r="108" ht="9" customHeight="1">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r="109" ht="9" customHeight="1">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r="110" ht="9" customHeight="1">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r="111" ht="9" customHeight="1">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r="112" ht="9" customHeight="1">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r="113" ht="9" customHeight="1">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r="114" ht="9" customHeight="1">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r="115" ht="9" customHeight="1">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r="116" ht="9" customHeight="1">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r="117" ht="9" customHeight="1">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r="118" ht="9" customHeight="1">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r="119" ht="9" customHeight="1">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r="120" ht="9" customHeight="1">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r="121" ht="9" customHeight="1">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r="122" ht="9" customHeight="1">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r="123" ht="9" customHeight="1">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r="124" ht="9" customHeight="1">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r="125" ht="9" customHeight="1">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r="126" ht="9" customHeight="1">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r="127" ht="9" customHeight="1">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r="128" ht="9" customHeight="1">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r="129" ht="9" customHeight="1">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r="130" ht="9" customHeight="1">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r="131" ht="9" customHeight="1">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r="132" ht="9" customHeight="1">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r="133" ht="9" customHeight="1">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r="134" ht="9" customHeight="1">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r="135" ht="9" customHeight="1">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r="136" ht="9" customHeight="1">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r="137" ht="9" customHeight="1">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r="138" ht="9" customHeight="1">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r="139" ht="9" customHeight="1">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r="140" ht="9" customHeight="1">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r="141" ht="9" customHeight="1">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r="142" ht="9" customHeight="1">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r="143" ht="9" customHeight="1">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r="144" ht="9" customHeight="1">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r="145" ht="9" customHeight="1">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r="146" ht="9" customHeight="1">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r="147" ht="9" customHeight="1">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r="148" ht="90" customHeight="1">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r="149" ht="9" customHeight="1">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r="150" ht="9" customHeight="1">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r="151" ht="9" customHeight="1">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r="152" ht="9" customHeight="1">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r="153" ht="9" customHeight="1">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r="154" ht="9" customHeight="1">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autoFilter="0" deleteColumns="1" deleteRows="1" insertColumns="1" insertRows="1" sheet="1" sort="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I4"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2.28125"/>
    <col customWidth="1" hidden="1" min="6" max="8" style="1776" width="12.28125"/>
    <col customWidth="1" min="9" max="9" style="2397" width="3.00390625"/>
    <col customWidth="1" min="10" max="11" style="344" width="3.00390625"/>
    <col customWidth="1" min="12" max="12" style="2407" width="12.00390625"/>
    <col customWidth="1" min="13" max="13" style="1635" width="31.00390625"/>
    <col customWidth="1" min="14" max="14" style="1635" width="1.00390625"/>
    <col customWidth="1" min="15" max="18" style="1635" width="24.00390625"/>
    <col customWidth="1" min="19" max="19" style="1635" width="11.00390625"/>
    <col customWidth="1" min="20" max="20" style="1635" width="3.7109375"/>
    <col customWidth="1" min="21" max="21" style="1635" width="11.00390625"/>
    <col customWidth="1" min="22" max="22" style="1635" width="8.57421875"/>
    <col customWidth="1" min="23" max="23" style="1635" width="4.00390625"/>
    <col customWidth="1" min="24" max="24" style="1635" width="115.00390625"/>
    <col customWidth="1" min="25" max="29" style="1642" width="10.00390625"/>
    <col hidden="1" min="30" max="30" style="1635" width="10.57421875"/>
  </cols>
  <sheetData>
    <row r="1" ht="22.5" hidden="1" customHeight="1">
      <c r="R1" s="327"/>
      <c r="S1" s="327"/>
      <c r="AD1" s="1155" t="s">
        <v>14</v>
      </c>
    </row>
    <row r="2" ht="14.25" hidden="1" customHeight="1">
      <c r="V2" s="327"/>
      <c r="AD2" s="1155">
        <v>0</v>
      </c>
    </row>
    <row r="3" ht="14.25" hidden="1" customHeight="1">
      <c r="AD3" s="1155">
        <v>0</v>
      </c>
    </row>
    <row r="4" ht="14.65" customHeight="1">
      <c r="J4" s="376"/>
      <c r="K4" s="376"/>
      <c r="L4" s="1275"/>
      <c r="M4" s="363"/>
      <c r="N4" s="363"/>
      <c r="O4" s="509"/>
      <c r="P4" s="509"/>
      <c r="Q4" s="509"/>
      <c r="R4" s="509"/>
      <c r="S4" s="509"/>
      <c r="T4" s="509"/>
      <c r="U4" s="509"/>
      <c r="V4" s="509"/>
      <c r="AD4" s="1155">
        <v>14</v>
      </c>
    </row>
    <row r="5" ht="67.200000000000003" customHeight="1">
      <c r="J5" s="376"/>
      <c r="K5" s="376"/>
      <c r="L5" s="2603" t="s">
        <v>2231</v>
      </c>
      <c r="M5" s="2603"/>
      <c r="N5" s="2603"/>
      <c r="O5" s="2603"/>
      <c r="P5" s="2603"/>
      <c r="Q5" s="2603"/>
      <c r="R5" s="2603"/>
      <c r="S5" s="2603"/>
      <c r="T5" s="2603"/>
      <c r="U5" s="2603"/>
      <c r="V5" s="1243"/>
      <c r="AD5" s="1155">
        <v>64</v>
      </c>
    </row>
    <row r="6" ht="14.65" customHeight="1">
      <c r="J6" s="376"/>
      <c r="K6" s="376"/>
      <c r="L6" s="2604" t="str">
        <f>IF(org=0,"Не определено",org)</f>
        <v xml:space="preserve">АО "ДГК"</v>
      </c>
      <c r="M6" s="2604"/>
      <c r="N6" s="2604"/>
      <c r="O6" s="2604"/>
      <c r="P6" s="2604"/>
      <c r="Q6" s="2604"/>
      <c r="R6" s="2604"/>
      <c r="S6" s="2604"/>
      <c r="T6" s="2604"/>
      <c r="U6" s="2604"/>
      <c r="V6" s="1243"/>
      <c r="AD6" s="1155">
        <v>14</v>
      </c>
    </row>
    <row r="7" ht="14.65" customHeight="1">
      <c r="J7" s="376"/>
      <c r="K7" s="376"/>
      <c r="L7" s="1275"/>
      <c r="M7" s="363"/>
      <c r="N7" s="363"/>
      <c r="O7" s="322"/>
      <c r="P7" s="322"/>
      <c r="Q7" s="322"/>
      <c r="R7" s="322"/>
      <c r="S7" s="322"/>
      <c r="T7" s="322"/>
      <c r="U7" s="322"/>
      <c r="V7" s="322"/>
      <c r="W7" s="509"/>
      <c r="AD7" s="1155">
        <v>14</v>
      </c>
    </row>
    <row r="8" s="1853" customFormat="1" ht="48.25" customHeight="1">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r="9" s="1853" customFormat="1" ht="24" customHeight="1">
      <c r="A9" s="1368"/>
      <c r="B9" s="1368"/>
      <c r="C9" s="1368"/>
      <c r="D9" s="1368"/>
      <c r="E9" s="1368"/>
      <c r="F9" s="1368"/>
      <c r="G9" s="1368"/>
      <c r="H9" s="1368"/>
      <c r="L9" s="1276"/>
      <c r="M9" s="295" t="s">
        <v>424</v>
      </c>
      <c r="N9" s="304"/>
      <c r="O9" s="2251" t="str">
        <f>IF(TITLE_DATE_CHANGE_PERIOD="",IF(TITLE_DATE_PR="","",TITLE_DATE_PR),TITLE_DATE_CHANGE_PERIOD)</f>
        <v>45841</v>
      </c>
      <c r="P9" s="2251"/>
      <c r="Q9" s="2251"/>
      <c r="R9" s="2251"/>
      <c r="S9" s="2251"/>
      <c r="T9" s="2251"/>
      <c r="U9" s="2251"/>
      <c r="V9" s="326"/>
      <c r="W9" s="326"/>
      <c r="X9" s="280"/>
      <c r="Y9" s="368"/>
      <c r="Z9" s="368"/>
      <c r="AA9" s="368"/>
      <c r="AB9" s="368"/>
      <c r="AC9" s="368"/>
      <c r="AD9" s="418">
        <v>23</v>
      </c>
    </row>
    <row r="10" s="1853" customFormat="1" ht="24" customHeight="1">
      <c r="A10" s="1368"/>
      <c r="B10" s="1368"/>
      <c r="C10" s="1368"/>
      <c r="D10" s="1368"/>
      <c r="E10" s="1368"/>
      <c r="F10" s="1368"/>
      <c r="G10" s="1368"/>
      <c r="H10" s="1368"/>
      <c r="L10" s="1250"/>
      <c r="M10" s="295" t="s">
        <v>425</v>
      </c>
      <c r="N10" s="304"/>
      <c r="O10" s="2251" t="str">
        <f>IF(TITLE_NUMBER_PR_CHANGE="",IF(TITLE_NUMBER_PR="","",TITLE_NUMBER_PR),TITLE_NUMBER_PR_CHANGE)</f>
        <v>27-3420</v>
      </c>
      <c r="P10" s="2251"/>
      <c r="Q10" s="2251"/>
      <c r="R10" s="2251"/>
      <c r="S10" s="2251"/>
      <c r="T10" s="2251"/>
      <c r="U10" s="2251"/>
      <c r="V10" s="326"/>
      <c r="W10" s="326"/>
      <c r="X10" s="280"/>
      <c r="Y10" s="368"/>
      <c r="Z10" s="368"/>
      <c r="AA10" s="368"/>
      <c r="AB10" s="368"/>
      <c r="AC10" s="368"/>
      <c r="AD10" s="418">
        <v>23</v>
      </c>
    </row>
    <row r="11" s="1853" customFormat="1" ht="24" customHeight="1">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r="12" s="1853" customFormat="1" ht="11.25" hidden="1" customHeight="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r="13" ht="14.65" customHeight="1">
      <c r="J13" s="376"/>
      <c r="K13" s="376"/>
      <c r="L13" s="1275"/>
      <c r="M13" s="363"/>
      <c r="N13" s="1244"/>
      <c r="O13" s="2252"/>
      <c r="P13" s="2252"/>
      <c r="Q13" s="2252"/>
      <c r="R13" s="2252"/>
      <c r="S13" s="2252"/>
      <c r="T13" s="2252"/>
      <c r="U13" s="2252"/>
      <c r="V13" s="2252"/>
      <c r="AD13" s="1155">
        <v>14</v>
      </c>
    </row>
    <row r="14" ht="14.65" customHeight="1">
      <c r="J14" s="376"/>
      <c r="K14" s="376"/>
      <c r="L14" s="2127" t="s">
        <v>304</v>
      </c>
      <c r="M14" s="2127"/>
      <c r="N14" s="2127"/>
      <c r="O14" s="2127"/>
      <c r="P14" s="2127"/>
      <c r="Q14" s="2127"/>
      <c r="R14" s="2127"/>
      <c r="S14" s="2127"/>
      <c r="T14" s="2127"/>
      <c r="U14" s="2127"/>
      <c r="V14" s="2127"/>
      <c r="W14" s="2127"/>
      <c r="X14" s="2127" t="s">
        <v>305</v>
      </c>
      <c r="AD14" s="1155">
        <v>14</v>
      </c>
    </row>
    <row r="15" ht="14.65" customHeight="1">
      <c r="J15" s="376"/>
      <c r="K15" s="376"/>
      <c r="L15" s="2273" t="s">
        <v>88</v>
      </c>
      <c r="M15" s="2209" t="s">
        <v>429</v>
      </c>
      <c r="N15" s="301"/>
      <c r="O15" s="2274" t="s">
        <v>2232</v>
      </c>
      <c r="P15" s="2275"/>
      <c r="Q15" s="2275"/>
      <c r="R15" s="2275"/>
      <c r="S15" s="2275"/>
      <c r="T15" s="2275"/>
      <c r="U15" s="2276"/>
      <c r="V15" s="2277" t="s">
        <v>431</v>
      </c>
      <c r="W15" s="2280" t="s">
        <v>1148</v>
      </c>
      <c r="X15" s="2127"/>
      <c r="AD15" s="1155">
        <v>14</v>
      </c>
    </row>
    <row r="16" ht="35.649999999999999" customHeight="1">
      <c r="J16" s="376"/>
      <c r="K16" s="376"/>
      <c r="L16" s="2273"/>
      <c r="M16" s="2209"/>
      <c r="N16" s="1031"/>
      <c r="O16" s="2260" t="s">
        <v>434</v>
      </c>
      <c r="P16" s="2260" t="s">
        <v>435</v>
      </c>
      <c r="Q16" s="2262" t="s">
        <v>436</v>
      </c>
      <c r="R16" s="2263"/>
      <c r="S16" s="2262" t="s">
        <v>449</v>
      </c>
      <c r="T16" s="2269"/>
      <c r="U16" s="2263"/>
      <c r="V16" s="2278"/>
      <c r="W16" s="2281"/>
      <c r="X16" s="2127"/>
      <c r="AD16" s="1155">
        <v>34</v>
      </c>
    </row>
    <row r="17" ht="35.649999999999999" customHeight="1">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r="18" s="1641" customFormat="1" ht="11.5" customHeight="1">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r="19" ht="21" customHeight="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 xml:space="preserve">Наименование тарифа</v>
      </c>
      <c r="AB19" s="500"/>
      <c r="AC19" s="500"/>
      <c r="AD19" s="1155">
        <v>20</v>
      </c>
    </row>
    <row r="20" ht="21" customHeight="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 xml:space="preserve">Территория действия тарифа</v>
      </c>
      <c r="AB20" s="500"/>
      <c r="AC20" s="500"/>
      <c r="AD20" s="1155">
        <v>20</v>
      </c>
    </row>
    <row r="21" ht="24" customHeight="1">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 xml:space="preserve">Наименование системы теплоснабжения</v>
      </c>
      <c r="AB21" s="500"/>
      <c r="AC21" s="500"/>
      <c r="AD21" s="1155">
        <v>23</v>
      </c>
    </row>
    <row r="22" ht="21" customHeight="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 xml:space="preserve">Источник тепловой энергии</v>
      </c>
      <c r="AB22" s="500"/>
      <c r="AC22" s="500"/>
      <c r="AD22" s="1155">
        <v>20</v>
      </c>
    </row>
    <row r="23" ht="96.75" customHeight="1">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 xml:space="preserve">Схема подключения теплопотребляющей установки к коллектору источника тепловой энергии</v>
      </c>
      <c r="AB23" s="500"/>
      <c r="AC23" s="500"/>
      <c r="AD23" s="1155">
        <v>92</v>
      </c>
    </row>
    <row r="24" ht="86.25" customHeight="1">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 xml:space="preserve">Группа потребителей</v>
      </c>
      <c r="AB24" s="500"/>
      <c r="AC24" s="500"/>
      <c r="AD24" s="1155">
        <v>82</v>
      </c>
    </row>
    <row r="25" ht="11.5" customHeight="1">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r="26" ht="11.5" customHeight="1">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r="27" ht="15.75" customHeight="1">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 xml:space="preserve">Добавить вид теплоносителя (параметры теплоносителя)</v>
      </c>
      <c r="AB27" s="500"/>
      <c r="AC27" s="500"/>
      <c r="AD27" s="1155">
        <v>15</v>
      </c>
    </row>
    <row r="28" ht="15.75" customHeight="1">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 xml:space="preserve">Добавить группу потребителей</v>
      </c>
      <c r="AB28" s="500"/>
      <c r="AC28" s="500"/>
      <c r="AD28" s="1155">
        <v>15</v>
      </c>
    </row>
    <row r="29" ht="14.65" customHeight="1">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 xml:space="preserve">Добавить схему подключения</v>
      </c>
      <c r="AB29" s="500"/>
      <c r="AC29" s="500"/>
      <c r="AD29" s="1155">
        <v>14</v>
      </c>
    </row>
    <row r="30" ht="14.65" customHeight="1">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r="31" ht="14.65" customHeight="1">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r="32" ht="14.65" customHeight="1">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r="33" s="1850" customFormat="1" ht="11.5" customHeight="1">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r="34" ht="11.5" customHeight="1">
      <c r="F34" s="1160"/>
      <c r="G34" s="1160"/>
      <c r="H34" s="537"/>
      <c r="I34" s="1155"/>
      <c r="J34" s="1155"/>
      <c r="K34" s="1155"/>
      <c r="Y34" s="1155"/>
      <c r="Z34" s="1155"/>
      <c r="AA34" s="1155"/>
      <c r="AB34" s="1155"/>
      <c r="AC34" s="1155"/>
      <c r="AD34" s="1155">
        <v>11</v>
      </c>
    </row>
    <row r="35" ht="28.5" customHeight="1">
      <c r="H35" s="537"/>
      <c r="L35" s="1288" t="s">
        <v>807</v>
      </c>
      <c r="M35" s="2285" t="s">
        <v>2235</v>
      </c>
      <c r="N35" s="2285"/>
      <c r="O35" s="2285"/>
      <c r="P35" s="2285"/>
      <c r="Q35" s="2285"/>
      <c r="R35" s="2285"/>
      <c r="S35" s="2285"/>
      <c r="T35" s="2285"/>
      <c r="U35" s="2285"/>
      <c r="V35" s="2285"/>
      <c r="W35" s="2285"/>
      <c r="X35" s="2285"/>
      <c r="AD35" s="1155">
        <v>27</v>
      </c>
    </row>
    <row r="36" ht="109.2" customHeight="1">
      <c r="H36" s="537"/>
      <c r="I36" s="1303"/>
      <c r="M36" s="2285" t="s">
        <v>2236</v>
      </c>
      <c r="N36" s="2285"/>
      <c r="O36" s="2285"/>
      <c r="P36" s="2285"/>
      <c r="Q36" s="2285"/>
      <c r="R36" s="2285"/>
      <c r="S36" s="2285"/>
      <c r="T36" s="2285"/>
      <c r="U36" s="2285"/>
      <c r="V36" s="2285"/>
      <c r="W36" s="2285"/>
      <c r="X36" s="2285"/>
      <c r="AD36" s="1155">
        <v>104</v>
      </c>
    </row>
    <row r="37" ht="14.65" customHeight="1">
      <c r="H37" s="537"/>
      <c r="AD37" s="1155">
        <v>14</v>
      </c>
    </row>
    <row r="38" ht="14.65" customHeight="1">
      <c r="H38" s="537"/>
      <c r="AD38" s="1155">
        <v>14</v>
      </c>
    </row>
    <row r="39" ht="14.65" customHeight="1">
      <c r="H39" s="537"/>
      <c r="AD39" s="1155">
        <v>14</v>
      </c>
    </row>
    <row r="40" ht="14.65" customHeight="1">
      <c r="H40" s="537"/>
      <c r="AD40" s="1155">
        <v>14</v>
      </c>
    </row>
    <row r="41" ht="22.5" hidden="1" customHeight="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autoFilter="0" deleteColumns="1" deleteRows="1" formatColumns="0" formatRows="0" insertColumns="1" insertRows="1" sheet="1" sort="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20002-008E-4B76-9AB5-004E001A0083}"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E4008E-00F2-4463-BE47-00E800BE000D}"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C9004B-00FE-40F0-BBF8-002900FC0097}"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3C00F6-00B6-44B9-AB57-00DC00DA00ED}"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defaultRowHeight="11.25" customHeight="1"/>
  <cols>
    <col customWidth="1" hidden="1" min="1" max="1" style="1686" width="15.00390625"/>
    <col customWidth="1" hidden="1" min="2" max="2" style="501" width="15.00390625"/>
    <col customWidth="1" min="3" max="3" style="455" width="3.00390625"/>
    <col customWidth="1" min="4" max="4" style="456" width="6.00390625"/>
    <col customWidth="1" min="5" max="5" style="455" width="52.00390625"/>
    <col customWidth="1" min="6" max="6" style="455" width="48.00390625"/>
    <col customWidth="1" min="7" max="7" style="455" width="121.00390625"/>
    <col customWidth="1" min="8" max="8" style="455" width="8.00390625"/>
    <col customWidth="1" min="9" max="9" style="455" width="64.00390625"/>
    <col hidden="1" min="10" max="10" style="455" width="9.140625"/>
  </cols>
  <sheetData>
    <row r="1" ht="11.25" hidden="1" customHeight="1">
      <c r="A1" s="1686" t="s">
        <v>303</v>
      </c>
      <c r="J1" s="455" t="s">
        <v>14</v>
      </c>
    </row>
    <row r="2" ht="11.25" hidden="1" customHeight="1">
      <c r="J2" s="455">
        <v>0</v>
      </c>
    </row>
    <row r="3" s="477" customFormat="1" ht="11.5" customHeight="1">
      <c r="A3" s="1686"/>
      <c r="B3" s="501"/>
      <c r="D3" s="478"/>
      <c r="J3" s="477">
        <v>11</v>
      </c>
    </row>
    <row r="4" ht="27.300000000000001" customHeight="1">
      <c r="D4" s="2157"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r="5" ht="18" customHeight="1">
      <c r="D5" s="2176" t="str">
        <f>IF(org=0,"Не определено",org)</f>
        <v xml:space="preserve">АО "ДГК"</v>
      </c>
      <c r="E5" s="2176"/>
      <c r="F5" s="2176"/>
      <c r="I5" s="715"/>
      <c r="J5" s="455">
        <v>17</v>
      </c>
    </row>
    <row r="6" s="477" customFormat="1" ht="11.5" customHeight="1">
      <c r="A6" s="1686"/>
      <c r="B6" s="501"/>
      <c r="D6" s="714"/>
      <c r="E6" s="714"/>
      <c r="F6" s="752"/>
      <c r="G6" s="714"/>
      <c r="J6" s="477">
        <v>11</v>
      </c>
    </row>
    <row r="7" ht="11.25" hidden="1" customHeight="1">
      <c r="A7" s="457"/>
      <c r="B7" s="502"/>
      <c r="C7" s="457"/>
      <c r="D7" s="463"/>
      <c r="E7" s="2207"/>
      <c r="F7" s="2207"/>
      <c r="J7" s="455">
        <v>0</v>
      </c>
    </row>
    <row r="8" ht="11.5" customHeight="1">
      <c r="A8" s="457"/>
      <c r="B8" s="502"/>
      <c r="C8" s="457"/>
      <c r="D8" s="2204" t="s">
        <v>304</v>
      </c>
      <c r="E8" s="2205"/>
      <c r="F8" s="2205"/>
      <c r="G8" s="2208" t="s">
        <v>305</v>
      </c>
      <c r="J8" s="455">
        <v>11</v>
      </c>
    </row>
    <row r="9" ht="11.5" customHeight="1">
      <c r="A9" s="457"/>
      <c r="B9" s="502"/>
      <c r="C9" s="457"/>
      <c r="D9" s="472" t="s">
        <v>88</v>
      </c>
      <c r="E9" s="446" t="s">
        <v>306</v>
      </c>
      <c r="F9" s="446" t="s">
        <v>307</v>
      </c>
      <c r="G9" s="2209"/>
      <c r="J9" s="455">
        <v>11</v>
      </c>
    </row>
    <row r="10" ht="12" hidden="1" customHeight="1">
      <c r="A10" s="457"/>
      <c r="B10" s="502"/>
      <c r="C10" s="457"/>
      <c r="D10" s="464"/>
      <c r="E10" s="464"/>
      <c r="F10" s="464"/>
      <c r="G10" s="464"/>
      <c r="J10" s="455">
        <v>0</v>
      </c>
    </row>
    <row r="11" ht="22.5" hidden="1" customHeight="1">
      <c r="A11" s="457"/>
      <c r="B11" s="502"/>
      <c r="C11" s="457"/>
      <c r="D11" s="1009" t="s">
        <v>108</v>
      </c>
      <c r="E11" s="1012" t="s">
        <v>308</v>
      </c>
      <c r="F11" s="1011" t="str">
        <f>IF(region_name="","",region_name)</f>
        <v xml:space="preserve">Приморский край</v>
      </c>
      <c r="G11" s="1012" t="s">
        <v>309</v>
      </c>
      <c r="H11" s="475"/>
      <c r="J11" s="455">
        <v>0</v>
      </c>
    </row>
    <row r="12" ht="22.5" hidden="1" customHeight="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3" t="s">
        <v>310</v>
      </c>
      <c r="G12" s="474"/>
      <c r="H12" s="475"/>
      <c r="J12" s="455">
        <v>0</v>
      </c>
    </row>
    <row r="13" ht="23.25" customHeight="1">
      <c r="A13" s="457"/>
      <c r="B13" s="502"/>
      <c r="C13" s="457"/>
      <c r="D13" s="445" t="s">
        <v>108</v>
      </c>
      <c r="E13" s="442" t="str">
        <f>"Наименование юридического лица"&amp;IF(TEMPLATE_SPHERE="TKO"," (индивидуального предпринимателя)","")</f>
        <v xml:space="preserve">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75"/>
      <c r="J13" s="455">
        <v>22</v>
      </c>
    </row>
    <row r="14" ht="22.5" hidden="1" customHeight="1">
      <c r="A14" s="457"/>
      <c r="B14" s="502"/>
      <c r="C14" s="457"/>
      <c r="D14" s="1009" t="s">
        <v>311</v>
      </c>
      <c r="E14" s="1010" t="s">
        <v>312</v>
      </c>
      <c r="F14" s="1011" t="str">
        <f>IF(inn="","",inn)</f>
        <v>1434031363</v>
      </c>
      <c r="G14" s="1012" t="s">
        <v>313</v>
      </c>
      <c r="H14" s="475"/>
      <c r="J14" s="455">
        <v>0</v>
      </c>
    </row>
    <row r="15" ht="22.5" hidden="1" customHeight="1">
      <c r="A15" s="457"/>
      <c r="B15" s="502"/>
      <c r="C15" s="457"/>
      <c r="D15" s="1009" t="s">
        <v>314</v>
      </c>
      <c r="E15" s="1010" t="s">
        <v>315</v>
      </c>
      <c r="F15" s="1011" t="str">
        <f>IF(kpp="","",kpp)</f>
        <v>253645001</v>
      </c>
      <c r="G15" s="1012" t="s">
        <v>316</v>
      </c>
      <c r="H15" s="475"/>
      <c r="J15" s="455">
        <v>0</v>
      </c>
    </row>
    <row r="16" ht="39" customHeight="1">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5"/>
      <c r="J16" s="455">
        <v>37</v>
      </c>
    </row>
    <row r="17" ht="23.25" customHeight="1">
      <c r="A17" s="457"/>
      <c r="B17" s="502"/>
      <c r="C17" s="457"/>
      <c r="D17" s="445" t="s">
        <v>90</v>
      </c>
      <c r="E17" s="442" t="str">
        <f>"Дата присвоения ОГРН"&amp;IF(TEMPLATE_SPHERE="TKO",""," (ОГРНИП)")</f>
        <v xml:space="preserve">Дата присвоения ОГРН (ОГРНИП)</v>
      </c>
      <c r="F17" s="1732" t="s">
        <v>28</v>
      </c>
      <c r="G17" s="444" t="str">
        <f>"Дата присвоения ОГРН"&amp;IF(TEMPLATE_SPHERE="TKO",""," (ОГРНИП)")&amp;" указывается в виде «ДД.ММ.ГГГГ»."</f>
        <v xml:space="preserve">Дата присвоения ОГРН (ОГРНИП) указывается в виде «ДД.ММ.ГГГГ».</v>
      </c>
      <c r="H17" s="475"/>
      <c r="J17" s="455">
        <v>22</v>
      </c>
    </row>
    <row r="18" ht="71.25" customHeight="1">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r="19" ht="22.5" hidden="1" customHeight="1">
      <c r="A19" s="2202" t="s">
        <v>317</v>
      </c>
      <c r="B19" s="502"/>
      <c r="C19" s="2213"/>
      <c r="D19" s="445" t="str">
        <f>A19</f>
        <v>5.1</v>
      </c>
      <c r="E19" s="442" t="s">
        <v>318</v>
      </c>
      <c r="F19" s="443" t="s">
        <v>310</v>
      </c>
      <c r="G19" s="444" t="s">
        <v>319</v>
      </c>
      <c r="H19" s="475"/>
      <c r="I19" s="852"/>
      <c r="J19" s="455">
        <v>0</v>
      </c>
    </row>
    <row r="20" ht="24" hidden="1" customHeight="1">
      <c r="A20" s="2202"/>
      <c r="B20" s="502"/>
      <c r="C20" s="2213"/>
      <c r="D20" s="440" t="str">
        <f>D19&amp;".1"</f>
        <v>5.1.1</v>
      </c>
      <c r="E20" s="439" t="s">
        <v>320</v>
      </c>
      <c r="F20" s="881" t="s">
        <v>28</v>
      </c>
      <c r="G20" s="474"/>
      <c r="H20" s="475"/>
      <c r="I20" s="852"/>
      <c r="J20" s="455">
        <v>0</v>
      </c>
    </row>
    <row r="21" ht="22.5" hidden="1" customHeight="1">
      <c r="A21" s="2202"/>
      <c r="B21" s="502"/>
      <c r="C21" s="2213"/>
      <c r="D21" s="440" t="str">
        <f>D19&amp;".2"</f>
        <v>5.1.2</v>
      </c>
      <c r="E21" s="439" t="s">
        <v>321</v>
      </c>
      <c r="F21" s="1733" t="s">
        <v>28</v>
      </c>
      <c r="G21" s="444" t="s">
        <v>322</v>
      </c>
      <c r="H21" s="475"/>
      <c r="I21" s="852"/>
      <c r="J21" s="455">
        <v>0</v>
      </c>
    </row>
    <row r="22" ht="22.5" hidden="1" customHeight="1">
      <c r="A22" s="2202"/>
      <c r="B22" s="502"/>
      <c r="C22" s="2213"/>
      <c r="D22" s="440" t="str">
        <f>D19&amp;".3"</f>
        <v>5.1.3</v>
      </c>
      <c r="E22" s="439" t="s">
        <v>323</v>
      </c>
      <c r="F22" s="881" t="s">
        <v>28</v>
      </c>
      <c r="G22" s="474"/>
      <c r="H22" s="475"/>
      <c r="I22" s="852"/>
      <c r="J22" s="455">
        <v>0</v>
      </c>
    </row>
    <row r="23" ht="22.5" hidden="1" customHeight="1">
      <c r="A23" s="2202"/>
      <c r="B23" s="502"/>
      <c r="C23" s="2213"/>
      <c r="D23" s="440" t="str">
        <f>D19&amp;".4"</f>
        <v>5.1.4</v>
      </c>
      <c r="E23" s="439" t="s">
        <v>324</v>
      </c>
      <c r="F23" s="881" t="s">
        <v>28</v>
      </c>
      <c r="G23" s="444" t="s">
        <v>325</v>
      </c>
      <c r="H23" s="475"/>
      <c r="I23" s="852"/>
      <c r="J23" s="455">
        <v>0</v>
      </c>
    </row>
    <row r="24" ht="22.5" hidden="1" customHeight="1">
      <c r="A24" s="1978"/>
      <c r="B24" s="502"/>
      <c r="C24" s="492"/>
      <c r="D24" s="467"/>
      <c r="E24" s="1168" t="s">
        <v>326</v>
      </c>
      <c r="F24" s="468"/>
      <c r="G24" s="469"/>
      <c r="H24" s="475"/>
      <c r="I24" s="852"/>
      <c r="J24" s="455">
        <v>0</v>
      </c>
    </row>
    <row r="25" s="501" customFormat="1" ht="24.75" hidden="1" customHeight="1">
      <c r="A25" s="457"/>
      <c r="B25" s="502"/>
      <c r="C25" s="502"/>
      <c r="D25" s="1006" t="s">
        <v>90</v>
      </c>
      <c r="E25" s="1008" t="s">
        <v>327</v>
      </c>
      <c r="F25" s="1013" t="s">
        <v>310</v>
      </c>
      <c r="G25" s="1008"/>
      <c r="J25" s="501">
        <v>0</v>
      </c>
    </row>
    <row r="26" s="501" customFormat="1" ht="11.25" hidden="1" customHeight="1">
      <c r="A26" s="457"/>
      <c r="B26" s="502"/>
      <c r="C26" s="502"/>
      <c r="D26" s="1006" t="s">
        <v>328</v>
      </c>
      <c r="E26" s="1007" t="s">
        <v>329</v>
      </c>
      <c r="F26" s="1013" t="s">
        <v>310</v>
      </c>
      <c r="G26" s="1008"/>
      <c r="J26" s="501">
        <v>0</v>
      </c>
    </row>
    <row r="27" s="501" customFormat="1" ht="11.25" hidden="1" customHeight="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r="28" s="501" customFormat="1" ht="11.25" hidden="1" customHeight="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r="29" s="501" customFormat="1" ht="11.25" hidden="1" customHeight="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r="30" s="501" customFormat="1" ht="11.25" hidden="1" customHeight="1">
      <c r="A30" s="457"/>
      <c r="B30" s="502"/>
      <c r="C30" s="502"/>
      <c r="D30" s="1006" t="s">
        <v>336</v>
      </c>
      <c r="E30" s="1007" t="s">
        <v>337</v>
      </c>
      <c r="F30" s="1015"/>
      <c r="G30" s="1008"/>
      <c r="J30" s="501">
        <v>0</v>
      </c>
    </row>
    <row r="31" s="501" customFormat="1" ht="11.25" hidden="1" customHeight="1">
      <c r="A31" s="457"/>
      <c r="B31" s="502"/>
      <c r="C31" s="502"/>
      <c r="D31" s="1006" t="s">
        <v>338</v>
      </c>
      <c r="E31" s="1007" t="s">
        <v>339</v>
      </c>
      <c r="F31" s="1015"/>
      <c r="G31" s="1008"/>
      <c r="J31" s="501">
        <v>0</v>
      </c>
    </row>
    <row r="32" s="501" customFormat="1" ht="11.25" hidden="1" customHeight="1">
      <c r="A32" s="457"/>
      <c r="B32" s="502"/>
      <c r="C32" s="502"/>
      <c r="D32" s="1006" t="s">
        <v>340</v>
      </c>
      <c r="E32" s="1007" t="s">
        <v>341</v>
      </c>
      <c r="F32" s="1016"/>
      <c r="G32" s="1008"/>
      <c r="J32" s="501">
        <v>0</v>
      </c>
    </row>
    <row r="33" ht="24" customHeight="1">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3" t="s">
        <v>310</v>
      </c>
      <c r="G33" s="474"/>
      <c r="H33" s="475"/>
      <c r="J33" s="455">
        <v>23</v>
      </c>
    </row>
    <row r="34" ht="23.25" customHeight="1">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75"/>
      <c r="J34" s="455">
        <v>22</v>
      </c>
    </row>
    <row r="35" ht="23.25" customHeight="1">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75"/>
      <c r="J35" s="455">
        <v>22</v>
      </c>
    </row>
    <row r="36" ht="24" customHeight="1">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r="37" ht="35.649999999999999" customHeight="1">
      <c r="A37" s="457"/>
      <c r="B37" s="502"/>
      <c r="C37" s="457"/>
      <c r="D37" s="440">
        <f>D33+1</f>
        <v>7</v>
      </c>
      <c r="E37" s="438"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1"/>
      <c r="G37" s="444" t="s">
        <v>342</v>
      </c>
      <c r="H37" s="475"/>
      <c r="J37" s="455">
        <v>34</v>
      </c>
    </row>
    <row r="38" ht="35.649999999999999" customHeight="1">
      <c r="A38" s="457"/>
      <c r="B38" s="502"/>
      <c r="C38" s="457"/>
      <c r="D38" s="440">
        <f>D37+1</f>
        <v>8</v>
      </c>
      <c r="E38" s="438"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1"/>
      <c r="G38" s="444" t="s">
        <v>342</v>
      </c>
      <c r="H38" s="475"/>
      <c r="J38" s="455">
        <v>34</v>
      </c>
    </row>
    <row r="39" ht="23.25" customHeight="1">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r="40" ht="22.5" hidden="1" customHeight="1">
      <c r="A40" s="457"/>
      <c r="B40" s="502"/>
      <c r="C40" s="457"/>
      <c r="D40" s="440" t="str">
        <f>D39&amp;".0"</f>
        <v>9.0</v>
      </c>
      <c r="E40" s="1605"/>
      <c r="F40" s="881"/>
      <c r="G40" s="2211"/>
      <c r="H40" s="475"/>
      <c r="J40" s="455">
        <v>0</v>
      </c>
    </row>
    <row r="41" ht="23.25" customHeight="1">
      <c r="A41" s="457"/>
      <c r="B41" s="457"/>
      <c r="C41" s="1688"/>
      <c r="D41" s="440" t="str">
        <f>D39&amp;".1"</f>
        <v>9.1</v>
      </c>
      <c r="E41" s="860"/>
      <c r="F41" s="861"/>
      <c r="G41" s="2211"/>
      <c r="H41" s="475"/>
      <c r="J41" s="455">
        <v>22</v>
      </c>
    </row>
    <row r="42" ht="15.75" customHeight="1">
      <c r="A42" s="457"/>
      <c r="B42" s="502"/>
      <c r="C42" s="457"/>
      <c r="D42" s="467"/>
      <c r="E42" s="415" t="s">
        <v>343</v>
      </c>
      <c r="F42" s="469"/>
      <c r="G42" s="2212"/>
      <c r="H42" s="476"/>
      <c r="J42" s="455">
        <v>15</v>
      </c>
    </row>
    <row r="43" ht="27.300000000000001" customHeight="1">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r="44" ht="23.25" customHeight="1">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78"/>
      <c r="G44" s="474" t="s">
        <v>344</v>
      </c>
      <c r="H44" s="475"/>
      <c r="J44" s="455">
        <v>22</v>
      </c>
    </row>
    <row r="45" ht="23.25" customHeight="1">
      <c r="A45" s="457"/>
      <c r="B45" s="502"/>
      <c r="C45" s="457"/>
      <c r="D45" s="440">
        <f>D44+1</f>
        <v>12</v>
      </c>
      <c r="E45" s="438" t="s">
        <v>345</v>
      </c>
      <c r="F45" s="443" t="s">
        <v>310</v>
      </c>
      <c r="G45" s="437" t="str">
        <f>IF(TEMPLATE_SPHERE="TKO","Указывается режим работы организации.","")</f>
        <v/>
      </c>
      <c r="H45" s="475"/>
      <c r="J45" s="455">
        <v>22</v>
      </c>
    </row>
    <row r="46" ht="24" customHeight="1">
      <c r="A46" s="457"/>
      <c r="B46" s="502"/>
      <c r="C46" s="457"/>
      <c r="D46" s="440" t="str">
        <f>D45&amp;".1"</f>
        <v>12.1</v>
      </c>
      <c r="E46" s="442" t="str">
        <f>"режим работы регулируемой организации"&amp;IF(TEMPLATE_SPHERE="HEAT",", ЕТО, ТО","")</f>
        <v xml:space="preserve">режим работы регулируемой организации, ЕТО, ТО</v>
      </c>
      <c r="F46" s="1684"/>
      <c r="G46" s="437" t="s">
        <v>346</v>
      </c>
      <c r="H46" s="475"/>
      <c r="J46" s="455">
        <v>23</v>
      </c>
    </row>
    <row r="47" ht="24" customHeight="1">
      <c r="A47" s="2202"/>
      <c r="B47" s="502"/>
      <c r="C47" s="492"/>
      <c r="D47" s="440" t="str">
        <f>D45&amp;".2"</f>
        <v>12.2</v>
      </c>
      <c r="E47" s="442" t="s">
        <v>347</v>
      </c>
      <c r="F47" s="490"/>
      <c r="G47" s="437" t="s">
        <v>348</v>
      </c>
      <c r="H47" s="475"/>
      <c r="J47" s="455">
        <v>23</v>
      </c>
    </row>
    <row r="48" ht="24" customHeight="1">
      <c r="A48" s="2202"/>
      <c r="B48" s="502"/>
      <c r="C48" s="492"/>
      <c r="D48" s="440" t="str">
        <f>D45&amp;".3"</f>
        <v>12.3</v>
      </c>
      <c r="E48" s="442" t="s">
        <v>349</v>
      </c>
      <c r="F48" s="490"/>
      <c r="G48" s="437" t="s">
        <v>350</v>
      </c>
      <c r="H48" s="475"/>
      <c r="J48" s="455">
        <v>23</v>
      </c>
    </row>
    <row r="49" ht="24" customHeight="1">
      <c r="A49" s="2202"/>
      <c r="B49" s="502"/>
      <c r="C49" s="492"/>
      <c r="D49" s="440" t="str">
        <f>IF(TEMPLATE_SPHERE="TKO",D45&amp;".0",D45&amp;".4")</f>
        <v>12.4</v>
      </c>
      <c r="E49" s="436" t="s">
        <v>351</v>
      </c>
      <c r="F49" s="1685"/>
      <c r="G49" s="1762" t="s">
        <v>352</v>
      </c>
      <c r="H49" s="475"/>
      <c r="J49" s="455">
        <v>23</v>
      </c>
    </row>
    <row r="50" ht="24" customHeight="1">
      <c r="A50" s="457"/>
      <c r="B50" s="502"/>
      <c r="C50" s="457"/>
      <c r="D50" s="467"/>
      <c r="E50" s="415" t="s">
        <v>353</v>
      </c>
      <c r="F50" s="468"/>
      <c r="G50" s="1762" t="s">
        <v>354</v>
      </c>
      <c r="H50" s="476"/>
      <c r="J50" s="455">
        <v>23</v>
      </c>
    </row>
    <row r="51" ht="24" customHeight="1">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r="52" ht="11.5" customHeight="1">
      <c r="A52" s="457"/>
      <c r="B52" s="502"/>
      <c r="C52" s="457"/>
      <c r="J52" s="455">
        <v>11</v>
      </c>
    </row>
    <row r="53" s="460" customFormat="1" ht="31.5" customHeight="1">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r="54" s="460" customFormat="1" ht="42" customHeight="1">
      <c r="A54" s="457"/>
      <c r="B54" s="502"/>
      <c r="C54" s="2203"/>
      <c r="D54" s="2206"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r="55" ht="11.5" customHeight="1">
      <c r="D55" s="458"/>
      <c r="E55" s="459"/>
      <c r="F55" s="459"/>
      <c r="G55" s="459"/>
      <c r="J55" s="455">
        <v>11</v>
      </c>
    </row>
    <row r="56" ht="28.5" customHeight="1">
      <c r="D56" s="461"/>
      <c r="E56" s="458"/>
      <c r="F56" s="470"/>
      <c r="G56" s="470"/>
      <c r="J56" s="455">
        <v>27</v>
      </c>
    </row>
    <row r="57" ht="11.5" customHeight="1">
      <c r="D57" s="458"/>
      <c r="E57" s="458"/>
      <c r="F57" s="459"/>
      <c r="G57" s="459"/>
      <c r="J57" s="455">
        <v>11</v>
      </c>
    </row>
    <row r="58" ht="40.899999999999999" customHeight="1">
      <c r="D58" s="462"/>
      <c r="E58" s="471"/>
      <c r="F58" s="471"/>
      <c r="G58" s="471"/>
      <c r="J58" s="455">
        <v>39</v>
      </c>
    </row>
    <row r="59" ht="28.5" customHeight="1">
      <c r="D59" s="462"/>
      <c r="E59" s="471"/>
      <c r="F59" s="471"/>
      <c r="G59" s="471"/>
      <c r="J59" s="455">
        <v>27</v>
      </c>
    </row>
    <row r="60" ht="11.25" hidden="1" customHeight="1">
      <c r="A60" s="1686" t="s">
        <v>82</v>
      </c>
      <c r="B60" s="501">
        <v>0</v>
      </c>
      <c r="C60" s="455">
        <v>3</v>
      </c>
      <c r="D60" s="456">
        <v>6</v>
      </c>
      <c r="E60" s="455">
        <v>52</v>
      </c>
      <c r="F60" s="455">
        <v>48</v>
      </c>
      <c r="G60" s="455">
        <v>121</v>
      </c>
      <c r="H60" s="455">
        <v>8</v>
      </c>
      <c r="I60" s="455">
        <v>64</v>
      </c>
      <c r="J60" s="455">
        <v>11</v>
      </c>
    </row>
  </sheetData>
  <sheetProtection autoFilter="0" deleteColumns="1" deleteRows="1" formatColumns="0" formatRows="0" insertColumns="1" insertRows="1" sheet="1" sort="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C0023-00F0-4221-8661-001600FA0004}"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AD00E1-00BF-42AB-8E1D-00E5000400ED}"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6"/>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4" width="10.57421875"/>
    <col customWidth="1" min="2" max="2" style="64" width="8.7109375"/>
    <col customWidth="1" min="3" max="3" style="64" width="18.140625"/>
    <col customWidth="1" min="4" max="4" style="64" width="12.57421875"/>
  </cols>
  <sheetData>
    <row r="1" ht="11.25" customHeight="1">
      <c r="A1" s="2615" t="s">
        <v>2237</v>
      </c>
      <c r="B1" s="2616" t="s">
        <v>2238</v>
      </c>
      <c r="C1" s="2617" t="s">
        <v>2239</v>
      </c>
      <c r="D1" s="2618"/>
      <c r="E1" s="836" t="s">
        <v>2240</v>
      </c>
    </row>
    <row r="2" ht="11.25" customHeight="1">
      <c r="A2" s="2619"/>
      <c r="B2" s="765" t="s">
        <v>26</v>
      </c>
      <c r="C2" s="753"/>
      <c r="D2" s="764"/>
      <c r="E2" s="836"/>
    </row>
    <row r="3" ht="11.25" customHeight="1">
      <c r="A3" s="2620"/>
      <c r="B3" s="2621" t="s">
        <v>33</v>
      </c>
      <c r="C3" s="753"/>
      <c r="D3" s="764"/>
      <c r="E3" s="836"/>
    </row>
    <row r="4" ht="11.25" customHeight="1">
      <c r="A4" s="2622"/>
      <c r="B4" s="766" t="s">
        <v>1666</v>
      </c>
      <c r="C4" s="753"/>
      <c r="D4" s="764"/>
      <c r="E4" s="836"/>
    </row>
    <row r="5" ht="11.25" customHeight="1">
      <c r="A5" s="2623"/>
      <c r="B5" s="766" t="s">
        <v>1661</v>
      </c>
      <c r="C5" s="2624" t="s">
        <v>2004</v>
      </c>
      <c r="D5" s="2625" t="s">
        <v>2241</v>
      </c>
      <c r="E5" s="836"/>
    </row>
    <row r="6" s="1850" customFormat="1" ht="11.25" customHeight="1">
      <c r="A6" s="2626"/>
      <c r="B6" s="766" t="s">
        <v>1670</v>
      </c>
      <c r="C6" s="753"/>
      <c r="D6" s="764"/>
      <c r="E6" s="836"/>
    </row>
    <row r="7" ht="11.25" customHeight="1">
      <c r="A7" s="2627"/>
      <c r="B7" s="766" t="s">
        <v>1677</v>
      </c>
      <c r="C7" s="753"/>
      <c r="D7" s="764"/>
      <c r="E7" s="836"/>
    </row>
    <row r="8" ht="11.25" customHeight="1">
      <c r="A8" s="756"/>
      <c r="B8" s="766" t="s">
        <v>1673</v>
      </c>
      <c r="C8" s="753"/>
      <c r="D8" s="764"/>
      <c r="E8" s="836"/>
    </row>
  </sheetData>
  <sheetProtection autoFilter="0" deleteColumns="1" deleteRows="1" formatColumns="0" formatRows="0" insertColumns="1" insertRows="1" sheet="1" sort="1"/>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0" width="9.140625"/>
    <col customWidth="1" min="3" max="3" style="1850" width="20.7109375"/>
    <col customWidth="1" min="4" max="4" style="1850" width="25.140625"/>
    <col min="5" max="9" style="1850" width="9.140625"/>
  </cols>
  <sheetData>
    <row r="1" ht="11.25" customHeight="1">
      <c r="A1" s="68" t="s">
        <v>2242</v>
      </c>
      <c r="B1" s="68" t="s">
        <v>2243</v>
      </c>
      <c r="C1" s="68" t="s">
        <v>2244</v>
      </c>
      <c r="D1" s="68" t="s">
        <v>2245</v>
      </c>
      <c r="E1" s="68" t="s">
        <v>2246</v>
      </c>
      <c r="F1" s="68" t="s">
        <v>2247</v>
      </c>
      <c r="G1" s="68" t="s">
        <v>2248</v>
      </c>
      <c r="H1" s="68" t="s">
        <v>2249</v>
      </c>
      <c r="I1" s="68" t="s">
        <v>2250</v>
      </c>
    </row>
    <row r="2" ht="11.25" customHeight="1">
      <c r="A2" s="1850" t="s">
        <v>2251</v>
      </c>
      <c r="B2" s="1850" t="s">
        <v>16</v>
      </c>
      <c r="C2" s="1850" t="s">
        <v>28</v>
      </c>
      <c r="D2" s="1850" t="s">
        <v>2252</v>
      </c>
      <c r="E2" s="1850" t="s">
        <v>2253</v>
      </c>
      <c r="F2" s="1850" t="s">
        <v>2254</v>
      </c>
      <c r="G2" s="1850" t="s">
        <v>28</v>
      </c>
      <c r="H2" s="1850" t="s">
        <v>28</v>
      </c>
      <c r="I2" s="1850" t="s">
        <v>811</v>
      </c>
    </row>
    <row r="3" ht="11.25" customHeight="1">
      <c r="A3" s="1850" t="s">
        <v>2251</v>
      </c>
      <c r="B3" s="1850" t="s">
        <v>16</v>
      </c>
      <c r="C3" s="1850" t="s">
        <v>2255</v>
      </c>
      <c r="D3" s="1850" t="s">
        <v>2256</v>
      </c>
      <c r="E3" s="1850" t="s">
        <v>2257</v>
      </c>
      <c r="F3" s="1850" t="s">
        <v>2258</v>
      </c>
      <c r="G3" s="1850" t="s">
        <v>28</v>
      </c>
      <c r="H3" s="1850" t="s">
        <v>28</v>
      </c>
      <c r="I3" s="1850" t="s">
        <v>811</v>
      </c>
    </row>
    <row r="4" ht="11.25" customHeight="1">
      <c r="A4" s="1850" t="s">
        <v>2251</v>
      </c>
      <c r="B4" s="1850" t="s">
        <v>16</v>
      </c>
      <c r="C4" s="1850" t="s">
        <v>2259</v>
      </c>
      <c r="D4" s="1850" t="s">
        <v>2260</v>
      </c>
      <c r="E4" s="1850" t="s">
        <v>2261</v>
      </c>
      <c r="F4" s="1850" t="s">
        <v>2262</v>
      </c>
      <c r="G4" s="1850" t="s">
        <v>28</v>
      </c>
      <c r="H4" s="1850" t="s">
        <v>28</v>
      </c>
      <c r="I4" s="1850" t="s">
        <v>811</v>
      </c>
    </row>
    <row r="5" ht="11.25" customHeight="1">
      <c r="A5" s="1850" t="s">
        <v>2251</v>
      </c>
      <c r="B5" s="1850" t="s">
        <v>16</v>
      </c>
      <c r="C5" s="1850" t="s">
        <v>2263</v>
      </c>
      <c r="D5" s="1850" t="s">
        <v>2264</v>
      </c>
      <c r="E5" s="1850" t="s">
        <v>2265</v>
      </c>
      <c r="F5" s="1850" t="s">
        <v>2266</v>
      </c>
      <c r="G5" s="1850" t="s">
        <v>2267</v>
      </c>
      <c r="H5" s="1850" t="s">
        <v>28</v>
      </c>
      <c r="I5" s="1850" t="s">
        <v>811</v>
      </c>
    </row>
    <row r="6" ht="11.25" customHeight="1">
      <c r="A6" s="1850" t="s">
        <v>2251</v>
      </c>
      <c r="B6" s="1850" t="s">
        <v>16</v>
      </c>
      <c r="C6" s="1850" t="s">
        <v>2268</v>
      </c>
      <c r="D6" s="1850" t="s">
        <v>2269</v>
      </c>
      <c r="E6" s="1850" t="s">
        <v>2270</v>
      </c>
      <c r="F6" s="1850" t="s">
        <v>2271</v>
      </c>
      <c r="G6" s="1850" t="s">
        <v>28</v>
      </c>
      <c r="H6" s="1850" t="s">
        <v>28</v>
      </c>
      <c r="I6" s="1850" t="s">
        <v>811</v>
      </c>
    </row>
    <row r="7" ht="11.25" customHeight="1">
      <c r="A7" s="1850" t="s">
        <v>2251</v>
      </c>
      <c r="B7" s="1850" t="s">
        <v>16</v>
      </c>
      <c r="C7" s="1850" t="s">
        <v>13</v>
      </c>
      <c r="D7" s="1850" t="s">
        <v>46</v>
      </c>
      <c r="E7" s="1850" t="s">
        <v>49</v>
      </c>
      <c r="F7" s="1850" t="s">
        <v>51</v>
      </c>
      <c r="G7" s="1850" t="s">
        <v>28</v>
      </c>
      <c r="H7" s="1850" t="s">
        <v>28</v>
      </c>
      <c r="I7" s="1850" t="s">
        <v>811</v>
      </c>
    </row>
    <row r="8" ht="11.25" customHeight="1">
      <c r="A8" s="1850" t="s">
        <v>2251</v>
      </c>
      <c r="B8" s="1850" t="s">
        <v>16</v>
      </c>
      <c r="C8" s="1850" t="s">
        <v>2272</v>
      </c>
      <c r="D8" s="1850" t="s">
        <v>46</v>
      </c>
      <c r="E8" s="1850" t="s">
        <v>49</v>
      </c>
      <c r="F8" s="1850" t="s">
        <v>2273</v>
      </c>
      <c r="G8" s="1850" t="s">
        <v>2274</v>
      </c>
      <c r="H8" s="1850" t="s">
        <v>28</v>
      </c>
      <c r="I8" s="1850" t="s">
        <v>811</v>
      </c>
    </row>
    <row r="9" ht="11.25" customHeight="1">
      <c r="A9" s="1850" t="s">
        <v>2251</v>
      </c>
      <c r="B9" s="1850" t="s">
        <v>16</v>
      </c>
      <c r="C9" s="1850" t="s">
        <v>2275</v>
      </c>
      <c r="D9" s="1850" t="s">
        <v>2276</v>
      </c>
      <c r="E9" s="1850" t="s">
        <v>49</v>
      </c>
      <c r="F9" s="1850" t="s">
        <v>2277</v>
      </c>
      <c r="G9" s="1850" t="s">
        <v>28</v>
      </c>
      <c r="H9" s="1850" t="s">
        <v>28</v>
      </c>
      <c r="I9" s="1850" t="s">
        <v>811</v>
      </c>
    </row>
    <row r="10" ht="11.25" customHeight="1">
      <c r="A10" s="1850" t="s">
        <v>2251</v>
      </c>
      <c r="B10" s="1850" t="s">
        <v>16</v>
      </c>
      <c r="C10" s="1850" t="s">
        <v>2278</v>
      </c>
      <c r="D10" s="1850" t="s">
        <v>2279</v>
      </c>
      <c r="E10" s="1850" t="s">
        <v>49</v>
      </c>
      <c r="F10" s="1850" t="s">
        <v>2280</v>
      </c>
      <c r="G10" s="1850" t="s">
        <v>28</v>
      </c>
      <c r="H10" s="1850" t="s">
        <v>28</v>
      </c>
      <c r="I10" s="1850" t="s">
        <v>811</v>
      </c>
    </row>
    <row r="11" ht="11.25" customHeight="1">
      <c r="A11" s="1850" t="s">
        <v>2251</v>
      </c>
      <c r="B11" s="1850" t="s">
        <v>16</v>
      </c>
      <c r="C11" s="1850" t="s">
        <v>2281</v>
      </c>
      <c r="D11" s="1850" t="s">
        <v>2282</v>
      </c>
      <c r="E11" s="1850" t="s">
        <v>2283</v>
      </c>
      <c r="F11" s="1850" t="s">
        <v>2284</v>
      </c>
      <c r="G11" s="1850" t="s">
        <v>28</v>
      </c>
      <c r="H11" s="1850" t="s">
        <v>28</v>
      </c>
      <c r="I11" s="1850" t="s">
        <v>811</v>
      </c>
    </row>
    <row r="12" ht="11.25" customHeight="1">
      <c r="A12" s="1850" t="s">
        <v>2251</v>
      </c>
      <c r="B12" s="1850" t="s">
        <v>16</v>
      </c>
      <c r="C12" s="1850" t="s">
        <v>2285</v>
      </c>
      <c r="D12" s="1850" t="s">
        <v>2286</v>
      </c>
      <c r="E12" s="1850" t="s">
        <v>2287</v>
      </c>
      <c r="F12" s="1850" t="s">
        <v>2288</v>
      </c>
      <c r="G12" s="1850" t="s">
        <v>28</v>
      </c>
      <c r="H12" s="1850" t="s">
        <v>28</v>
      </c>
      <c r="I12" s="1850" t="s">
        <v>811</v>
      </c>
    </row>
    <row r="13" ht="11.25" customHeight="1">
      <c r="A13" s="1850" t="s">
        <v>2251</v>
      </c>
      <c r="B13" s="1850" t="s">
        <v>16</v>
      </c>
      <c r="C13" s="1850" t="s">
        <v>2289</v>
      </c>
      <c r="D13" s="1850" t="s">
        <v>2290</v>
      </c>
      <c r="E13" s="1850" t="s">
        <v>2291</v>
      </c>
      <c r="F13" s="1850" t="s">
        <v>2292</v>
      </c>
      <c r="G13" s="1850" t="s">
        <v>28</v>
      </c>
      <c r="H13" s="1850" t="s">
        <v>28</v>
      </c>
      <c r="I13" s="1850" t="s">
        <v>811</v>
      </c>
    </row>
    <row r="14" ht="11.25" customHeight="1">
      <c r="A14" s="1850" t="s">
        <v>2251</v>
      </c>
      <c r="B14" s="1850" t="s">
        <v>16</v>
      </c>
      <c r="C14" s="1850" t="s">
        <v>2293</v>
      </c>
      <c r="D14" s="1850" t="s">
        <v>2294</v>
      </c>
      <c r="E14" s="1850" t="s">
        <v>2295</v>
      </c>
      <c r="F14" s="1850" t="s">
        <v>2296</v>
      </c>
      <c r="G14" s="1850" t="s">
        <v>28</v>
      </c>
      <c r="H14" s="1850" t="s">
        <v>28</v>
      </c>
      <c r="I14" s="1850" t="s">
        <v>811</v>
      </c>
    </row>
    <row r="15" ht="11.25" customHeight="1">
      <c r="A15" s="1850" t="s">
        <v>2251</v>
      </c>
      <c r="B15" s="1850" t="s">
        <v>16</v>
      </c>
      <c r="C15" s="1850" t="s">
        <v>2297</v>
      </c>
      <c r="D15" s="1850" t="s">
        <v>2298</v>
      </c>
      <c r="E15" s="1850" t="s">
        <v>2299</v>
      </c>
      <c r="F15" s="1850" t="s">
        <v>2300</v>
      </c>
      <c r="G15" s="1850" t="s">
        <v>2301</v>
      </c>
      <c r="H15" s="1850" t="s">
        <v>28</v>
      </c>
      <c r="I15" s="1850" t="s">
        <v>811</v>
      </c>
    </row>
    <row r="16" ht="11.25" customHeight="1">
      <c r="A16" s="1850" t="s">
        <v>2251</v>
      </c>
      <c r="B16" s="1850" t="s">
        <v>16</v>
      </c>
      <c r="C16" s="1850" t="s">
        <v>2302</v>
      </c>
      <c r="D16" s="1850" t="s">
        <v>2303</v>
      </c>
      <c r="E16" s="1850" t="s">
        <v>2304</v>
      </c>
      <c r="F16" s="1850" t="s">
        <v>2262</v>
      </c>
      <c r="G16" s="1850" t="s">
        <v>28</v>
      </c>
      <c r="H16" s="1850" t="s">
        <v>28</v>
      </c>
      <c r="I16" s="1850" t="s">
        <v>811</v>
      </c>
    </row>
    <row r="17" ht="11.25" customHeight="1">
      <c r="A17" s="1850" t="s">
        <v>2251</v>
      </c>
      <c r="B17" s="1850" t="s">
        <v>16</v>
      </c>
      <c r="C17" s="1850" t="s">
        <v>2305</v>
      </c>
      <c r="D17" s="1850" t="s">
        <v>2306</v>
      </c>
      <c r="E17" s="1850" t="s">
        <v>2307</v>
      </c>
      <c r="F17" s="1850" t="s">
        <v>2308</v>
      </c>
      <c r="G17" s="1850" t="s">
        <v>28</v>
      </c>
      <c r="H17" s="1850" t="s">
        <v>28</v>
      </c>
      <c r="I17" s="1850" t="s">
        <v>811</v>
      </c>
    </row>
    <row r="18" ht="11.25" customHeight="1">
      <c r="A18" s="1850" t="s">
        <v>2251</v>
      </c>
      <c r="B18" s="1850" t="s">
        <v>16</v>
      </c>
      <c r="C18" s="1850" t="s">
        <v>2309</v>
      </c>
      <c r="D18" s="1850" t="s">
        <v>2310</v>
      </c>
      <c r="E18" s="1850" t="s">
        <v>2311</v>
      </c>
      <c r="F18" s="1850" t="s">
        <v>2312</v>
      </c>
      <c r="G18" s="1850" t="s">
        <v>2313</v>
      </c>
      <c r="H18" s="1850" t="s">
        <v>28</v>
      </c>
      <c r="I18" s="1850" t="s">
        <v>811</v>
      </c>
    </row>
    <row r="19" ht="11.25" customHeight="1">
      <c r="A19" s="1850" t="s">
        <v>2251</v>
      </c>
      <c r="B19" s="1850" t="s">
        <v>16</v>
      </c>
      <c r="C19" s="1850" t="s">
        <v>2314</v>
      </c>
      <c r="D19" s="1850" t="s">
        <v>2315</v>
      </c>
      <c r="E19" s="1850" t="s">
        <v>2316</v>
      </c>
      <c r="F19" s="1850" t="s">
        <v>2317</v>
      </c>
      <c r="G19" s="1850" t="s">
        <v>2318</v>
      </c>
      <c r="H19" s="1850" t="s">
        <v>28</v>
      </c>
      <c r="I19" s="1850" t="s">
        <v>811</v>
      </c>
    </row>
    <row r="20" ht="11.25" customHeight="1">
      <c r="A20" s="1850" t="s">
        <v>2251</v>
      </c>
      <c r="B20" s="1850" t="s">
        <v>16</v>
      </c>
      <c r="C20" s="1850" t="s">
        <v>2319</v>
      </c>
      <c r="D20" s="1850" t="s">
        <v>2320</v>
      </c>
      <c r="E20" s="1850" t="s">
        <v>2321</v>
      </c>
      <c r="F20" s="1850" t="s">
        <v>2284</v>
      </c>
      <c r="G20" s="1850" t="s">
        <v>28</v>
      </c>
      <c r="H20" s="1850" t="s">
        <v>28</v>
      </c>
      <c r="I20" s="1850" t="s">
        <v>811</v>
      </c>
    </row>
    <row r="21" ht="11.25" customHeight="1">
      <c r="A21" s="1850" t="s">
        <v>2251</v>
      </c>
      <c r="B21" s="1850" t="s">
        <v>16</v>
      </c>
      <c r="C21" s="1850" t="s">
        <v>2322</v>
      </c>
      <c r="D21" s="1850" t="s">
        <v>2323</v>
      </c>
      <c r="E21" s="1850" t="s">
        <v>2324</v>
      </c>
      <c r="F21" s="1850" t="s">
        <v>2325</v>
      </c>
      <c r="G21" s="1850" t="s">
        <v>28</v>
      </c>
      <c r="H21" s="1850" t="s">
        <v>28</v>
      </c>
      <c r="I21" s="1850" t="s">
        <v>811</v>
      </c>
    </row>
    <row r="22" ht="11.25" customHeight="1">
      <c r="A22" s="1850" t="s">
        <v>2251</v>
      </c>
      <c r="B22" s="1850" t="s">
        <v>16</v>
      </c>
      <c r="C22" s="1850" t="s">
        <v>2326</v>
      </c>
      <c r="D22" s="1850" t="s">
        <v>2327</v>
      </c>
      <c r="E22" s="1850" t="s">
        <v>2328</v>
      </c>
      <c r="F22" s="1850" t="s">
        <v>2296</v>
      </c>
      <c r="G22" s="1850" t="s">
        <v>2329</v>
      </c>
      <c r="H22" s="1850" t="s">
        <v>28</v>
      </c>
      <c r="I22" s="1850" t="s">
        <v>811</v>
      </c>
    </row>
    <row r="23" ht="11.25" customHeight="1">
      <c r="A23" s="1850" t="s">
        <v>2251</v>
      </c>
      <c r="B23" s="1850" t="s">
        <v>16</v>
      </c>
      <c r="C23" s="1850" t="s">
        <v>2330</v>
      </c>
      <c r="D23" s="1850" t="s">
        <v>2331</v>
      </c>
      <c r="E23" s="1850" t="s">
        <v>2332</v>
      </c>
      <c r="F23" s="1850" t="s">
        <v>2333</v>
      </c>
      <c r="G23" s="1850" t="s">
        <v>28</v>
      </c>
      <c r="H23" s="1850" t="s">
        <v>28</v>
      </c>
      <c r="I23" s="1850" t="s">
        <v>811</v>
      </c>
    </row>
    <row r="24" ht="11.25" customHeight="1">
      <c r="A24" s="1850" t="s">
        <v>2251</v>
      </c>
      <c r="B24" s="1850" t="s">
        <v>16</v>
      </c>
      <c r="C24" s="1850" t="s">
        <v>2334</v>
      </c>
      <c r="D24" s="1850" t="s">
        <v>2335</v>
      </c>
      <c r="E24" s="1850" t="s">
        <v>2336</v>
      </c>
      <c r="F24" s="1850" t="s">
        <v>2254</v>
      </c>
      <c r="G24" s="1850" t="s">
        <v>2337</v>
      </c>
      <c r="H24" s="1850" t="s">
        <v>28</v>
      </c>
      <c r="I24" s="1850" t="s">
        <v>811</v>
      </c>
    </row>
    <row r="25" ht="11.25" customHeight="1">
      <c r="A25" s="1850" t="s">
        <v>2251</v>
      </c>
      <c r="B25" s="1850" t="s">
        <v>16</v>
      </c>
      <c r="C25" s="1850" t="s">
        <v>2338</v>
      </c>
      <c r="D25" s="1850" t="s">
        <v>2339</v>
      </c>
      <c r="E25" s="1850" t="s">
        <v>2340</v>
      </c>
      <c r="F25" s="1850" t="s">
        <v>2341</v>
      </c>
      <c r="G25" s="1850" t="s">
        <v>28</v>
      </c>
      <c r="H25" s="1850" t="s">
        <v>28</v>
      </c>
      <c r="I25" s="1850" t="s">
        <v>811</v>
      </c>
    </row>
    <row r="26" ht="11.25" customHeight="1">
      <c r="A26" s="1850" t="s">
        <v>2251</v>
      </c>
      <c r="B26" s="1850" t="s">
        <v>16</v>
      </c>
      <c r="C26" s="1850" t="s">
        <v>2342</v>
      </c>
      <c r="D26" s="1850" t="s">
        <v>2343</v>
      </c>
      <c r="E26" s="1850" t="s">
        <v>2344</v>
      </c>
      <c r="F26" s="1850" t="s">
        <v>2296</v>
      </c>
      <c r="G26" s="1850" t="s">
        <v>28</v>
      </c>
      <c r="H26" s="1850" t="s">
        <v>28</v>
      </c>
      <c r="I26" s="1850" t="s">
        <v>811</v>
      </c>
    </row>
    <row r="27" ht="11.25" customHeight="1">
      <c r="A27" s="1850" t="s">
        <v>2251</v>
      </c>
      <c r="B27" s="1850" t="s">
        <v>16</v>
      </c>
      <c r="C27" s="1850" t="s">
        <v>2345</v>
      </c>
      <c r="D27" s="1850" t="s">
        <v>2346</v>
      </c>
      <c r="E27" s="1850" t="s">
        <v>2347</v>
      </c>
      <c r="F27" s="1850" t="s">
        <v>2254</v>
      </c>
      <c r="G27" s="1850" t="s">
        <v>28</v>
      </c>
      <c r="H27" s="1850" t="s">
        <v>28</v>
      </c>
      <c r="I27" s="1850" t="s">
        <v>811</v>
      </c>
    </row>
    <row r="28" ht="11.25" customHeight="1">
      <c r="A28" s="1850" t="s">
        <v>2251</v>
      </c>
      <c r="B28" s="1850" t="s">
        <v>16</v>
      </c>
      <c r="C28" s="1850" t="s">
        <v>2348</v>
      </c>
      <c r="D28" s="1850" t="s">
        <v>2349</v>
      </c>
      <c r="E28" s="1850" t="s">
        <v>2350</v>
      </c>
      <c r="F28" s="1850" t="s">
        <v>2351</v>
      </c>
      <c r="G28" s="1850" t="s">
        <v>28</v>
      </c>
      <c r="H28" s="1850" t="s">
        <v>28</v>
      </c>
      <c r="I28" s="1850" t="s">
        <v>811</v>
      </c>
    </row>
    <row r="29" ht="11.25" customHeight="1">
      <c r="A29" s="1850" t="s">
        <v>2251</v>
      </c>
      <c r="B29" s="1850" t="s">
        <v>16</v>
      </c>
      <c r="C29" s="1850" t="s">
        <v>2352</v>
      </c>
      <c r="D29" s="1850" t="s">
        <v>2353</v>
      </c>
      <c r="E29" s="1850" t="s">
        <v>2354</v>
      </c>
      <c r="F29" s="1850" t="s">
        <v>2355</v>
      </c>
      <c r="G29" s="1850" t="s">
        <v>28</v>
      </c>
      <c r="H29" s="1850" t="s">
        <v>28</v>
      </c>
      <c r="I29" s="1850" t="s">
        <v>811</v>
      </c>
    </row>
    <row r="30" ht="11.25" customHeight="1">
      <c r="A30" s="1850" t="s">
        <v>2251</v>
      </c>
      <c r="B30" s="1850" t="s">
        <v>16</v>
      </c>
      <c r="C30" s="1850" t="s">
        <v>2356</v>
      </c>
      <c r="D30" s="1850" t="s">
        <v>2357</v>
      </c>
      <c r="E30" s="1850" t="s">
        <v>2354</v>
      </c>
      <c r="F30" s="1850" t="s">
        <v>2358</v>
      </c>
      <c r="G30" s="1850" t="s">
        <v>28</v>
      </c>
      <c r="H30" s="1850" t="s">
        <v>28</v>
      </c>
      <c r="I30" s="1850" t="s">
        <v>811</v>
      </c>
    </row>
    <row r="31" ht="11.25" customHeight="1">
      <c r="A31" s="1850" t="s">
        <v>2251</v>
      </c>
      <c r="B31" s="1850" t="s">
        <v>16</v>
      </c>
      <c r="C31" s="1850" t="s">
        <v>2359</v>
      </c>
      <c r="D31" s="1850" t="s">
        <v>2360</v>
      </c>
      <c r="E31" s="1850" t="s">
        <v>2361</v>
      </c>
      <c r="F31" s="1850" t="s">
        <v>2362</v>
      </c>
      <c r="G31" s="1850" t="s">
        <v>28</v>
      </c>
      <c r="H31" s="1850" t="s">
        <v>2363</v>
      </c>
      <c r="I31" s="1850" t="s">
        <v>811</v>
      </c>
    </row>
    <row r="32" ht="11.25" customHeight="1">
      <c r="A32" s="1850" t="s">
        <v>2251</v>
      </c>
      <c r="B32" s="1850" t="s">
        <v>16</v>
      </c>
      <c r="C32" s="1850" t="s">
        <v>2364</v>
      </c>
      <c r="D32" s="1850" t="s">
        <v>2365</v>
      </c>
      <c r="E32" s="1850" t="s">
        <v>2366</v>
      </c>
      <c r="F32" s="1850" t="s">
        <v>2325</v>
      </c>
      <c r="G32" s="1850" t="s">
        <v>2367</v>
      </c>
      <c r="H32" s="1850" t="s">
        <v>28</v>
      </c>
      <c r="I32" s="1850" t="s">
        <v>811</v>
      </c>
    </row>
    <row r="33" ht="11.25" customHeight="1">
      <c r="A33" s="1850" t="s">
        <v>2251</v>
      </c>
      <c r="B33" s="1850" t="s">
        <v>16</v>
      </c>
      <c r="C33" s="1850" t="s">
        <v>2368</v>
      </c>
      <c r="D33" s="1850" t="s">
        <v>2369</v>
      </c>
      <c r="E33" s="1850" t="s">
        <v>2370</v>
      </c>
      <c r="F33" s="1850" t="s">
        <v>2308</v>
      </c>
      <c r="G33" s="1850" t="s">
        <v>28</v>
      </c>
      <c r="H33" s="1850" t="s">
        <v>28</v>
      </c>
      <c r="I33" s="1850" t="s">
        <v>811</v>
      </c>
    </row>
    <row r="34" ht="11.25" customHeight="1">
      <c r="A34" s="1850" t="s">
        <v>2251</v>
      </c>
      <c r="B34" s="1850" t="s">
        <v>16</v>
      </c>
      <c r="C34" s="1850" t="s">
        <v>2371</v>
      </c>
      <c r="D34" s="1850" t="s">
        <v>2372</v>
      </c>
      <c r="E34" s="1850" t="s">
        <v>2373</v>
      </c>
      <c r="F34" s="1850" t="s">
        <v>2296</v>
      </c>
      <c r="G34" s="1850" t="s">
        <v>28</v>
      </c>
      <c r="H34" s="1850" t="s">
        <v>2374</v>
      </c>
      <c r="I34" s="1850" t="s">
        <v>811</v>
      </c>
    </row>
    <row r="35" ht="11.25" customHeight="1">
      <c r="A35" s="1850" t="s">
        <v>2251</v>
      </c>
      <c r="B35" s="1850" t="s">
        <v>16</v>
      </c>
      <c r="C35" s="1850" t="s">
        <v>2375</v>
      </c>
      <c r="D35" s="1850" t="s">
        <v>2376</v>
      </c>
      <c r="E35" s="1850" t="s">
        <v>2377</v>
      </c>
      <c r="F35" s="1850" t="s">
        <v>578</v>
      </c>
      <c r="G35" s="1850" t="s">
        <v>2378</v>
      </c>
      <c r="H35" s="1850" t="s">
        <v>28</v>
      </c>
      <c r="I35" s="1850" t="s">
        <v>811</v>
      </c>
    </row>
    <row r="36" ht="11.25" customHeight="1">
      <c r="A36" s="1850" t="s">
        <v>2251</v>
      </c>
      <c r="B36" s="1850" t="s">
        <v>16</v>
      </c>
      <c r="C36" s="1850" t="s">
        <v>2379</v>
      </c>
      <c r="D36" s="1850" t="s">
        <v>2380</v>
      </c>
      <c r="E36" s="1850" t="s">
        <v>2381</v>
      </c>
      <c r="F36" s="1850" t="s">
        <v>2296</v>
      </c>
      <c r="G36" s="1850" t="s">
        <v>28</v>
      </c>
      <c r="H36" s="1850" t="s">
        <v>28</v>
      </c>
      <c r="I36" s="1850" t="s">
        <v>811</v>
      </c>
    </row>
    <row r="37" ht="11.25" customHeight="1">
      <c r="A37" s="1850" t="s">
        <v>2251</v>
      </c>
      <c r="B37" s="1850" t="s">
        <v>16</v>
      </c>
      <c r="C37" s="1850" t="s">
        <v>2382</v>
      </c>
      <c r="D37" s="1850" t="s">
        <v>2383</v>
      </c>
      <c r="E37" s="1850" t="s">
        <v>2384</v>
      </c>
      <c r="F37" s="1850" t="s">
        <v>2385</v>
      </c>
      <c r="G37" s="1850" t="s">
        <v>2386</v>
      </c>
      <c r="H37" s="1850" t="s">
        <v>28</v>
      </c>
      <c r="I37" s="1850" t="s">
        <v>811</v>
      </c>
    </row>
    <row r="38" ht="11.25" customHeight="1">
      <c r="A38" s="1850" t="s">
        <v>2251</v>
      </c>
      <c r="B38" s="1850" t="s">
        <v>16</v>
      </c>
      <c r="C38" s="1850" t="s">
        <v>2387</v>
      </c>
      <c r="D38" s="1850" t="s">
        <v>2388</v>
      </c>
      <c r="E38" s="1850" t="s">
        <v>2389</v>
      </c>
      <c r="F38" s="1850" t="s">
        <v>2362</v>
      </c>
      <c r="G38" s="1850" t="s">
        <v>28</v>
      </c>
      <c r="H38" s="1850" t="s">
        <v>28</v>
      </c>
      <c r="I38" s="1850" t="s">
        <v>811</v>
      </c>
    </row>
    <row r="39" ht="11.25" customHeight="1">
      <c r="A39" s="1850" t="s">
        <v>2251</v>
      </c>
      <c r="B39" s="1850" t="s">
        <v>16</v>
      </c>
      <c r="C39" s="1850" t="s">
        <v>2390</v>
      </c>
      <c r="D39" s="1850" t="s">
        <v>2391</v>
      </c>
      <c r="E39" s="1850" t="s">
        <v>2392</v>
      </c>
      <c r="F39" s="1850" t="s">
        <v>2393</v>
      </c>
      <c r="G39" s="1850" t="s">
        <v>28</v>
      </c>
      <c r="H39" s="1850" t="s">
        <v>28</v>
      </c>
      <c r="I39" s="1850" t="s">
        <v>811</v>
      </c>
    </row>
    <row r="40" ht="11.25" customHeight="1">
      <c r="A40" s="1850" t="s">
        <v>2251</v>
      </c>
      <c r="B40" s="1850" t="s">
        <v>16</v>
      </c>
      <c r="C40" s="1850" t="s">
        <v>2394</v>
      </c>
      <c r="D40" s="1850" t="s">
        <v>2395</v>
      </c>
      <c r="E40" s="1850" t="s">
        <v>2396</v>
      </c>
      <c r="F40" s="1850" t="s">
        <v>2362</v>
      </c>
      <c r="G40" s="1850" t="s">
        <v>28</v>
      </c>
      <c r="H40" s="1850" t="s">
        <v>28</v>
      </c>
      <c r="I40" s="1850" t="s">
        <v>811</v>
      </c>
    </row>
    <row r="41" ht="11.25" customHeight="1">
      <c r="A41" s="1850" t="s">
        <v>2251</v>
      </c>
      <c r="B41" s="1850" t="s">
        <v>16</v>
      </c>
      <c r="C41" s="1850" t="s">
        <v>2397</v>
      </c>
      <c r="D41" s="1850" t="s">
        <v>2398</v>
      </c>
      <c r="E41" s="1850" t="s">
        <v>2399</v>
      </c>
      <c r="F41" s="1850" t="s">
        <v>2296</v>
      </c>
      <c r="G41" s="1850" t="s">
        <v>28</v>
      </c>
      <c r="H41" s="1850" t="s">
        <v>28</v>
      </c>
      <c r="I41" s="1850" t="s">
        <v>811</v>
      </c>
    </row>
    <row r="42" ht="11.25" customHeight="1">
      <c r="A42" s="1850" t="s">
        <v>2251</v>
      </c>
      <c r="B42" s="1850" t="s">
        <v>16</v>
      </c>
      <c r="C42" s="1850" t="s">
        <v>2400</v>
      </c>
      <c r="D42" s="1850" t="s">
        <v>2401</v>
      </c>
      <c r="E42" s="1850" t="s">
        <v>2402</v>
      </c>
      <c r="F42" s="1850" t="s">
        <v>2403</v>
      </c>
      <c r="G42" s="1850" t="s">
        <v>28</v>
      </c>
      <c r="H42" s="1850" t="s">
        <v>28</v>
      </c>
      <c r="I42" s="1850" t="s">
        <v>811</v>
      </c>
    </row>
    <row r="43" ht="11.25" customHeight="1">
      <c r="A43" s="1850" t="s">
        <v>2251</v>
      </c>
      <c r="B43" s="1850" t="s">
        <v>16</v>
      </c>
      <c r="C43" s="1850" t="s">
        <v>2404</v>
      </c>
      <c r="D43" s="1850" t="s">
        <v>2405</v>
      </c>
      <c r="E43" s="1850" t="s">
        <v>2406</v>
      </c>
      <c r="F43" s="1850" t="s">
        <v>2403</v>
      </c>
      <c r="G43" s="1850" t="s">
        <v>28</v>
      </c>
      <c r="H43" s="1850" t="s">
        <v>28</v>
      </c>
      <c r="I43" s="1850" t="s">
        <v>811</v>
      </c>
    </row>
    <row r="44" ht="11.25" customHeight="1">
      <c r="A44" s="1850" t="s">
        <v>2251</v>
      </c>
      <c r="B44" s="1850" t="s">
        <v>16</v>
      </c>
      <c r="C44" s="1850" t="s">
        <v>2407</v>
      </c>
      <c r="D44" s="1850" t="s">
        <v>2408</v>
      </c>
      <c r="E44" s="1850" t="s">
        <v>2409</v>
      </c>
      <c r="F44" s="1850" t="s">
        <v>2262</v>
      </c>
      <c r="G44" s="1850" t="s">
        <v>2410</v>
      </c>
      <c r="H44" s="1850" t="s">
        <v>28</v>
      </c>
      <c r="I44" s="1850" t="s">
        <v>811</v>
      </c>
    </row>
    <row r="45" ht="11.25" customHeight="1">
      <c r="A45" s="1850" t="s">
        <v>2251</v>
      </c>
      <c r="B45" s="1850" t="s">
        <v>16</v>
      </c>
      <c r="C45" s="1850" t="s">
        <v>2411</v>
      </c>
      <c r="D45" s="1850" t="s">
        <v>2412</v>
      </c>
      <c r="E45" s="1850" t="s">
        <v>2413</v>
      </c>
      <c r="F45" s="1850" t="s">
        <v>2414</v>
      </c>
      <c r="G45" s="1850" t="s">
        <v>28</v>
      </c>
      <c r="H45" s="1850" t="s">
        <v>28</v>
      </c>
      <c r="I45" s="1850" t="s">
        <v>811</v>
      </c>
    </row>
    <row r="46" ht="11.25" customHeight="1">
      <c r="A46" s="1850" t="s">
        <v>2251</v>
      </c>
      <c r="B46" s="1850" t="s">
        <v>16</v>
      </c>
      <c r="C46" s="1850" t="s">
        <v>2415</v>
      </c>
      <c r="D46" s="1850" t="s">
        <v>2416</v>
      </c>
      <c r="E46" s="1850" t="s">
        <v>2417</v>
      </c>
      <c r="F46" s="1850" t="s">
        <v>2284</v>
      </c>
      <c r="G46" s="1850" t="s">
        <v>28</v>
      </c>
      <c r="H46" s="1850" t="s">
        <v>28</v>
      </c>
      <c r="I46" s="1850" t="s">
        <v>811</v>
      </c>
    </row>
    <row r="47" ht="11.25" customHeight="1">
      <c r="A47" s="1850" t="s">
        <v>2251</v>
      </c>
      <c r="B47" s="1850" t="s">
        <v>16</v>
      </c>
      <c r="C47" s="1850" t="s">
        <v>2418</v>
      </c>
      <c r="D47" s="1850" t="s">
        <v>2419</v>
      </c>
      <c r="E47" s="1850" t="s">
        <v>2420</v>
      </c>
      <c r="F47" s="1850" t="s">
        <v>2421</v>
      </c>
      <c r="G47" s="1850" t="s">
        <v>28</v>
      </c>
      <c r="H47" s="1850" t="s">
        <v>28</v>
      </c>
      <c r="I47" s="1850" t="s">
        <v>811</v>
      </c>
    </row>
    <row r="48" ht="11.25" customHeight="1">
      <c r="A48" s="1850" t="s">
        <v>2251</v>
      </c>
      <c r="B48" s="1850" t="s">
        <v>16</v>
      </c>
      <c r="C48" s="1850" t="s">
        <v>2422</v>
      </c>
      <c r="D48" s="1850" t="s">
        <v>2423</v>
      </c>
      <c r="E48" s="1850" t="s">
        <v>2424</v>
      </c>
      <c r="F48" s="1850" t="s">
        <v>2292</v>
      </c>
      <c r="G48" s="1850" t="s">
        <v>28</v>
      </c>
      <c r="H48" s="1850" t="s">
        <v>28</v>
      </c>
      <c r="I48" s="1850" t="s">
        <v>811</v>
      </c>
    </row>
    <row r="49" ht="11.25" customHeight="1">
      <c r="A49" s="1850" t="s">
        <v>2251</v>
      </c>
      <c r="B49" s="1850" t="s">
        <v>16</v>
      </c>
      <c r="C49" s="1850" t="s">
        <v>2425</v>
      </c>
      <c r="D49" s="1850" t="s">
        <v>2426</v>
      </c>
      <c r="E49" s="1850" t="s">
        <v>2427</v>
      </c>
      <c r="F49" s="1850" t="s">
        <v>2292</v>
      </c>
      <c r="G49" s="1850" t="s">
        <v>28</v>
      </c>
      <c r="H49" s="1850" t="s">
        <v>28</v>
      </c>
      <c r="I49" s="1850" t="s">
        <v>811</v>
      </c>
    </row>
    <row r="50" ht="11.25" customHeight="1">
      <c r="A50" s="1850" t="s">
        <v>2251</v>
      </c>
      <c r="B50" s="1850" t="s">
        <v>16</v>
      </c>
      <c r="C50" s="1850" t="s">
        <v>2428</v>
      </c>
      <c r="D50" s="1850" t="s">
        <v>2429</v>
      </c>
      <c r="E50" s="1850" t="s">
        <v>2430</v>
      </c>
      <c r="F50" s="1850" t="s">
        <v>2431</v>
      </c>
      <c r="G50" s="1850" t="s">
        <v>28</v>
      </c>
      <c r="H50" s="1850" t="s">
        <v>28</v>
      </c>
      <c r="I50" s="1850" t="s">
        <v>811</v>
      </c>
    </row>
    <row r="51" ht="11.25" customHeight="1">
      <c r="A51" s="1850" t="s">
        <v>2251</v>
      </c>
      <c r="B51" s="1850" t="s">
        <v>16</v>
      </c>
      <c r="C51" s="1850" t="s">
        <v>2432</v>
      </c>
      <c r="D51" s="1850" t="s">
        <v>2433</v>
      </c>
      <c r="E51" s="1850" t="s">
        <v>2434</v>
      </c>
      <c r="F51" s="1850" t="s">
        <v>2296</v>
      </c>
      <c r="G51" s="1850" t="s">
        <v>28</v>
      </c>
      <c r="H51" s="1850" t="s">
        <v>28</v>
      </c>
      <c r="I51" s="1850" t="s">
        <v>811</v>
      </c>
    </row>
    <row r="52" ht="11.25" customHeight="1">
      <c r="A52" s="1850" t="s">
        <v>2251</v>
      </c>
      <c r="B52" s="1850" t="s">
        <v>16</v>
      </c>
      <c r="C52" s="1850" t="s">
        <v>2435</v>
      </c>
      <c r="D52" s="1850" t="s">
        <v>2436</v>
      </c>
      <c r="E52" s="1850" t="s">
        <v>2437</v>
      </c>
      <c r="F52" s="1850" t="s">
        <v>2421</v>
      </c>
      <c r="G52" s="1850" t="s">
        <v>28</v>
      </c>
      <c r="H52" s="1850" t="s">
        <v>28</v>
      </c>
      <c r="I52" s="1850" t="s">
        <v>811</v>
      </c>
    </row>
    <row r="53" ht="11.25" customHeight="1">
      <c r="A53" s="1850" t="s">
        <v>2251</v>
      </c>
      <c r="B53" s="1850" t="s">
        <v>16</v>
      </c>
      <c r="C53" s="1850" t="s">
        <v>2438</v>
      </c>
      <c r="D53" s="1850" t="s">
        <v>2439</v>
      </c>
      <c r="E53" s="1850" t="s">
        <v>2440</v>
      </c>
      <c r="F53" s="1850" t="s">
        <v>2441</v>
      </c>
      <c r="G53" s="1850" t="s">
        <v>28</v>
      </c>
      <c r="H53" s="1850" t="s">
        <v>28</v>
      </c>
      <c r="I53" s="1850" t="s">
        <v>811</v>
      </c>
    </row>
    <row r="54" ht="11.25" customHeight="1">
      <c r="A54" s="1850" t="s">
        <v>2251</v>
      </c>
      <c r="B54" s="1850" t="s">
        <v>16</v>
      </c>
      <c r="C54" s="1850" t="s">
        <v>2442</v>
      </c>
      <c r="D54" s="1850" t="s">
        <v>2443</v>
      </c>
      <c r="E54" s="1850" t="s">
        <v>2444</v>
      </c>
      <c r="F54" s="1850" t="s">
        <v>2403</v>
      </c>
      <c r="G54" s="1850" t="s">
        <v>28</v>
      </c>
      <c r="H54" s="1850" t="s">
        <v>28</v>
      </c>
      <c r="I54" s="1850" t="s">
        <v>811</v>
      </c>
    </row>
    <row r="55" ht="11.25" customHeight="1">
      <c r="A55" s="1850" t="s">
        <v>2251</v>
      </c>
      <c r="B55" s="1850" t="s">
        <v>16</v>
      </c>
      <c r="C55" s="1850" t="s">
        <v>2445</v>
      </c>
      <c r="D55" s="1850" t="s">
        <v>2446</v>
      </c>
      <c r="E55" s="1850" t="s">
        <v>2447</v>
      </c>
      <c r="F55" s="1850" t="s">
        <v>2448</v>
      </c>
      <c r="G55" s="1850" t="s">
        <v>28</v>
      </c>
      <c r="H55" s="1850" t="s">
        <v>28</v>
      </c>
      <c r="I55" s="1850" t="s">
        <v>811</v>
      </c>
    </row>
    <row r="56" ht="11.25" customHeight="1">
      <c r="A56" s="1850" t="s">
        <v>2251</v>
      </c>
      <c r="B56" s="1850" t="s">
        <v>16</v>
      </c>
      <c r="C56" s="1850" t="s">
        <v>2449</v>
      </c>
      <c r="D56" s="1850" t="s">
        <v>2450</v>
      </c>
      <c r="E56" s="1850" t="s">
        <v>2451</v>
      </c>
      <c r="F56" s="1850" t="s">
        <v>2308</v>
      </c>
      <c r="G56" s="1850" t="s">
        <v>28</v>
      </c>
      <c r="H56" s="1850" t="s">
        <v>28</v>
      </c>
      <c r="I56" s="1850" t="s">
        <v>811</v>
      </c>
    </row>
    <row r="57" ht="11.25" customHeight="1">
      <c r="A57" s="1850" t="s">
        <v>2251</v>
      </c>
      <c r="B57" s="1850" t="s">
        <v>16</v>
      </c>
      <c r="C57" s="1850" t="s">
        <v>2452</v>
      </c>
      <c r="D57" s="1850" t="s">
        <v>2453</v>
      </c>
      <c r="E57" s="1850" t="s">
        <v>2454</v>
      </c>
      <c r="F57" s="1850" t="s">
        <v>2455</v>
      </c>
      <c r="G57" s="1850" t="s">
        <v>28</v>
      </c>
      <c r="H57" s="1850" t="s">
        <v>28</v>
      </c>
      <c r="I57" s="1850" t="s">
        <v>811</v>
      </c>
    </row>
    <row r="58" ht="11.25" customHeight="1">
      <c r="A58" s="1850" t="s">
        <v>2251</v>
      </c>
      <c r="B58" s="1850" t="s">
        <v>16</v>
      </c>
      <c r="C58" s="1850" t="s">
        <v>2456</v>
      </c>
      <c r="D58" s="1850" t="s">
        <v>2457</v>
      </c>
      <c r="E58" s="1850" t="s">
        <v>49</v>
      </c>
      <c r="F58" s="1850" t="s">
        <v>2458</v>
      </c>
      <c r="G58" s="1850" t="s">
        <v>28</v>
      </c>
      <c r="H58" s="1850" t="s">
        <v>28</v>
      </c>
      <c r="I58" s="1850" t="s">
        <v>811</v>
      </c>
    </row>
    <row r="59" ht="11.25" customHeight="1">
      <c r="A59" s="1850" t="s">
        <v>2251</v>
      </c>
      <c r="B59" s="1850" t="s">
        <v>16</v>
      </c>
      <c r="C59" s="1850" t="s">
        <v>2459</v>
      </c>
      <c r="D59" s="1850" t="s">
        <v>2460</v>
      </c>
      <c r="E59" s="1850" t="s">
        <v>2461</v>
      </c>
      <c r="F59" s="1850" t="s">
        <v>2462</v>
      </c>
      <c r="G59" s="1850" t="s">
        <v>28</v>
      </c>
      <c r="H59" s="1850" t="s">
        <v>28</v>
      </c>
      <c r="I59" s="1850" t="s">
        <v>811</v>
      </c>
    </row>
    <row r="60" ht="11.25" customHeight="1">
      <c r="A60" s="1850" t="s">
        <v>2251</v>
      </c>
      <c r="B60" s="1850" t="s">
        <v>16</v>
      </c>
      <c r="C60" s="1850" t="s">
        <v>2463</v>
      </c>
      <c r="D60" s="1850" t="s">
        <v>2464</v>
      </c>
      <c r="E60" s="1850" t="s">
        <v>2465</v>
      </c>
      <c r="F60" s="1850" t="s">
        <v>2462</v>
      </c>
      <c r="G60" s="1850" t="s">
        <v>28</v>
      </c>
      <c r="H60" s="1850" t="s">
        <v>28</v>
      </c>
      <c r="I60" s="1850" t="s">
        <v>811</v>
      </c>
    </row>
    <row r="61" ht="11.25" customHeight="1">
      <c r="A61" s="1850" t="s">
        <v>2251</v>
      </c>
      <c r="B61" s="1850" t="s">
        <v>16</v>
      </c>
      <c r="C61" s="1850" t="s">
        <v>2466</v>
      </c>
      <c r="D61" s="1850" t="s">
        <v>2467</v>
      </c>
      <c r="E61" s="1850" t="s">
        <v>2354</v>
      </c>
      <c r="F61" s="1850" t="s">
        <v>2468</v>
      </c>
      <c r="G61" s="1850" t="s">
        <v>28</v>
      </c>
      <c r="H61" s="1850" t="s">
        <v>28</v>
      </c>
      <c r="I61" s="1850" t="s">
        <v>811</v>
      </c>
    </row>
    <row r="62" ht="11.25" customHeight="1">
      <c r="A62" s="1850" t="s">
        <v>2251</v>
      </c>
      <c r="B62" s="1850" t="s">
        <v>16</v>
      </c>
      <c r="C62" s="1850" t="s">
        <v>2469</v>
      </c>
      <c r="D62" s="1850" t="s">
        <v>2470</v>
      </c>
      <c r="E62" s="1850" t="s">
        <v>2471</v>
      </c>
      <c r="F62" s="1850" t="s">
        <v>2292</v>
      </c>
      <c r="G62" s="1850" t="s">
        <v>28</v>
      </c>
      <c r="H62" s="1850" t="s">
        <v>28</v>
      </c>
      <c r="I62" s="1850" t="s">
        <v>811</v>
      </c>
    </row>
    <row r="63" ht="11.25" customHeight="1">
      <c r="A63" s="1850" t="s">
        <v>2251</v>
      </c>
      <c r="B63" s="1850" t="s">
        <v>16</v>
      </c>
      <c r="C63" s="1850" t="s">
        <v>2472</v>
      </c>
      <c r="D63" s="1850" t="s">
        <v>2473</v>
      </c>
      <c r="E63" s="1850" t="s">
        <v>2474</v>
      </c>
      <c r="F63" s="1850" t="s">
        <v>2273</v>
      </c>
      <c r="G63" s="1850" t="s">
        <v>28</v>
      </c>
      <c r="H63" s="1850" t="s">
        <v>28</v>
      </c>
      <c r="I63" s="1850" t="s">
        <v>811</v>
      </c>
    </row>
    <row r="64" ht="11.25" customHeight="1">
      <c r="A64" s="1850" t="s">
        <v>2251</v>
      </c>
      <c r="B64" s="1850" t="s">
        <v>16</v>
      </c>
      <c r="C64" s="1850" t="s">
        <v>2475</v>
      </c>
      <c r="D64" s="1850" t="s">
        <v>2476</v>
      </c>
      <c r="E64" s="1850" t="s">
        <v>2477</v>
      </c>
      <c r="F64" s="1850" t="s">
        <v>2308</v>
      </c>
      <c r="G64" s="1850" t="s">
        <v>28</v>
      </c>
      <c r="H64" s="1850" t="s">
        <v>28</v>
      </c>
      <c r="I64" s="1850" t="s">
        <v>811</v>
      </c>
    </row>
    <row r="65" ht="11.25" customHeight="1">
      <c r="A65" s="1850" t="s">
        <v>2251</v>
      </c>
      <c r="B65" s="1850" t="s">
        <v>16</v>
      </c>
      <c r="C65" s="1850" t="s">
        <v>2478</v>
      </c>
      <c r="D65" s="1850" t="s">
        <v>2479</v>
      </c>
      <c r="E65" s="1850" t="s">
        <v>2480</v>
      </c>
      <c r="F65" s="1850" t="s">
        <v>2258</v>
      </c>
      <c r="G65" s="1850" t="s">
        <v>28</v>
      </c>
      <c r="H65" s="1850" t="s">
        <v>28</v>
      </c>
      <c r="I65" s="1850" t="s">
        <v>811</v>
      </c>
    </row>
    <row r="66" ht="11.25" customHeight="1">
      <c r="A66" s="1850" t="s">
        <v>2251</v>
      </c>
      <c r="B66" s="1850" t="s">
        <v>16</v>
      </c>
      <c r="C66" s="1850" t="s">
        <v>2481</v>
      </c>
      <c r="D66" s="1850" t="s">
        <v>2482</v>
      </c>
      <c r="E66" s="1850" t="s">
        <v>2483</v>
      </c>
      <c r="F66" s="1850" t="s">
        <v>2403</v>
      </c>
      <c r="G66" s="1850" t="s">
        <v>28</v>
      </c>
      <c r="H66" s="1850" t="s">
        <v>28</v>
      </c>
      <c r="I66" s="1850" t="s">
        <v>811</v>
      </c>
    </row>
    <row r="67" ht="11.25" customHeight="1">
      <c r="A67" s="1850" t="s">
        <v>2251</v>
      </c>
      <c r="B67" s="1850" t="s">
        <v>16</v>
      </c>
      <c r="C67" s="1850" t="s">
        <v>2484</v>
      </c>
      <c r="D67" s="1850" t="s">
        <v>2485</v>
      </c>
      <c r="E67" s="1850" t="s">
        <v>2486</v>
      </c>
      <c r="F67" s="1850" t="s">
        <v>2487</v>
      </c>
      <c r="G67" s="1850" t="s">
        <v>2488</v>
      </c>
      <c r="H67" s="1850" t="s">
        <v>28</v>
      </c>
      <c r="I67" s="1850" t="s">
        <v>811</v>
      </c>
    </row>
    <row r="68" ht="11.25" customHeight="1">
      <c r="A68" s="1850" t="s">
        <v>2251</v>
      </c>
      <c r="B68" s="1850" t="s">
        <v>16</v>
      </c>
      <c r="C68" s="1850" t="s">
        <v>2489</v>
      </c>
      <c r="D68" s="1850" t="s">
        <v>2490</v>
      </c>
      <c r="E68" s="1850" t="s">
        <v>2491</v>
      </c>
      <c r="F68" s="1850" t="s">
        <v>2258</v>
      </c>
      <c r="G68" s="1850" t="s">
        <v>2492</v>
      </c>
      <c r="H68" s="1850" t="s">
        <v>28</v>
      </c>
      <c r="I68" s="1850" t="s">
        <v>811</v>
      </c>
    </row>
    <row r="69" ht="11.25" customHeight="1">
      <c r="A69" s="1850" t="s">
        <v>2251</v>
      </c>
      <c r="B69" s="1850" t="s">
        <v>16</v>
      </c>
      <c r="C69" s="1850" t="s">
        <v>2493</v>
      </c>
      <c r="D69" s="1850" t="s">
        <v>2494</v>
      </c>
      <c r="E69" s="1850" t="s">
        <v>2495</v>
      </c>
      <c r="F69" s="1850" t="s">
        <v>2258</v>
      </c>
      <c r="G69" s="1850" t="s">
        <v>2496</v>
      </c>
      <c r="H69" s="1850" t="s">
        <v>28</v>
      </c>
      <c r="I69" s="1850" t="s">
        <v>811</v>
      </c>
    </row>
    <row r="70" ht="11.25" customHeight="1">
      <c r="A70" s="1850" t="s">
        <v>2251</v>
      </c>
      <c r="B70" s="1850" t="s">
        <v>16</v>
      </c>
      <c r="C70" s="1850" t="s">
        <v>2497</v>
      </c>
      <c r="D70" s="1850" t="s">
        <v>2498</v>
      </c>
      <c r="E70" s="1850" t="s">
        <v>2499</v>
      </c>
      <c r="F70" s="1850" t="s">
        <v>2500</v>
      </c>
      <c r="G70" s="1850" t="s">
        <v>28</v>
      </c>
      <c r="H70" s="1850" t="s">
        <v>28</v>
      </c>
      <c r="I70" s="1850" t="s">
        <v>811</v>
      </c>
    </row>
    <row r="71" ht="11.25" customHeight="1">
      <c r="A71" s="1850" t="s">
        <v>2251</v>
      </c>
      <c r="B71" s="1850" t="s">
        <v>16</v>
      </c>
      <c r="C71" s="1850" t="s">
        <v>2501</v>
      </c>
      <c r="D71" s="1850" t="s">
        <v>2502</v>
      </c>
      <c r="E71" s="1850" t="s">
        <v>2503</v>
      </c>
      <c r="F71" s="1850" t="s">
        <v>2487</v>
      </c>
      <c r="G71" s="1850" t="s">
        <v>28</v>
      </c>
      <c r="H71" s="1850" t="s">
        <v>28</v>
      </c>
      <c r="I71" s="1850" t="s">
        <v>811</v>
      </c>
    </row>
    <row r="72" ht="11.25" customHeight="1">
      <c r="A72" s="1850" t="s">
        <v>2251</v>
      </c>
      <c r="B72" s="1850" t="s">
        <v>16</v>
      </c>
      <c r="C72" s="1850" t="s">
        <v>2504</v>
      </c>
      <c r="D72" s="1850" t="s">
        <v>2505</v>
      </c>
      <c r="E72" s="1850" t="s">
        <v>2506</v>
      </c>
      <c r="F72" s="1850" t="s">
        <v>2308</v>
      </c>
      <c r="G72" s="1850" t="s">
        <v>28</v>
      </c>
      <c r="H72" s="1850" t="s">
        <v>28</v>
      </c>
      <c r="I72" s="1850" t="s">
        <v>811</v>
      </c>
    </row>
    <row r="73" ht="11.25" customHeight="1">
      <c r="A73" s="1850" t="s">
        <v>2251</v>
      </c>
      <c r="B73" s="1850" t="s">
        <v>16</v>
      </c>
      <c r="C73" s="1850" t="s">
        <v>2507</v>
      </c>
      <c r="D73" s="1850" t="s">
        <v>2508</v>
      </c>
      <c r="E73" s="1850" t="s">
        <v>2509</v>
      </c>
      <c r="F73" s="1850" t="s">
        <v>2487</v>
      </c>
      <c r="G73" s="1850" t="s">
        <v>28</v>
      </c>
      <c r="H73" s="1850" t="s">
        <v>28</v>
      </c>
      <c r="I73" s="1850" t="s">
        <v>811</v>
      </c>
    </row>
    <row r="74" ht="11.25" customHeight="1">
      <c r="A74" s="1850" t="s">
        <v>2251</v>
      </c>
      <c r="B74" s="1850" t="s">
        <v>16</v>
      </c>
      <c r="C74" s="1850" t="s">
        <v>2510</v>
      </c>
      <c r="D74" s="1850" t="s">
        <v>2511</v>
      </c>
      <c r="E74" s="1850" t="s">
        <v>2512</v>
      </c>
      <c r="F74" s="1850" t="s">
        <v>2393</v>
      </c>
      <c r="G74" s="1850" t="s">
        <v>2513</v>
      </c>
      <c r="H74" s="1850" t="s">
        <v>28</v>
      </c>
      <c r="I74" s="1850" t="s">
        <v>811</v>
      </c>
    </row>
    <row r="75" ht="11.25" customHeight="1">
      <c r="A75" s="1850" t="s">
        <v>2251</v>
      </c>
      <c r="B75" s="1850" t="s">
        <v>16</v>
      </c>
      <c r="C75" s="1850" t="s">
        <v>2514</v>
      </c>
      <c r="D75" s="1850" t="s">
        <v>2515</v>
      </c>
      <c r="E75" s="1850" t="s">
        <v>2516</v>
      </c>
      <c r="F75" s="1850" t="s">
        <v>2517</v>
      </c>
      <c r="G75" s="1850" t="s">
        <v>2518</v>
      </c>
      <c r="H75" s="1850" t="s">
        <v>28</v>
      </c>
      <c r="I75" s="1850" t="s">
        <v>811</v>
      </c>
    </row>
    <row r="76" ht="11.25" customHeight="1">
      <c r="A76" s="1850" t="s">
        <v>2251</v>
      </c>
      <c r="B76" s="1850" t="s">
        <v>16</v>
      </c>
      <c r="C76" s="1850" t="s">
        <v>2519</v>
      </c>
      <c r="D76" s="1850" t="s">
        <v>2520</v>
      </c>
      <c r="E76" s="1850" t="s">
        <v>2521</v>
      </c>
      <c r="F76" s="1850" t="s">
        <v>2487</v>
      </c>
      <c r="G76" s="1850" t="s">
        <v>28</v>
      </c>
      <c r="H76" s="1850" t="s">
        <v>28</v>
      </c>
      <c r="I76" s="1850" t="s">
        <v>811</v>
      </c>
    </row>
    <row r="77" ht="11.25" customHeight="1">
      <c r="A77" s="1850" t="s">
        <v>2251</v>
      </c>
      <c r="B77" s="1850" t="s">
        <v>16</v>
      </c>
      <c r="C77" s="1850" t="s">
        <v>2522</v>
      </c>
      <c r="D77" s="1850" t="s">
        <v>2523</v>
      </c>
      <c r="E77" s="1850" t="s">
        <v>2524</v>
      </c>
      <c r="F77" s="1850" t="s">
        <v>2487</v>
      </c>
      <c r="G77" s="1850" t="s">
        <v>28</v>
      </c>
      <c r="H77" s="1850" t="s">
        <v>28</v>
      </c>
      <c r="I77" s="1850" t="s">
        <v>811</v>
      </c>
    </row>
    <row r="78" ht="11.25" customHeight="1">
      <c r="A78" s="1850" t="s">
        <v>2251</v>
      </c>
      <c r="B78" s="1850" t="s">
        <v>16</v>
      </c>
      <c r="C78" s="1850" t="s">
        <v>2525</v>
      </c>
      <c r="D78" s="1850" t="s">
        <v>2526</v>
      </c>
      <c r="E78" s="1850" t="s">
        <v>2527</v>
      </c>
      <c r="F78" s="1850" t="s">
        <v>2528</v>
      </c>
      <c r="G78" s="1850" t="s">
        <v>28</v>
      </c>
      <c r="H78" s="1850" t="s">
        <v>28</v>
      </c>
      <c r="I78" s="1850" t="s">
        <v>811</v>
      </c>
    </row>
    <row r="79" ht="11.25" customHeight="1">
      <c r="A79" s="1850" t="s">
        <v>2251</v>
      </c>
      <c r="B79" s="1850" t="s">
        <v>16</v>
      </c>
      <c r="C79" s="1850" t="s">
        <v>2529</v>
      </c>
      <c r="D79" s="1850" t="s">
        <v>2530</v>
      </c>
      <c r="E79" s="1850" t="s">
        <v>2531</v>
      </c>
      <c r="F79" s="1850" t="s">
        <v>2254</v>
      </c>
      <c r="G79" s="1850" t="s">
        <v>28</v>
      </c>
      <c r="H79" s="1850" t="s">
        <v>28</v>
      </c>
      <c r="I79" s="1850" t="s">
        <v>811</v>
      </c>
    </row>
    <row r="80" ht="11.25" customHeight="1">
      <c r="A80" s="1850" t="s">
        <v>2251</v>
      </c>
      <c r="B80" s="1850" t="s">
        <v>16</v>
      </c>
      <c r="C80" s="1850" t="s">
        <v>2532</v>
      </c>
      <c r="D80" s="1850" t="s">
        <v>2533</v>
      </c>
      <c r="E80" s="1850" t="s">
        <v>2534</v>
      </c>
      <c r="F80" s="1850" t="s">
        <v>2296</v>
      </c>
      <c r="G80" s="1850" t="s">
        <v>28</v>
      </c>
      <c r="H80" s="1850" t="s">
        <v>28</v>
      </c>
      <c r="I80" s="1850" t="s">
        <v>811</v>
      </c>
    </row>
    <row r="81" ht="11.25" customHeight="1">
      <c r="A81" s="1850" t="s">
        <v>2251</v>
      </c>
      <c r="B81" s="1850" t="s">
        <v>16</v>
      </c>
      <c r="C81" s="1850" t="s">
        <v>2535</v>
      </c>
      <c r="D81" s="1850" t="s">
        <v>2536</v>
      </c>
      <c r="E81" s="1850" t="s">
        <v>2537</v>
      </c>
      <c r="F81" s="1850" t="s">
        <v>2258</v>
      </c>
      <c r="G81" s="1850" t="s">
        <v>28</v>
      </c>
      <c r="H81" s="1850" t="s">
        <v>28</v>
      </c>
      <c r="I81" s="1850" t="s">
        <v>811</v>
      </c>
    </row>
    <row r="82" ht="11.25" customHeight="1">
      <c r="A82" s="1850" t="s">
        <v>2251</v>
      </c>
      <c r="B82" s="1850" t="s">
        <v>16</v>
      </c>
      <c r="C82" s="1850" t="s">
        <v>2538</v>
      </c>
      <c r="D82" s="1850" t="s">
        <v>2539</v>
      </c>
      <c r="E82" s="1850" t="s">
        <v>2540</v>
      </c>
      <c r="F82" s="1850" t="s">
        <v>2541</v>
      </c>
      <c r="G82" s="1850" t="s">
        <v>2542</v>
      </c>
      <c r="H82" s="1850" t="s">
        <v>28</v>
      </c>
      <c r="I82" s="1850" t="s">
        <v>811</v>
      </c>
    </row>
    <row r="83" ht="11.25" customHeight="1">
      <c r="A83" s="1850" t="s">
        <v>2251</v>
      </c>
      <c r="B83" s="1850" t="s">
        <v>16</v>
      </c>
      <c r="C83" s="1850" t="s">
        <v>2543</v>
      </c>
      <c r="D83" s="1850" t="s">
        <v>2544</v>
      </c>
      <c r="E83" s="1850" t="s">
        <v>2545</v>
      </c>
      <c r="F83" s="1850" t="s">
        <v>2284</v>
      </c>
      <c r="G83" s="1850" t="s">
        <v>2546</v>
      </c>
      <c r="H83" s="1850" t="s">
        <v>28</v>
      </c>
      <c r="I83" s="1850" t="s">
        <v>811</v>
      </c>
    </row>
    <row r="84" ht="11.25" customHeight="1">
      <c r="A84" s="1850" t="s">
        <v>2251</v>
      </c>
      <c r="B84" s="1850" t="s">
        <v>16</v>
      </c>
      <c r="C84" s="1850" t="s">
        <v>2547</v>
      </c>
      <c r="D84" s="1850" t="s">
        <v>2548</v>
      </c>
      <c r="E84" s="1850" t="s">
        <v>2549</v>
      </c>
      <c r="F84" s="1850" t="s">
        <v>2528</v>
      </c>
      <c r="G84" s="1850" t="s">
        <v>28</v>
      </c>
      <c r="H84" s="1850" t="s">
        <v>28</v>
      </c>
      <c r="I84" s="1850" t="s">
        <v>811</v>
      </c>
    </row>
    <row r="85" ht="11.25" customHeight="1">
      <c r="A85" s="1850" t="s">
        <v>2251</v>
      </c>
      <c r="B85" s="1850" t="s">
        <v>16</v>
      </c>
      <c r="C85" s="1850" t="s">
        <v>2550</v>
      </c>
      <c r="D85" s="1850" t="s">
        <v>2551</v>
      </c>
      <c r="E85" s="1850" t="s">
        <v>2552</v>
      </c>
      <c r="F85" s="1850" t="s">
        <v>2462</v>
      </c>
      <c r="G85" s="1850" t="s">
        <v>2553</v>
      </c>
      <c r="H85" s="1850" t="s">
        <v>28</v>
      </c>
      <c r="I85" s="1850" t="s">
        <v>811</v>
      </c>
    </row>
    <row r="86" ht="11.25" customHeight="1">
      <c r="A86" s="1850" t="s">
        <v>2251</v>
      </c>
      <c r="B86" s="1850" t="s">
        <v>16</v>
      </c>
      <c r="C86" s="1850" t="s">
        <v>2554</v>
      </c>
      <c r="D86" s="1850" t="s">
        <v>2555</v>
      </c>
      <c r="E86" s="1850" t="s">
        <v>2556</v>
      </c>
      <c r="F86" s="1850" t="s">
        <v>2317</v>
      </c>
      <c r="G86" s="1850" t="s">
        <v>28</v>
      </c>
      <c r="H86" s="1850" t="s">
        <v>28</v>
      </c>
      <c r="I86" s="1850" t="s">
        <v>811</v>
      </c>
    </row>
    <row r="87" ht="11.25" customHeight="1">
      <c r="A87" s="1850" t="s">
        <v>2251</v>
      </c>
      <c r="B87" s="1850" t="s">
        <v>16</v>
      </c>
      <c r="C87" s="1850" t="s">
        <v>2557</v>
      </c>
      <c r="D87" s="1850" t="s">
        <v>2558</v>
      </c>
      <c r="E87" s="1850" t="s">
        <v>2559</v>
      </c>
      <c r="F87" s="1850" t="s">
        <v>2296</v>
      </c>
      <c r="G87" s="1850" t="s">
        <v>28</v>
      </c>
      <c r="H87" s="1850" t="s">
        <v>28</v>
      </c>
      <c r="I87" s="1850" t="s">
        <v>811</v>
      </c>
    </row>
    <row r="88" ht="11.25" customHeight="1">
      <c r="A88" s="1850" t="s">
        <v>2251</v>
      </c>
      <c r="B88" s="1850" t="s">
        <v>16</v>
      </c>
      <c r="C88" s="1850" t="s">
        <v>2560</v>
      </c>
      <c r="D88" s="1850" t="s">
        <v>2561</v>
      </c>
      <c r="E88" s="1850" t="s">
        <v>2562</v>
      </c>
      <c r="F88" s="1850" t="s">
        <v>2441</v>
      </c>
      <c r="G88" s="1850" t="s">
        <v>28</v>
      </c>
      <c r="H88" s="1850" t="s">
        <v>28</v>
      </c>
      <c r="I88" s="1850" t="s">
        <v>811</v>
      </c>
    </row>
    <row r="89" ht="11.25" customHeight="1">
      <c r="A89" s="1850" t="s">
        <v>2251</v>
      </c>
      <c r="B89" s="1850" t="s">
        <v>16</v>
      </c>
      <c r="C89" s="1850" t="s">
        <v>2563</v>
      </c>
      <c r="D89" s="1850" t="s">
        <v>2564</v>
      </c>
      <c r="E89" s="1850" t="s">
        <v>2565</v>
      </c>
      <c r="F89" s="1850" t="s">
        <v>2258</v>
      </c>
      <c r="G89" s="1850" t="s">
        <v>28</v>
      </c>
      <c r="H89" s="1850" t="s">
        <v>28</v>
      </c>
      <c r="I89" s="1850" t="s">
        <v>811</v>
      </c>
    </row>
    <row r="90" ht="11.25" customHeight="1">
      <c r="A90" s="1850" t="s">
        <v>2251</v>
      </c>
      <c r="B90" s="1850" t="s">
        <v>16</v>
      </c>
      <c r="C90" s="1850" t="s">
        <v>2566</v>
      </c>
      <c r="D90" s="1850" t="s">
        <v>2567</v>
      </c>
      <c r="E90" s="1850" t="s">
        <v>2568</v>
      </c>
      <c r="F90" s="1850" t="s">
        <v>2258</v>
      </c>
      <c r="G90" s="1850" t="s">
        <v>28</v>
      </c>
      <c r="H90" s="1850" t="s">
        <v>28</v>
      </c>
      <c r="I90" s="1850" t="s">
        <v>811</v>
      </c>
    </row>
    <row r="91" ht="11.25" customHeight="1">
      <c r="A91" s="1850" t="s">
        <v>2251</v>
      </c>
      <c r="B91" s="1850" t="s">
        <v>16</v>
      </c>
      <c r="C91" s="1850" t="s">
        <v>2569</v>
      </c>
      <c r="D91" s="1850" t="s">
        <v>2570</v>
      </c>
      <c r="E91" s="1850" t="s">
        <v>2571</v>
      </c>
      <c r="F91" s="1850" t="s">
        <v>2441</v>
      </c>
      <c r="G91" s="1850" t="s">
        <v>2318</v>
      </c>
      <c r="H91" s="1850" t="s">
        <v>28</v>
      </c>
      <c r="I91" s="1850" t="s">
        <v>811</v>
      </c>
    </row>
    <row r="92" ht="11.25" customHeight="1">
      <c r="A92" s="1850" t="s">
        <v>2251</v>
      </c>
      <c r="B92" s="1850" t="s">
        <v>16</v>
      </c>
      <c r="C92" s="1850" t="s">
        <v>2572</v>
      </c>
      <c r="D92" s="1850" t="s">
        <v>2573</v>
      </c>
      <c r="E92" s="1850" t="s">
        <v>2574</v>
      </c>
      <c r="F92" s="1850" t="s">
        <v>2266</v>
      </c>
      <c r="G92" s="1850" t="s">
        <v>28</v>
      </c>
      <c r="H92" s="1850" t="s">
        <v>28</v>
      </c>
      <c r="I92" s="1850" t="s">
        <v>811</v>
      </c>
    </row>
    <row r="93" ht="11.25" customHeight="1">
      <c r="A93" s="1850" t="s">
        <v>2251</v>
      </c>
      <c r="B93" s="1850" t="s">
        <v>16</v>
      </c>
      <c r="C93" s="1850" t="s">
        <v>2575</v>
      </c>
      <c r="D93" s="1850" t="s">
        <v>2576</v>
      </c>
      <c r="E93" s="1850" t="s">
        <v>2577</v>
      </c>
      <c r="F93" s="1850" t="s">
        <v>2325</v>
      </c>
      <c r="G93" s="1850" t="s">
        <v>28</v>
      </c>
      <c r="H93" s="1850" t="s">
        <v>28</v>
      </c>
      <c r="I93" s="1850" t="s">
        <v>811</v>
      </c>
    </row>
    <row r="94" ht="11.25" customHeight="1">
      <c r="A94" s="1850" t="s">
        <v>2251</v>
      </c>
      <c r="B94" s="1850" t="s">
        <v>16</v>
      </c>
      <c r="C94" s="1850" t="s">
        <v>2578</v>
      </c>
      <c r="D94" s="1850" t="s">
        <v>2579</v>
      </c>
      <c r="E94" s="1850" t="s">
        <v>2580</v>
      </c>
      <c r="F94" s="1850" t="s">
        <v>2581</v>
      </c>
      <c r="G94" s="1850" t="s">
        <v>28</v>
      </c>
      <c r="H94" s="1850" t="s">
        <v>28</v>
      </c>
      <c r="I94" s="1850" t="s">
        <v>811</v>
      </c>
    </row>
    <row r="95" ht="11.25" customHeight="1">
      <c r="A95" s="1850" t="s">
        <v>2251</v>
      </c>
      <c r="B95" s="1850" t="s">
        <v>16</v>
      </c>
      <c r="C95" s="1850" t="s">
        <v>2582</v>
      </c>
      <c r="D95" s="1850" t="s">
        <v>2583</v>
      </c>
      <c r="E95" s="1850" t="s">
        <v>2584</v>
      </c>
      <c r="F95" s="1850" t="s">
        <v>2308</v>
      </c>
      <c r="G95" s="1850" t="s">
        <v>28</v>
      </c>
      <c r="H95" s="1850" t="s">
        <v>28</v>
      </c>
      <c r="I95" s="1850" t="s">
        <v>811</v>
      </c>
    </row>
    <row r="96" ht="11.25" customHeight="1">
      <c r="A96" s="1850" t="s">
        <v>2251</v>
      </c>
      <c r="B96" s="1850" t="s">
        <v>16</v>
      </c>
      <c r="C96" s="1850" t="s">
        <v>2585</v>
      </c>
      <c r="D96" s="1850" t="s">
        <v>2586</v>
      </c>
      <c r="E96" s="1850" t="s">
        <v>2587</v>
      </c>
      <c r="F96" s="1850" t="s">
        <v>2258</v>
      </c>
      <c r="G96" s="1850" t="s">
        <v>28</v>
      </c>
      <c r="H96" s="1850" t="s">
        <v>28</v>
      </c>
      <c r="I96" s="1850" t="s">
        <v>811</v>
      </c>
    </row>
    <row r="97" ht="11.25" customHeight="1">
      <c r="A97" s="1850" t="s">
        <v>2251</v>
      </c>
      <c r="B97" s="1850" t="s">
        <v>16</v>
      </c>
      <c r="C97" s="1850" t="s">
        <v>2588</v>
      </c>
      <c r="D97" s="1850" t="s">
        <v>2589</v>
      </c>
      <c r="E97" s="1850" t="s">
        <v>2590</v>
      </c>
      <c r="F97" s="1850" t="s">
        <v>2325</v>
      </c>
      <c r="G97" s="1850" t="s">
        <v>2591</v>
      </c>
      <c r="H97" s="1850" t="s">
        <v>28</v>
      </c>
      <c r="I97" s="1850" t="s">
        <v>811</v>
      </c>
    </row>
    <row r="98" ht="11.25" customHeight="1">
      <c r="A98" s="1850" t="s">
        <v>2251</v>
      </c>
      <c r="B98" s="1850" t="s">
        <v>16</v>
      </c>
      <c r="C98" s="1850" t="s">
        <v>2592</v>
      </c>
      <c r="D98" s="1850" t="s">
        <v>2593</v>
      </c>
      <c r="E98" s="1850" t="s">
        <v>2594</v>
      </c>
      <c r="F98" s="1850" t="s">
        <v>2595</v>
      </c>
      <c r="G98" s="1850" t="s">
        <v>28</v>
      </c>
      <c r="H98" s="1850" t="s">
        <v>28</v>
      </c>
      <c r="I98" s="1850" t="s">
        <v>811</v>
      </c>
    </row>
    <row r="99" ht="11.25" customHeight="1">
      <c r="A99" s="1850" t="s">
        <v>2251</v>
      </c>
      <c r="B99" s="1850" t="s">
        <v>16</v>
      </c>
      <c r="C99" s="1850" t="s">
        <v>2596</v>
      </c>
      <c r="D99" s="1850" t="s">
        <v>2597</v>
      </c>
      <c r="E99" s="1850" t="s">
        <v>2598</v>
      </c>
      <c r="F99" s="1850" t="s">
        <v>2254</v>
      </c>
      <c r="G99" s="1850" t="s">
        <v>28</v>
      </c>
      <c r="H99" s="1850" t="s">
        <v>28</v>
      </c>
      <c r="I99" s="1850" t="s">
        <v>811</v>
      </c>
    </row>
    <row r="100" ht="11.25" customHeight="1">
      <c r="A100" s="1850" t="s">
        <v>2251</v>
      </c>
      <c r="B100" s="1850" t="s">
        <v>16</v>
      </c>
      <c r="C100" s="1850" t="s">
        <v>2599</v>
      </c>
      <c r="D100" s="1850" t="s">
        <v>2600</v>
      </c>
      <c r="E100" s="1850" t="s">
        <v>2601</v>
      </c>
      <c r="F100" s="1850" t="s">
        <v>2271</v>
      </c>
      <c r="G100" s="1850" t="s">
        <v>28</v>
      </c>
      <c r="H100" s="1850" t="s">
        <v>28</v>
      </c>
      <c r="I100" s="1850" t="s">
        <v>811</v>
      </c>
    </row>
    <row r="101" ht="11.25" customHeight="1">
      <c r="A101" s="1850" t="s">
        <v>2251</v>
      </c>
      <c r="B101" s="1850" t="s">
        <v>16</v>
      </c>
      <c r="C101" s="1850" t="s">
        <v>2602</v>
      </c>
      <c r="D101" s="1850" t="s">
        <v>2603</v>
      </c>
      <c r="E101" s="1850" t="s">
        <v>2604</v>
      </c>
      <c r="F101" s="1850" t="s">
        <v>2258</v>
      </c>
      <c r="G101" s="1850" t="s">
        <v>28</v>
      </c>
      <c r="H101" s="1850" t="s">
        <v>28</v>
      </c>
      <c r="I101" s="1850" t="s">
        <v>811</v>
      </c>
    </row>
    <row r="102" ht="11.25" customHeight="1">
      <c r="A102" s="1850" t="s">
        <v>2251</v>
      </c>
      <c r="B102" s="1850" t="s">
        <v>16</v>
      </c>
      <c r="C102" s="1850" t="s">
        <v>2605</v>
      </c>
      <c r="D102" s="1850" t="s">
        <v>2606</v>
      </c>
      <c r="E102" s="1850" t="s">
        <v>2607</v>
      </c>
      <c r="F102" s="1850" t="s">
        <v>2608</v>
      </c>
      <c r="G102" s="1850" t="s">
        <v>2609</v>
      </c>
      <c r="H102" s="1850" t="s">
        <v>28</v>
      </c>
      <c r="I102" s="1850" t="s">
        <v>811</v>
      </c>
    </row>
    <row r="103" ht="11.25" customHeight="1">
      <c r="A103" s="1850" t="s">
        <v>2251</v>
      </c>
      <c r="B103" s="1850" t="s">
        <v>16</v>
      </c>
      <c r="C103" s="1850" t="s">
        <v>2610</v>
      </c>
      <c r="D103" s="1850" t="s">
        <v>2611</v>
      </c>
      <c r="E103" s="1850" t="s">
        <v>2612</v>
      </c>
      <c r="F103" s="1850" t="s">
        <v>2581</v>
      </c>
      <c r="G103" s="1850" t="s">
        <v>2613</v>
      </c>
      <c r="H103" s="1850" t="s">
        <v>28</v>
      </c>
      <c r="I103" s="1850" t="s">
        <v>811</v>
      </c>
    </row>
    <row r="104" ht="11.25" customHeight="1">
      <c r="A104" s="1850" t="s">
        <v>2251</v>
      </c>
      <c r="B104" s="1850" t="s">
        <v>16</v>
      </c>
      <c r="C104" s="1850" t="s">
        <v>2614</v>
      </c>
      <c r="D104" s="1850" t="s">
        <v>2615</v>
      </c>
      <c r="E104" s="1850" t="s">
        <v>2616</v>
      </c>
      <c r="F104" s="1850" t="s">
        <v>2308</v>
      </c>
      <c r="G104" s="1850" t="s">
        <v>2617</v>
      </c>
      <c r="H104" s="1850" t="s">
        <v>28</v>
      </c>
      <c r="I104" s="1850" t="s">
        <v>811</v>
      </c>
    </row>
    <row r="105" ht="11.25" customHeight="1">
      <c r="A105" s="1850" t="s">
        <v>2251</v>
      </c>
      <c r="B105" s="1850" t="s">
        <v>16</v>
      </c>
      <c r="C105" s="1850" t="s">
        <v>2618</v>
      </c>
      <c r="D105" s="1850" t="s">
        <v>2619</v>
      </c>
      <c r="E105" s="1850" t="s">
        <v>2620</v>
      </c>
      <c r="F105" s="1850" t="s">
        <v>2621</v>
      </c>
      <c r="G105" s="1850" t="s">
        <v>28</v>
      </c>
      <c r="H105" s="1850" t="s">
        <v>28</v>
      </c>
      <c r="I105" s="1850" t="s">
        <v>811</v>
      </c>
    </row>
    <row r="106" ht="11.25" customHeight="1">
      <c r="A106" s="1850" t="s">
        <v>2251</v>
      </c>
      <c r="B106" s="1850" t="s">
        <v>16</v>
      </c>
      <c r="C106" s="1850" t="s">
        <v>2622</v>
      </c>
      <c r="D106" s="1850" t="s">
        <v>2623</v>
      </c>
      <c r="E106" s="1850" t="s">
        <v>2624</v>
      </c>
      <c r="F106" s="1850" t="s">
        <v>2254</v>
      </c>
      <c r="G106" s="1850" t="s">
        <v>28</v>
      </c>
      <c r="H106" s="1850" t="s">
        <v>28</v>
      </c>
      <c r="I106" s="1850" t="s">
        <v>811</v>
      </c>
    </row>
    <row r="107" ht="11.25" customHeight="1">
      <c r="A107" s="1850" t="s">
        <v>2251</v>
      </c>
      <c r="B107" s="1850" t="s">
        <v>16</v>
      </c>
      <c r="C107" s="1850" t="s">
        <v>2625</v>
      </c>
      <c r="D107" s="1850" t="s">
        <v>2626</v>
      </c>
      <c r="E107" s="1850" t="s">
        <v>2354</v>
      </c>
      <c r="F107" s="1850" t="s">
        <v>2627</v>
      </c>
      <c r="G107" s="1850" t="s">
        <v>28</v>
      </c>
      <c r="H107" s="1850" t="s">
        <v>28</v>
      </c>
      <c r="I107" s="1850" t="s">
        <v>811</v>
      </c>
    </row>
    <row r="108" ht="11.25" customHeight="1">
      <c r="A108" s="1850" t="s">
        <v>2251</v>
      </c>
      <c r="B108" s="1850" t="s">
        <v>16</v>
      </c>
      <c r="C108" s="1850" t="s">
        <v>2628</v>
      </c>
      <c r="D108" s="1850" t="s">
        <v>2629</v>
      </c>
      <c r="E108" s="1850" t="s">
        <v>2630</v>
      </c>
      <c r="F108" s="1850" t="s">
        <v>2462</v>
      </c>
      <c r="G108" s="1850" t="s">
        <v>28</v>
      </c>
      <c r="H108" s="1850" t="s">
        <v>28</v>
      </c>
      <c r="I108" s="1850" t="s">
        <v>811</v>
      </c>
    </row>
    <row r="109" ht="11.25" customHeight="1">
      <c r="A109" s="1850" t="s">
        <v>2251</v>
      </c>
      <c r="B109" s="1850" t="s">
        <v>16</v>
      </c>
      <c r="C109" s="1850" t="s">
        <v>2631</v>
      </c>
      <c r="D109" s="1850" t="s">
        <v>2632</v>
      </c>
      <c r="E109" s="1850" t="s">
        <v>2633</v>
      </c>
      <c r="F109" s="1850" t="s">
        <v>2634</v>
      </c>
      <c r="G109" s="1850" t="s">
        <v>2635</v>
      </c>
      <c r="H109" s="1850" t="s">
        <v>28</v>
      </c>
      <c r="I109" s="1850" t="s">
        <v>811</v>
      </c>
    </row>
    <row r="110" ht="11.25" customHeight="1">
      <c r="A110" s="1850" t="s">
        <v>2251</v>
      </c>
      <c r="B110" s="1850" t="s">
        <v>16</v>
      </c>
      <c r="C110" s="1850" t="s">
        <v>2636</v>
      </c>
      <c r="D110" s="1850" t="s">
        <v>2637</v>
      </c>
      <c r="E110" s="1850" t="s">
        <v>2638</v>
      </c>
      <c r="F110" s="1850" t="s">
        <v>2462</v>
      </c>
      <c r="G110" s="1850" t="s">
        <v>28</v>
      </c>
      <c r="H110" s="1850" t="s">
        <v>28</v>
      </c>
      <c r="I110" s="1850" t="s">
        <v>811</v>
      </c>
    </row>
    <row r="111" ht="11.25" customHeight="1">
      <c r="A111" s="1850" t="s">
        <v>2251</v>
      </c>
      <c r="B111" s="1850" t="s">
        <v>16</v>
      </c>
      <c r="C111" s="1850" t="s">
        <v>2639</v>
      </c>
      <c r="D111" s="1850" t="s">
        <v>2640</v>
      </c>
      <c r="E111" s="1850" t="s">
        <v>2641</v>
      </c>
      <c r="F111" s="1850" t="s">
        <v>2403</v>
      </c>
      <c r="G111" s="1850" t="s">
        <v>28</v>
      </c>
      <c r="H111" s="1850" t="s">
        <v>28</v>
      </c>
      <c r="I111" s="1850" t="s">
        <v>811</v>
      </c>
    </row>
    <row r="112" ht="11.25" customHeight="1">
      <c r="A112" s="1850" t="s">
        <v>2251</v>
      </c>
      <c r="B112" s="1850" t="s">
        <v>16</v>
      </c>
      <c r="C112" s="1850" t="s">
        <v>2642</v>
      </c>
      <c r="D112" s="1850" t="s">
        <v>2643</v>
      </c>
      <c r="E112" s="1850" t="s">
        <v>2644</v>
      </c>
      <c r="F112" s="1850" t="s">
        <v>2393</v>
      </c>
      <c r="G112" s="1850" t="s">
        <v>28</v>
      </c>
      <c r="H112" s="1850" t="s">
        <v>28</v>
      </c>
      <c r="I112" s="1850" t="s">
        <v>811</v>
      </c>
    </row>
    <row r="113" ht="11.25" customHeight="1">
      <c r="A113" s="1850" t="s">
        <v>2251</v>
      </c>
      <c r="B113" s="1850" t="s">
        <v>16</v>
      </c>
      <c r="C113" s="1850" t="s">
        <v>2645</v>
      </c>
      <c r="D113" s="1850" t="s">
        <v>2646</v>
      </c>
      <c r="E113" s="1850" t="s">
        <v>2647</v>
      </c>
      <c r="F113" s="1850" t="s">
        <v>2262</v>
      </c>
      <c r="G113" s="1850" t="s">
        <v>28</v>
      </c>
      <c r="H113" s="1850" t="s">
        <v>28</v>
      </c>
      <c r="I113" s="1850" t="s">
        <v>811</v>
      </c>
    </row>
    <row r="114" ht="11.25" customHeight="1">
      <c r="A114" s="1850" t="s">
        <v>2251</v>
      </c>
      <c r="B114" s="1850" t="s">
        <v>16</v>
      </c>
      <c r="C114" s="1850" t="s">
        <v>2648</v>
      </c>
      <c r="D114" s="1850" t="s">
        <v>2649</v>
      </c>
      <c r="E114" s="1850" t="s">
        <v>2650</v>
      </c>
      <c r="F114" s="1850" t="s">
        <v>2651</v>
      </c>
      <c r="G114" s="1850" t="s">
        <v>28</v>
      </c>
      <c r="H114" s="1850" t="s">
        <v>28</v>
      </c>
      <c r="I114" s="1850" t="s">
        <v>811</v>
      </c>
    </row>
    <row r="115" ht="11.25" customHeight="1">
      <c r="A115" s="1850" t="s">
        <v>2251</v>
      </c>
      <c r="B115" s="1850" t="s">
        <v>16</v>
      </c>
      <c r="C115" s="1850" t="s">
        <v>2652</v>
      </c>
      <c r="D115" s="1850" t="s">
        <v>2653</v>
      </c>
      <c r="E115" s="1850" t="s">
        <v>2654</v>
      </c>
      <c r="F115" s="1850" t="s">
        <v>2317</v>
      </c>
      <c r="G115" s="1850" t="s">
        <v>28</v>
      </c>
      <c r="H115" s="1850" t="s">
        <v>28</v>
      </c>
      <c r="I115" s="1850" t="s">
        <v>811</v>
      </c>
    </row>
    <row r="116" ht="11.25" customHeight="1">
      <c r="A116" s="1850" t="s">
        <v>2251</v>
      </c>
      <c r="B116" s="1850" t="s">
        <v>16</v>
      </c>
      <c r="C116" s="1850" t="s">
        <v>2655</v>
      </c>
      <c r="D116" s="1850" t="s">
        <v>2656</v>
      </c>
      <c r="E116" s="1850" t="s">
        <v>2657</v>
      </c>
      <c r="F116" s="1850" t="s">
        <v>2296</v>
      </c>
      <c r="G116" s="1850" t="s">
        <v>28</v>
      </c>
      <c r="H116" s="1850" t="s">
        <v>28</v>
      </c>
      <c r="I116" s="1850" t="s">
        <v>811</v>
      </c>
    </row>
    <row r="117" ht="11.25" customHeight="1">
      <c r="A117" s="1850" t="s">
        <v>2251</v>
      </c>
      <c r="B117" s="1850" t="s">
        <v>16</v>
      </c>
      <c r="C117" s="1850" t="s">
        <v>2658</v>
      </c>
      <c r="D117" s="1850" t="s">
        <v>2659</v>
      </c>
      <c r="E117" s="1850" t="s">
        <v>2660</v>
      </c>
      <c r="F117" s="1850" t="s">
        <v>2403</v>
      </c>
      <c r="G117" s="1850" t="s">
        <v>28</v>
      </c>
      <c r="H117" s="1850" t="s">
        <v>28</v>
      </c>
      <c r="I117" s="1850" t="s">
        <v>811</v>
      </c>
    </row>
    <row r="118" ht="11.25" customHeight="1">
      <c r="A118" s="1850" t="s">
        <v>2251</v>
      </c>
      <c r="B118" s="1850" t="s">
        <v>16</v>
      </c>
      <c r="C118" s="1850" t="s">
        <v>2661</v>
      </c>
      <c r="D118" s="1850" t="s">
        <v>2662</v>
      </c>
      <c r="E118" s="1850" t="s">
        <v>2663</v>
      </c>
      <c r="F118" s="1850" t="s">
        <v>2296</v>
      </c>
      <c r="G118" s="1850" t="s">
        <v>28</v>
      </c>
      <c r="H118" s="1850" t="s">
        <v>28</v>
      </c>
      <c r="I118" s="1850" t="s">
        <v>811</v>
      </c>
    </row>
    <row r="119" ht="11.25" customHeight="1">
      <c r="A119" s="1850" t="s">
        <v>2251</v>
      </c>
      <c r="B119" s="1850" t="s">
        <v>16</v>
      </c>
      <c r="C119" s="1850" t="s">
        <v>2664</v>
      </c>
      <c r="D119" s="1850" t="s">
        <v>2665</v>
      </c>
      <c r="E119" s="1850" t="s">
        <v>2666</v>
      </c>
      <c r="F119" s="1850" t="s">
        <v>2296</v>
      </c>
      <c r="G119" s="1850" t="s">
        <v>28</v>
      </c>
      <c r="H119" s="1850" t="s">
        <v>28</v>
      </c>
      <c r="I119" s="1850" t="s">
        <v>811</v>
      </c>
    </row>
    <row r="120" ht="11.25" customHeight="1">
      <c r="A120" s="1850" t="s">
        <v>2251</v>
      </c>
      <c r="B120" s="1850" t="s">
        <v>16</v>
      </c>
      <c r="C120" s="1850" t="s">
        <v>2667</v>
      </c>
      <c r="D120" s="1850" t="s">
        <v>2668</v>
      </c>
      <c r="E120" s="1850" t="s">
        <v>2669</v>
      </c>
      <c r="F120" s="1850" t="s">
        <v>2462</v>
      </c>
      <c r="G120" s="1850" t="s">
        <v>28</v>
      </c>
      <c r="H120" s="1850" t="s">
        <v>28</v>
      </c>
      <c r="I120" s="1850" t="s">
        <v>811</v>
      </c>
    </row>
    <row r="121" ht="11.25" customHeight="1">
      <c r="A121" s="1850" t="s">
        <v>2251</v>
      </c>
      <c r="B121" s="1850" t="s">
        <v>16</v>
      </c>
      <c r="C121" s="1850" t="s">
        <v>2670</v>
      </c>
      <c r="D121" s="1850" t="s">
        <v>2671</v>
      </c>
      <c r="E121" s="1850" t="s">
        <v>2672</v>
      </c>
      <c r="F121" s="1850" t="s">
        <v>2673</v>
      </c>
      <c r="G121" s="1850" t="s">
        <v>28</v>
      </c>
      <c r="H121" s="1850" t="s">
        <v>28</v>
      </c>
      <c r="I121" s="1850" t="s">
        <v>811</v>
      </c>
    </row>
    <row r="122" ht="11.25" customHeight="1">
      <c r="A122" s="1850" t="s">
        <v>2251</v>
      </c>
      <c r="B122" s="1850" t="s">
        <v>16</v>
      </c>
      <c r="C122" s="1850" t="s">
        <v>2674</v>
      </c>
      <c r="D122" s="1850" t="s">
        <v>2675</v>
      </c>
      <c r="E122" s="1850" t="s">
        <v>2676</v>
      </c>
      <c r="F122" s="1850" t="s">
        <v>2677</v>
      </c>
      <c r="G122" s="1850" t="s">
        <v>28</v>
      </c>
      <c r="H122" s="1850" t="s">
        <v>28</v>
      </c>
      <c r="I122" s="1850" t="s">
        <v>811</v>
      </c>
    </row>
    <row r="123" ht="11.25" customHeight="1">
      <c r="A123" s="1850" t="s">
        <v>2251</v>
      </c>
      <c r="B123" s="1850" t="s">
        <v>16</v>
      </c>
      <c r="C123" s="1850" t="s">
        <v>2678</v>
      </c>
      <c r="D123" s="1850" t="s">
        <v>2679</v>
      </c>
      <c r="E123" s="1850" t="s">
        <v>2680</v>
      </c>
      <c r="F123" s="1850" t="s">
        <v>2284</v>
      </c>
      <c r="G123" s="1850" t="s">
        <v>28</v>
      </c>
      <c r="H123" s="1850" t="s">
        <v>28</v>
      </c>
      <c r="I123" s="1850" t="s">
        <v>811</v>
      </c>
    </row>
    <row r="124" ht="11.25" customHeight="1">
      <c r="A124" s="1850" t="s">
        <v>2251</v>
      </c>
      <c r="B124" s="1850" t="s">
        <v>16</v>
      </c>
      <c r="C124" s="1850" t="s">
        <v>2681</v>
      </c>
      <c r="D124" s="1850" t="s">
        <v>2682</v>
      </c>
      <c r="E124" s="1850" t="s">
        <v>2683</v>
      </c>
      <c r="F124" s="1850" t="s">
        <v>2288</v>
      </c>
      <c r="G124" s="1850" t="s">
        <v>28</v>
      </c>
      <c r="H124" s="1850" t="s">
        <v>28</v>
      </c>
      <c r="I124" s="1850" t="s">
        <v>811</v>
      </c>
    </row>
    <row r="125" ht="11.25" customHeight="1">
      <c r="A125" s="1850" t="s">
        <v>2251</v>
      </c>
      <c r="B125" s="1850" t="s">
        <v>16</v>
      </c>
      <c r="C125" s="1850" t="s">
        <v>28</v>
      </c>
      <c r="D125" s="1850" t="s">
        <v>2252</v>
      </c>
      <c r="E125" s="1850" t="s">
        <v>2253</v>
      </c>
      <c r="F125" s="1850" t="s">
        <v>2254</v>
      </c>
      <c r="G125" s="1850" t="s">
        <v>28</v>
      </c>
      <c r="H125" s="1850" t="s">
        <v>28</v>
      </c>
      <c r="I125" s="1850" t="s">
        <v>897</v>
      </c>
    </row>
    <row r="126" ht="11.25" customHeight="1">
      <c r="A126" s="1850" t="s">
        <v>2251</v>
      </c>
      <c r="B126" s="1850" t="s">
        <v>16</v>
      </c>
      <c r="C126" s="1850" t="s">
        <v>2268</v>
      </c>
      <c r="D126" s="1850" t="s">
        <v>2269</v>
      </c>
      <c r="E126" s="1850" t="s">
        <v>2270</v>
      </c>
      <c r="F126" s="1850" t="s">
        <v>2271</v>
      </c>
      <c r="G126" s="1850" t="s">
        <v>28</v>
      </c>
      <c r="H126" s="1850" t="s">
        <v>28</v>
      </c>
      <c r="I126" s="1850" t="s">
        <v>897</v>
      </c>
    </row>
    <row r="127" ht="11.25" customHeight="1">
      <c r="A127" s="1850" t="s">
        <v>2251</v>
      </c>
      <c r="B127" s="1850" t="s">
        <v>16</v>
      </c>
      <c r="C127" s="1850" t="s">
        <v>13</v>
      </c>
      <c r="D127" s="1850" t="s">
        <v>46</v>
      </c>
      <c r="E127" s="1850" t="s">
        <v>49</v>
      </c>
      <c r="F127" s="1850" t="s">
        <v>51</v>
      </c>
      <c r="G127" s="1850" t="s">
        <v>28</v>
      </c>
      <c r="H127" s="1850" t="s">
        <v>28</v>
      </c>
      <c r="I127" s="1850" t="s">
        <v>897</v>
      </c>
    </row>
    <row r="128" ht="11.25" customHeight="1">
      <c r="A128" s="1850" t="s">
        <v>2251</v>
      </c>
      <c r="B128" s="1850" t="s">
        <v>16</v>
      </c>
      <c r="C128" s="1850" t="s">
        <v>2275</v>
      </c>
      <c r="D128" s="1850" t="s">
        <v>2276</v>
      </c>
      <c r="E128" s="1850" t="s">
        <v>49</v>
      </c>
      <c r="F128" s="1850" t="s">
        <v>2277</v>
      </c>
      <c r="G128" s="1850" t="s">
        <v>28</v>
      </c>
      <c r="H128" s="1850" t="s">
        <v>28</v>
      </c>
      <c r="I128" s="1850" t="s">
        <v>897</v>
      </c>
    </row>
    <row r="129" ht="11.25" customHeight="1">
      <c r="A129" s="1850" t="s">
        <v>2251</v>
      </c>
      <c r="B129" s="1850" t="s">
        <v>16</v>
      </c>
      <c r="C129" s="1850" t="s">
        <v>2278</v>
      </c>
      <c r="D129" s="1850" t="s">
        <v>2279</v>
      </c>
      <c r="E129" s="1850" t="s">
        <v>49</v>
      </c>
      <c r="F129" s="1850" t="s">
        <v>2280</v>
      </c>
      <c r="G129" s="1850" t="s">
        <v>28</v>
      </c>
      <c r="H129" s="1850" t="s">
        <v>28</v>
      </c>
      <c r="I129" s="1850" t="s">
        <v>897</v>
      </c>
    </row>
    <row r="130" ht="11.25" customHeight="1">
      <c r="A130" s="1850" t="s">
        <v>2251</v>
      </c>
      <c r="B130" s="1850" t="s">
        <v>16</v>
      </c>
      <c r="C130" s="1850" t="s">
        <v>2285</v>
      </c>
      <c r="D130" s="1850" t="s">
        <v>2286</v>
      </c>
      <c r="E130" s="1850" t="s">
        <v>2287</v>
      </c>
      <c r="F130" s="1850" t="s">
        <v>2288</v>
      </c>
      <c r="G130" s="1850" t="s">
        <v>28</v>
      </c>
      <c r="H130" s="1850" t="s">
        <v>28</v>
      </c>
      <c r="I130" s="1850" t="s">
        <v>897</v>
      </c>
    </row>
    <row r="131" ht="11.25" customHeight="1">
      <c r="A131" s="1850" t="s">
        <v>2251</v>
      </c>
      <c r="B131" s="1850" t="s">
        <v>16</v>
      </c>
      <c r="C131" s="1850" t="s">
        <v>2297</v>
      </c>
      <c r="D131" s="1850" t="s">
        <v>2298</v>
      </c>
      <c r="E131" s="1850" t="s">
        <v>2299</v>
      </c>
      <c r="F131" s="1850" t="s">
        <v>2300</v>
      </c>
      <c r="G131" s="1850" t="s">
        <v>2301</v>
      </c>
      <c r="H131" s="1850" t="s">
        <v>28</v>
      </c>
      <c r="I131" s="1850" t="s">
        <v>897</v>
      </c>
    </row>
    <row r="132" ht="11.25" customHeight="1">
      <c r="A132" s="1850" t="s">
        <v>2251</v>
      </c>
      <c r="B132" s="1850" t="s">
        <v>16</v>
      </c>
      <c r="C132" s="1850" t="s">
        <v>2314</v>
      </c>
      <c r="D132" s="1850" t="s">
        <v>2315</v>
      </c>
      <c r="E132" s="1850" t="s">
        <v>2316</v>
      </c>
      <c r="F132" s="1850" t="s">
        <v>2317</v>
      </c>
      <c r="G132" s="1850" t="s">
        <v>2318</v>
      </c>
      <c r="H132" s="1850" t="s">
        <v>28</v>
      </c>
      <c r="I132" s="1850" t="s">
        <v>897</v>
      </c>
    </row>
    <row r="133" ht="11.25" customHeight="1">
      <c r="A133" s="1850" t="s">
        <v>2251</v>
      </c>
      <c r="B133" s="1850" t="s">
        <v>16</v>
      </c>
      <c r="C133" s="1850" t="s">
        <v>2319</v>
      </c>
      <c r="D133" s="1850" t="s">
        <v>2320</v>
      </c>
      <c r="E133" s="1850" t="s">
        <v>2321</v>
      </c>
      <c r="F133" s="1850" t="s">
        <v>2284</v>
      </c>
      <c r="G133" s="1850" t="s">
        <v>28</v>
      </c>
      <c r="H133" s="1850" t="s">
        <v>28</v>
      </c>
      <c r="I133" s="1850" t="s">
        <v>897</v>
      </c>
    </row>
    <row r="134" ht="11.25" customHeight="1">
      <c r="A134" s="1850" t="s">
        <v>2251</v>
      </c>
      <c r="B134" s="1850" t="s">
        <v>16</v>
      </c>
      <c r="C134" s="1850" t="s">
        <v>2326</v>
      </c>
      <c r="D134" s="1850" t="s">
        <v>2327</v>
      </c>
      <c r="E134" s="1850" t="s">
        <v>2328</v>
      </c>
      <c r="F134" s="1850" t="s">
        <v>2296</v>
      </c>
      <c r="G134" s="1850" t="s">
        <v>2329</v>
      </c>
      <c r="H134" s="1850" t="s">
        <v>28</v>
      </c>
      <c r="I134" s="1850" t="s">
        <v>897</v>
      </c>
    </row>
    <row r="135" ht="11.25" customHeight="1">
      <c r="A135" s="1850" t="s">
        <v>2251</v>
      </c>
      <c r="B135" s="1850" t="s">
        <v>16</v>
      </c>
      <c r="C135" s="1850" t="s">
        <v>2338</v>
      </c>
      <c r="D135" s="1850" t="s">
        <v>2339</v>
      </c>
      <c r="E135" s="1850" t="s">
        <v>2340</v>
      </c>
      <c r="F135" s="1850" t="s">
        <v>2341</v>
      </c>
      <c r="G135" s="1850" t="s">
        <v>28</v>
      </c>
      <c r="H135" s="1850" t="s">
        <v>28</v>
      </c>
      <c r="I135" s="1850" t="s">
        <v>897</v>
      </c>
    </row>
    <row r="136" ht="11.25" customHeight="1">
      <c r="A136" s="1850" t="s">
        <v>2251</v>
      </c>
      <c r="B136" s="1850" t="s">
        <v>16</v>
      </c>
      <c r="C136" s="1850" t="s">
        <v>2356</v>
      </c>
      <c r="D136" s="1850" t="s">
        <v>2357</v>
      </c>
      <c r="E136" s="1850" t="s">
        <v>2354</v>
      </c>
      <c r="F136" s="1850" t="s">
        <v>2358</v>
      </c>
      <c r="G136" s="1850" t="s">
        <v>28</v>
      </c>
      <c r="H136" s="1850" t="s">
        <v>28</v>
      </c>
      <c r="I136" s="1850" t="s">
        <v>897</v>
      </c>
    </row>
    <row r="137" ht="11.25" customHeight="1">
      <c r="A137" s="1850" t="s">
        <v>2251</v>
      </c>
      <c r="B137" s="1850" t="s">
        <v>16</v>
      </c>
      <c r="C137" s="1850" t="s">
        <v>2684</v>
      </c>
      <c r="D137" s="1850" t="s">
        <v>2405</v>
      </c>
      <c r="E137" s="1850" t="s">
        <v>2406</v>
      </c>
      <c r="F137" s="1850" t="s">
        <v>2685</v>
      </c>
      <c r="G137" s="1850" t="s">
        <v>28</v>
      </c>
      <c r="H137" s="1850" t="s">
        <v>28</v>
      </c>
      <c r="I137" s="1850" t="s">
        <v>897</v>
      </c>
    </row>
    <row r="138" ht="11.25" customHeight="1">
      <c r="A138" s="1850" t="s">
        <v>2251</v>
      </c>
      <c r="B138" s="1850" t="s">
        <v>16</v>
      </c>
      <c r="C138" s="1850" t="s">
        <v>2686</v>
      </c>
      <c r="D138" s="1850" t="s">
        <v>2405</v>
      </c>
      <c r="E138" s="1850" t="s">
        <v>2406</v>
      </c>
      <c r="F138" s="1850" t="s">
        <v>2687</v>
      </c>
      <c r="G138" s="1850" t="s">
        <v>28</v>
      </c>
      <c r="H138" s="1850" t="s">
        <v>28</v>
      </c>
      <c r="I138" s="1850" t="s">
        <v>897</v>
      </c>
    </row>
    <row r="139" ht="11.25" customHeight="1">
      <c r="A139" s="1850" t="s">
        <v>2251</v>
      </c>
      <c r="B139" s="1850" t="s">
        <v>16</v>
      </c>
      <c r="C139" s="1850" t="s">
        <v>2688</v>
      </c>
      <c r="D139" s="1850" t="s">
        <v>2405</v>
      </c>
      <c r="E139" s="1850" t="s">
        <v>2406</v>
      </c>
      <c r="F139" s="1850" t="s">
        <v>2689</v>
      </c>
      <c r="G139" s="1850" t="s">
        <v>28</v>
      </c>
      <c r="H139" s="1850" t="s">
        <v>28</v>
      </c>
      <c r="I139" s="1850" t="s">
        <v>897</v>
      </c>
    </row>
    <row r="140" ht="11.25" customHeight="1">
      <c r="A140" s="1850" t="s">
        <v>2251</v>
      </c>
      <c r="B140" s="1850" t="s">
        <v>16</v>
      </c>
      <c r="C140" s="1850" t="s">
        <v>2690</v>
      </c>
      <c r="D140" s="1850" t="s">
        <v>2405</v>
      </c>
      <c r="E140" s="1850" t="s">
        <v>2406</v>
      </c>
      <c r="F140" s="1850" t="s">
        <v>2691</v>
      </c>
      <c r="G140" s="1850" t="s">
        <v>28</v>
      </c>
      <c r="H140" s="1850" t="s">
        <v>28</v>
      </c>
      <c r="I140" s="1850" t="s">
        <v>897</v>
      </c>
    </row>
    <row r="141" ht="11.25" customHeight="1">
      <c r="A141" s="1850" t="s">
        <v>2251</v>
      </c>
      <c r="B141" s="1850" t="s">
        <v>16</v>
      </c>
      <c r="C141" s="1850" t="s">
        <v>2692</v>
      </c>
      <c r="D141" s="1850" t="s">
        <v>2405</v>
      </c>
      <c r="E141" s="1850" t="s">
        <v>2406</v>
      </c>
      <c r="F141" s="1850" t="s">
        <v>2693</v>
      </c>
      <c r="G141" s="1850" t="s">
        <v>28</v>
      </c>
      <c r="H141" s="1850" t="s">
        <v>28</v>
      </c>
      <c r="I141" s="1850" t="s">
        <v>897</v>
      </c>
    </row>
    <row r="142" ht="11.25" customHeight="1">
      <c r="A142" s="1850" t="s">
        <v>2251</v>
      </c>
      <c r="B142" s="1850" t="s">
        <v>16</v>
      </c>
      <c r="C142" s="1850" t="s">
        <v>2694</v>
      </c>
      <c r="D142" s="1850" t="s">
        <v>2405</v>
      </c>
      <c r="E142" s="1850" t="s">
        <v>2406</v>
      </c>
      <c r="F142" s="1850" t="s">
        <v>2695</v>
      </c>
      <c r="G142" s="1850" t="s">
        <v>28</v>
      </c>
      <c r="H142" s="1850" t="s">
        <v>28</v>
      </c>
      <c r="I142" s="1850" t="s">
        <v>897</v>
      </c>
    </row>
    <row r="143" ht="11.25" customHeight="1">
      <c r="A143" s="1850" t="s">
        <v>2251</v>
      </c>
      <c r="B143" s="1850" t="s">
        <v>16</v>
      </c>
      <c r="C143" s="1850" t="s">
        <v>2696</v>
      </c>
      <c r="D143" s="1850" t="s">
        <v>2405</v>
      </c>
      <c r="E143" s="1850" t="s">
        <v>2406</v>
      </c>
      <c r="F143" s="1850" t="s">
        <v>2697</v>
      </c>
      <c r="G143" s="1850" t="s">
        <v>28</v>
      </c>
      <c r="H143" s="1850" t="s">
        <v>28</v>
      </c>
      <c r="I143" s="1850" t="s">
        <v>897</v>
      </c>
    </row>
    <row r="144" ht="11.25" customHeight="1">
      <c r="A144" s="1850" t="s">
        <v>2251</v>
      </c>
      <c r="B144" s="1850" t="s">
        <v>16</v>
      </c>
      <c r="C144" s="1850" t="s">
        <v>2698</v>
      </c>
      <c r="D144" s="1850" t="s">
        <v>2405</v>
      </c>
      <c r="E144" s="1850" t="s">
        <v>2406</v>
      </c>
      <c r="F144" s="1850" t="s">
        <v>2699</v>
      </c>
      <c r="G144" s="1850" t="s">
        <v>28</v>
      </c>
      <c r="H144" s="1850" t="s">
        <v>28</v>
      </c>
      <c r="I144" s="1850" t="s">
        <v>897</v>
      </c>
    </row>
    <row r="145" ht="11.25" customHeight="1">
      <c r="A145" s="1850" t="s">
        <v>2251</v>
      </c>
      <c r="B145" s="1850" t="s">
        <v>16</v>
      </c>
      <c r="C145" s="1850" t="s">
        <v>2404</v>
      </c>
      <c r="D145" s="1850" t="s">
        <v>2405</v>
      </c>
      <c r="E145" s="1850" t="s">
        <v>2406</v>
      </c>
      <c r="F145" s="1850" t="s">
        <v>2403</v>
      </c>
      <c r="G145" s="1850" t="s">
        <v>28</v>
      </c>
      <c r="H145" s="1850" t="s">
        <v>28</v>
      </c>
      <c r="I145" s="1850" t="s">
        <v>897</v>
      </c>
    </row>
    <row r="146" ht="11.25" customHeight="1">
      <c r="A146" s="1850" t="s">
        <v>2251</v>
      </c>
      <c r="B146" s="1850" t="s">
        <v>16</v>
      </c>
      <c r="C146" s="1850" t="s">
        <v>2700</v>
      </c>
      <c r="D146" s="1850" t="s">
        <v>2701</v>
      </c>
      <c r="E146" s="1850" t="s">
        <v>2406</v>
      </c>
      <c r="F146" s="1850" t="s">
        <v>2702</v>
      </c>
      <c r="G146" s="1850" t="s">
        <v>28</v>
      </c>
      <c r="H146" s="1850" t="s">
        <v>28</v>
      </c>
      <c r="I146" s="1850" t="s">
        <v>897</v>
      </c>
    </row>
    <row r="147" ht="11.25" customHeight="1">
      <c r="A147" s="1850" t="s">
        <v>2251</v>
      </c>
      <c r="B147" s="1850" t="s">
        <v>16</v>
      </c>
      <c r="C147" s="1850" t="s">
        <v>2415</v>
      </c>
      <c r="D147" s="1850" t="s">
        <v>2416</v>
      </c>
      <c r="E147" s="1850" t="s">
        <v>2417</v>
      </c>
      <c r="F147" s="1850" t="s">
        <v>2284</v>
      </c>
      <c r="G147" s="1850" t="s">
        <v>28</v>
      </c>
      <c r="H147" s="1850" t="s">
        <v>28</v>
      </c>
      <c r="I147" s="1850" t="s">
        <v>897</v>
      </c>
    </row>
    <row r="148" ht="11.25" customHeight="1">
      <c r="A148" s="1850" t="s">
        <v>2251</v>
      </c>
      <c r="B148" s="1850" t="s">
        <v>16</v>
      </c>
      <c r="C148" s="1850" t="s">
        <v>2422</v>
      </c>
      <c r="D148" s="1850" t="s">
        <v>2423</v>
      </c>
      <c r="E148" s="1850" t="s">
        <v>2424</v>
      </c>
      <c r="F148" s="1850" t="s">
        <v>2292</v>
      </c>
      <c r="G148" s="1850" t="s">
        <v>28</v>
      </c>
      <c r="H148" s="1850" t="s">
        <v>28</v>
      </c>
      <c r="I148" s="1850" t="s">
        <v>897</v>
      </c>
    </row>
    <row r="149" ht="11.25" customHeight="1">
      <c r="A149" s="1850" t="s">
        <v>2251</v>
      </c>
      <c r="B149" s="1850" t="s">
        <v>16</v>
      </c>
      <c r="C149" s="1850" t="s">
        <v>2442</v>
      </c>
      <c r="D149" s="1850" t="s">
        <v>2443</v>
      </c>
      <c r="E149" s="1850" t="s">
        <v>2444</v>
      </c>
      <c r="F149" s="1850" t="s">
        <v>2403</v>
      </c>
      <c r="G149" s="1850" t="s">
        <v>28</v>
      </c>
      <c r="H149" s="1850" t="s">
        <v>28</v>
      </c>
      <c r="I149" s="1850" t="s">
        <v>897</v>
      </c>
    </row>
    <row r="150" ht="11.25" customHeight="1">
      <c r="A150" s="1850" t="s">
        <v>2251</v>
      </c>
      <c r="B150" s="1850" t="s">
        <v>16</v>
      </c>
      <c r="C150" s="1850" t="s">
        <v>2466</v>
      </c>
      <c r="D150" s="1850" t="s">
        <v>2467</v>
      </c>
      <c r="E150" s="1850" t="s">
        <v>2354</v>
      </c>
      <c r="F150" s="1850" t="s">
        <v>2468</v>
      </c>
      <c r="G150" s="1850" t="s">
        <v>28</v>
      </c>
      <c r="H150" s="1850" t="s">
        <v>28</v>
      </c>
      <c r="I150" s="1850" t="s">
        <v>897</v>
      </c>
    </row>
    <row r="151" ht="11.25" customHeight="1">
      <c r="A151" s="1850" t="s">
        <v>2251</v>
      </c>
      <c r="B151" s="1850" t="s">
        <v>16</v>
      </c>
      <c r="C151" s="1850" t="s">
        <v>2514</v>
      </c>
      <c r="D151" s="1850" t="s">
        <v>2515</v>
      </c>
      <c r="E151" s="1850" t="s">
        <v>2516</v>
      </c>
      <c r="F151" s="1850" t="s">
        <v>2517</v>
      </c>
      <c r="G151" s="1850" t="s">
        <v>2518</v>
      </c>
      <c r="H151" s="1850" t="s">
        <v>28</v>
      </c>
      <c r="I151" s="1850" t="s">
        <v>897</v>
      </c>
    </row>
    <row r="152" ht="11.25" customHeight="1">
      <c r="A152" s="1850" t="s">
        <v>2251</v>
      </c>
      <c r="B152" s="1850" t="s">
        <v>16</v>
      </c>
      <c r="C152" s="1850" t="s">
        <v>2525</v>
      </c>
      <c r="D152" s="1850" t="s">
        <v>2526</v>
      </c>
      <c r="E152" s="1850" t="s">
        <v>2527</v>
      </c>
      <c r="F152" s="1850" t="s">
        <v>2528</v>
      </c>
      <c r="G152" s="1850" t="s">
        <v>28</v>
      </c>
      <c r="H152" s="1850" t="s">
        <v>28</v>
      </c>
      <c r="I152" s="1850" t="s">
        <v>897</v>
      </c>
    </row>
    <row r="153" ht="11.25" customHeight="1">
      <c r="A153" s="1850" t="s">
        <v>2251</v>
      </c>
      <c r="B153" s="1850" t="s">
        <v>16</v>
      </c>
      <c r="C153" s="1850" t="s">
        <v>2572</v>
      </c>
      <c r="D153" s="1850" t="s">
        <v>2573</v>
      </c>
      <c r="E153" s="1850" t="s">
        <v>2574</v>
      </c>
      <c r="F153" s="1850" t="s">
        <v>2266</v>
      </c>
      <c r="G153" s="1850" t="s">
        <v>28</v>
      </c>
      <c r="H153" s="1850" t="s">
        <v>28</v>
      </c>
      <c r="I153" s="1850" t="s">
        <v>897</v>
      </c>
    </row>
    <row r="154" ht="11.25" customHeight="1">
      <c r="A154" s="1850" t="s">
        <v>2251</v>
      </c>
      <c r="B154" s="1850" t="s">
        <v>16</v>
      </c>
      <c r="C154" s="1850" t="s">
        <v>2622</v>
      </c>
      <c r="D154" s="1850" t="s">
        <v>2623</v>
      </c>
      <c r="E154" s="1850" t="s">
        <v>2624</v>
      </c>
      <c r="F154" s="1850" t="s">
        <v>2254</v>
      </c>
      <c r="G154" s="1850" t="s">
        <v>28</v>
      </c>
      <c r="H154" s="1850" t="s">
        <v>28</v>
      </c>
      <c r="I154" s="1850" t="s">
        <v>897</v>
      </c>
    </row>
    <row r="155" ht="11.25" customHeight="1">
      <c r="A155" s="1850" t="s">
        <v>2251</v>
      </c>
      <c r="B155" s="1850" t="s">
        <v>16</v>
      </c>
      <c r="C155" s="1850" t="s">
        <v>2628</v>
      </c>
      <c r="D155" s="1850" t="s">
        <v>2629</v>
      </c>
      <c r="E155" s="1850" t="s">
        <v>2630</v>
      </c>
      <c r="F155" s="1850" t="s">
        <v>2462</v>
      </c>
      <c r="G155" s="1850" t="s">
        <v>28</v>
      </c>
      <c r="H155" s="1850" t="s">
        <v>28</v>
      </c>
      <c r="I155" s="1850" t="s">
        <v>897</v>
      </c>
    </row>
    <row r="156" ht="11.25" customHeight="1">
      <c r="A156" s="1850" t="s">
        <v>2251</v>
      </c>
      <c r="B156" s="1850" t="s">
        <v>16</v>
      </c>
      <c r="C156" s="1850" t="s">
        <v>2631</v>
      </c>
      <c r="D156" s="1850" t="s">
        <v>2632</v>
      </c>
      <c r="E156" s="1850" t="s">
        <v>2633</v>
      </c>
      <c r="F156" s="1850" t="s">
        <v>2634</v>
      </c>
      <c r="G156" s="1850" t="s">
        <v>2635</v>
      </c>
      <c r="H156" s="1850" t="s">
        <v>28</v>
      </c>
      <c r="I156" s="1850" t="s">
        <v>897</v>
      </c>
    </row>
    <row r="157" ht="11.25" customHeight="1">
      <c r="A157" s="1850" t="s">
        <v>2251</v>
      </c>
      <c r="B157" s="1850" t="s">
        <v>16</v>
      </c>
      <c r="C157" s="1850" t="s">
        <v>2667</v>
      </c>
      <c r="D157" s="1850" t="s">
        <v>2668</v>
      </c>
      <c r="E157" s="1850" t="s">
        <v>2669</v>
      </c>
      <c r="F157" s="1850" t="s">
        <v>2462</v>
      </c>
      <c r="G157" s="1850" t="s">
        <v>28</v>
      </c>
      <c r="H157" s="1850" t="s">
        <v>28</v>
      </c>
      <c r="I157" s="1850" t="s">
        <v>897</v>
      </c>
    </row>
    <row r="158" ht="11.25" customHeight="1">
      <c r="A158" s="1850" t="s">
        <v>2251</v>
      </c>
      <c r="B158" s="1850" t="s">
        <v>16</v>
      </c>
      <c r="C158" s="1850" t="s">
        <v>2678</v>
      </c>
      <c r="D158" s="1850" t="s">
        <v>2679</v>
      </c>
      <c r="E158" s="1850" t="s">
        <v>2680</v>
      </c>
      <c r="F158" s="1850" t="s">
        <v>2284</v>
      </c>
      <c r="G158" s="1850" t="s">
        <v>28</v>
      </c>
      <c r="H158" s="1850" t="s">
        <v>28</v>
      </c>
      <c r="I158" s="1850" t="s">
        <v>897</v>
      </c>
    </row>
    <row r="159" ht="11.25" customHeight="1">
      <c r="A159" s="1850" t="s">
        <v>2251</v>
      </c>
      <c r="B159" s="1850" t="s">
        <v>16</v>
      </c>
      <c r="C159" s="1850" t="s">
        <v>28</v>
      </c>
      <c r="D159" s="1850" t="s">
        <v>2252</v>
      </c>
      <c r="E159" s="1850" t="s">
        <v>2253</v>
      </c>
      <c r="F159" s="1850" t="s">
        <v>2254</v>
      </c>
      <c r="G159" s="1850" t="s">
        <v>28</v>
      </c>
      <c r="H159" s="1850" t="s">
        <v>28</v>
      </c>
      <c r="I159" s="1850" t="s">
        <v>857</v>
      </c>
    </row>
    <row r="160" ht="11.25" customHeight="1">
      <c r="A160" s="1850" t="s">
        <v>2251</v>
      </c>
      <c r="B160" s="1850" t="s">
        <v>16</v>
      </c>
      <c r="C160" s="1850" t="s">
        <v>2255</v>
      </c>
      <c r="D160" s="1850" t="s">
        <v>2256</v>
      </c>
      <c r="E160" s="1850" t="s">
        <v>2257</v>
      </c>
      <c r="F160" s="1850" t="s">
        <v>2258</v>
      </c>
      <c r="G160" s="1850" t="s">
        <v>28</v>
      </c>
      <c r="H160" s="1850" t="s">
        <v>28</v>
      </c>
      <c r="I160" s="1850" t="s">
        <v>857</v>
      </c>
    </row>
    <row r="161" ht="11.25" customHeight="1">
      <c r="A161" s="1850" t="s">
        <v>2251</v>
      </c>
      <c r="B161" s="1850" t="s">
        <v>16</v>
      </c>
      <c r="C161" s="1850" t="s">
        <v>2268</v>
      </c>
      <c r="D161" s="1850" t="s">
        <v>2269</v>
      </c>
      <c r="E161" s="1850" t="s">
        <v>2270</v>
      </c>
      <c r="F161" s="1850" t="s">
        <v>2271</v>
      </c>
      <c r="G161" s="1850" t="s">
        <v>28</v>
      </c>
      <c r="H161" s="1850" t="s">
        <v>28</v>
      </c>
      <c r="I161" s="1850" t="s">
        <v>857</v>
      </c>
    </row>
    <row r="162" ht="11.25" customHeight="1">
      <c r="A162" s="1850" t="s">
        <v>2251</v>
      </c>
      <c r="B162" s="1850" t="s">
        <v>16</v>
      </c>
      <c r="C162" s="1850" t="s">
        <v>13</v>
      </c>
      <c r="D162" s="1850" t="s">
        <v>46</v>
      </c>
      <c r="E162" s="1850" t="s">
        <v>49</v>
      </c>
      <c r="F162" s="1850" t="s">
        <v>51</v>
      </c>
      <c r="G162" s="1850" t="s">
        <v>28</v>
      </c>
      <c r="H162" s="1850" t="s">
        <v>28</v>
      </c>
      <c r="I162" s="1850" t="s">
        <v>857</v>
      </c>
    </row>
    <row r="163" ht="11.25" customHeight="1">
      <c r="A163" s="1850" t="s">
        <v>2251</v>
      </c>
      <c r="B163" s="1850" t="s">
        <v>16</v>
      </c>
      <c r="C163" s="1850" t="s">
        <v>2272</v>
      </c>
      <c r="D163" s="1850" t="s">
        <v>46</v>
      </c>
      <c r="E163" s="1850" t="s">
        <v>49</v>
      </c>
      <c r="F163" s="1850" t="s">
        <v>2273</v>
      </c>
      <c r="G163" s="1850" t="s">
        <v>2274</v>
      </c>
      <c r="H163" s="1850" t="s">
        <v>28</v>
      </c>
      <c r="I163" s="1850" t="s">
        <v>857</v>
      </c>
    </row>
    <row r="164" ht="11.25" customHeight="1">
      <c r="A164" s="1850" t="s">
        <v>2251</v>
      </c>
      <c r="B164" s="1850" t="s">
        <v>16</v>
      </c>
      <c r="C164" s="1850" t="s">
        <v>2278</v>
      </c>
      <c r="D164" s="1850" t="s">
        <v>2279</v>
      </c>
      <c r="E164" s="1850" t="s">
        <v>49</v>
      </c>
      <c r="F164" s="1850" t="s">
        <v>2280</v>
      </c>
      <c r="G164" s="1850" t="s">
        <v>28</v>
      </c>
      <c r="H164" s="1850" t="s">
        <v>28</v>
      </c>
      <c r="I164" s="1850" t="s">
        <v>857</v>
      </c>
    </row>
    <row r="165" ht="11.25" customHeight="1">
      <c r="A165" s="1850" t="s">
        <v>2251</v>
      </c>
      <c r="B165" s="1850" t="s">
        <v>16</v>
      </c>
      <c r="C165" s="1850" t="s">
        <v>2281</v>
      </c>
      <c r="D165" s="1850" t="s">
        <v>2282</v>
      </c>
      <c r="E165" s="1850" t="s">
        <v>2283</v>
      </c>
      <c r="F165" s="1850" t="s">
        <v>2284</v>
      </c>
      <c r="G165" s="1850" t="s">
        <v>28</v>
      </c>
      <c r="H165" s="1850" t="s">
        <v>28</v>
      </c>
      <c r="I165" s="1850" t="s">
        <v>857</v>
      </c>
    </row>
    <row r="166" ht="11.25" customHeight="1">
      <c r="A166" s="1850" t="s">
        <v>2251</v>
      </c>
      <c r="B166" s="1850" t="s">
        <v>16</v>
      </c>
      <c r="C166" s="1850" t="s">
        <v>2293</v>
      </c>
      <c r="D166" s="1850" t="s">
        <v>2294</v>
      </c>
      <c r="E166" s="1850" t="s">
        <v>2295</v>
      </c>
      <c r="F166" s="1850" t="s">
        <v>2296</v>
      </c>
      <c r="G166" s="1850" t="s">
        <v>28</v>
      </c>
      <c r="H166" s="1850" t="s">
        <v>28</v>
      </c>
      <c r="I166" s="1850" t="s">
        <v>857</v>
      </c>
    </row>
    <row r="167" ht="11.25" customHeight="1">
      <c r="A167" s="1850" t="s">
        <v>2251</v>
      </c>
      <c r="B167" s="1850" t="s">
        <v>16</v>
      </c>
      <c r="C167" s="1850" t="s">
        <v>2703</v>
      </c>
      <c r="D167" s="1850" t="s">
        <v>2704</v>
      </c>
      <c r="E167" s="1850" t="s">
        <v>2705</v>
      </c>
      <c r="F167" s="1850" t="s">
        <v>2500</v>
      </c>
      <c r="G167" s="1850" t="s">
        <v>2706</v>
      </c>
      <c r="H167" s="1850" t="s">
        <v>28</v>
      </c>
      <c r="I167" s="1850" t="s">
        <v>857</v>
      </c>
    </row>
    <row r="168" ht="11.25" customHeight="1">
      <c r="A168" s="1850" t="s">
        <v>2251</v>
      </c>
      <c r="B168" s="1850" t="s">
        <v>16</v>
      </c>
      <c r="C168" s="1850" t="s">
        <v>2302</v>
      </c>
      <c r="D168" s="1850" t="s">
        <v>2303</v>
      </c>
      <c r="E168" s="1850" t="s">
        <v>2304</v>
      </c>
      <c r="F168" s="1850" t="s">
        <v>2262</v>
      </c>
      <c r="G168" s="1850" t="s">
        <v>28</v>
      </c>
      <c r="H168" s="1850" t="s">
        <v>28</v>
      </c>
      <c r="I168" s="1850" t="s">
        <v>857</v>
      </c>
    </row>
    <row r="169" ht="11.25" customHeight="1">
      <c r="A169" s="1850" t="s">
        <v>2251</v>
      </c>
      <c r="B169" s="1850" t="s">
        <v>16</v>
      </c>
      <c r="C169" s="1850" t="s">
        <v>2707</v>
      </c>
      <c r="D169" s="1850" t="s">
        <v>2708</v>
      </c>
      <c r="E169" s="1850" t="s">
        <v>2709</v>
      </c>
      <c r="F169" s="1850" t="s">
        <v>2284</v>
      </c>
      <c r="G169" s="1850" t="s">
        <v>2710</v>
      </c>
      <c r="H169" s="1850" t="s">
        <v>28</v>
      </c>
      <c r="I169" s="1850" t="s">
        <v>857</v>
      </c>
    </row>
    <row r="170" ht="11.25" customHeight="1">
      <c r="A170" s="1850" t="s">
        <v>2251</v>
      </c>
      <c r="B170" s="1850" t="s">
        <v>16</v>
      </c>
      <c r="C170" s="1850" t="s">
        <v>2314</v>
      </c>
      <c r="D170" s="1850" t="s">
        <v>2315</v>
      </c>
      <c r="E170" s="1850" t="s">
        <v>2316</v>
      </c>
      <c r="F170" s="1850" t="s">
        <v>2317</v>
      </c>
      <c r="G170" s="1850" t="s">
        <v>2318</v>
      </c>
      <c r="H170" s="1850" t="s">
        <v>28</v>
      </c>
      <c r="I170" s="1850" t="s">
        <v>857</v>
      </c>
    </row>
    <row r="171" ht="11.25" customHeight="1">
      <c r="A171" s="1850" t="s">
        <v>2251</v>
      </c>
      <c r="B171" s="1850" t="s">
        <v>16</v>
      </c>
      <c r="C171" s="1850" t="s">
        <v>2711</v>
      </c>
      <c r="D171" s="1850" t="s">
        <v>2712</v>
      </c>
      <c r="E171" s="1850" t="s">
        <v>2713</v>
      </c>
      <c r="F171" s="1850" t="s">
        <v>2262</v>
      </c>
      <c r="G171" s="1850" t="s">
        <v>28</v>
      </c>
      <c r="H171" s="1850" t="s">
        <v>28</v>
      </c>
      <c r="I171" s="1850" t="s">
        <v>857</v>
      </c>
    </row>
    <row r="172" ht="11.25" customHeight="1">
      <c r="A172" s="1850" t="s">
        <v>2251</v>
      </c>
      <c r="B172" s="1850" t="s">
        <v>16</v>
      </c>
      <c r="C172" s="1850" t="s">
        <v>2322</v>
      </c>
      <c r="D172" s="1850" t="s">
        <v>2323</v>
      </c>
      <c r="E172" s="1850" t="s">
        <v>2324</v>
      </c>
      <c r="F172" s="1850" t="s">
        <v>2325</v>
      </c>
      <c r="G172" s="1850" t="s">
        <v>28</v>
      </c>
      <c r="H172" s="1850" t="s">
        <v>28</v>
      </c>
      <c r="I172" s="1850" t="s">
        <v>857</v>
      </c>
    </row>
    <row r="173" ht="11.25" customHeight="1">
      <c r="A173" s="1850" t="s">
        <v>2251</v>
      </c>
      <c r="B173" s="1850" t="s">
        <v>16</v>
      </c>
      <c r="C173" s="1850" t="s">
        <v>2714</v>
      </c>
      <c r="D173" s="1850" t="s">
        <v>2715</v>
      </c>
      <c r="E173" s="1850" t="s">
        <v>2716</v>
      </c>
      <c r="F173" s="1850" t="s">
        <v>2677</v>
      </c>
      <c r="G173" s="1850" t="s">
        <v>2717</v>
      </c>
      <c r="H173" s="1850" t="s">
        <v>28</v>
      </c>
      <c r="I173" s="1850" t="s">
        <v>857</v>
      </c>
    </row>
    <row r="174" ht="11.25" customHeight="1">
      <c r="A174" s="1850" t="s">
        <v>2251</v>
      </c>
      <c r="B174" s="1850" t="s">
        <v>16</v>
      </c>
      <c r="C174" s="1850" t="s">
        <v>2334</v>
      </c>
      <c r="D174" s="1850" t="s">
        <v>2335</v>
      </c>
      <c r="E174" s="1850" t="s">
        <v>2336</v>
      </c>
      <c r="F174" s="1850" t="s">
        <v>2254</v>
      </c>
      <c r="G174" s="1850" t="s">
        <v>2337</v>
      </c>
      <c r="H174" s="1850" t="s">
        <v>28</v>
      </c>
      <c r="I174" s="1850" t="s">
        <v>857</v>
      </c>
    </row>
    <row r="175" ht="11.25" customHeight="1">
      <c r="A175" s="1850" t="s">
        <v>2251</v>
      </c>
      <c r="B175" s="1850" t="s">
        <v>16</v>
      </c>
      <c r="C175" s="1850" t="s">
        <v>2718</v>
      </c>
      <c r="D175" s="1850" t="s">
        <v>2719</v>
      </c>
      <c r="E175" s="1850" t="s">
        <v>2720</v>
      </c>
      <c r="F175" s="1850" t="s">
        <v>2721</v>
      </c>
      <c r="G175" s="1850" t="s">
        <v>28</v>
      </c>
      <c r="H175" s="1850" t="s">
        <v>28</v>
      </c>
      <c r="I175" s="1850" t="s">
        <v>857</v>
      </c>
    </row>
    <row r="176" ht="11.25" customHeight="1">
      <c r="A176" s="1850" t="s">
        <v>2251</v>
      </c>
      <c r="B176" s="1850" t="s">
        <v>16</v>
      </c>
      <c r="C176" s="1850" t="s">
        <v>2356</v>
      </c>
      <c r="D176" s="1850" t="s">
        <v>2357</v>
      </c>
      <c r="E176" s="1850" t="s">
        <v>2354</v>
      </c>
      <c r="F176" s="1850" t="s">
        <v>2358</v>
      </c>
      <c r="G176" s="1850" t="s">
        <v>28</v>
      </c>
      <c r="H176" s="1850" t="s">
        <v>28</v>
      </c>
      <c r="I176" s="1850" t="s">
        <v>857</v>
      </c>
    </row>
    <row r="177" ht="11.25" customHeight="1">
      <c r="A177" s="1850" t="s">
        <v>2251</v>
      </c>
      <c r="B177" s="1850" t="s">
        <v>16</v>
      </c>
      <c r="C177" s="1850" t="s">
        <v>2722</v>
      </c>
      <c r="D177" s="1850" t="s">
        <v>2723</v>
      </c>
      <c r="E177" s="1850" t="s">
        <v>2724</v>
      </c>
      <c r="F177" s="1850" t="s">
        <v>2393</v>
      </c>
      <c r="G177" s="1850" t="s">
        <v>28</v>
      </c>
      <c r="H177" s="1850" t="s">
        <v>2725</v>
      </c>
      <c r="I177" s="1850" t="s">
        <v>857</v>
      </c>
    </row>
    <row r="178" ht="11.25" customHeight="1">
      <c r="A178" s="1850" t="s">
        <v>2251</v>
      </c>
      <c r="B178" s="1850" t="s">
        <v>16</v>
      </c>
      <c r="C178" s="1850" t="s">
        <v>2368</v>
      </c>
      <c r="D178" s="1850" t="s">
        <v>2369</v>
      </c>
      <c r="E178" s="1850" t="s">
        <v>2370</v>
      </c>
      <c r="F178" s="1850" t="s">
        <v>2308</v>
      </c>
      <c r="G178" s="1850" t="s">
        <v>28</v>
      </c>
      <c r="H178" s="1850" t="s">
        <v>28</v>
      </c>
      <c r="I178" s="1850" t="s">
        <v>857</v>
      </c>
    </row>
    <row r="179" ht="11.25" customHeight="1">
      <c r="A179" s="1850" t="s">
        <v>2251</v>
      </c>
      <c r="B179" s="1850" t="s">
        <v>16</v>
      </c>
      <c r="C179" s="1850" t="s">
        <v>2726</v>
      </c>
      <c r="D179" s="1850" t="s">
        <v>2727</v>
      </c>
      <c r="E179" s="1850" t="s">
        <v>2728</v>
      </c>
      <c r="F179" s="1850" t="s">
        <v>578</v>
      </c>
      <c r="G179" s="1850" t="s">
        <v>28</v>
      </c>
      <c r="H179" s="1850" t="s">
        <v>28</v>
      </c>
      <c r="I179" s="1850" t="s">
        <v>857</v>
      </c>
    </row>
    <row r="180" ht="11.25" customHeight="1">
      <c r="A180" s="1850" t="s">
        <v>2251</v>
      </c>
      <c r="B180" s="1850" t="s">
        <v>16</v>
      </c>
      <c r="C180" s="1850" t="s">
        <v>2729</v>
      </c>
      <c r="D180" s="1850" t="s">
        <v>2730</v>
      </c>
      <c r="E180" s="1850" t="s">
        <v>2731</v>
      </c>
      <c r="F180" s="1850" t="s">
        <v>578</v>
      </c>
      <c r="G180" s="1850" t="s">
        <v>28</v>
      </c>
      <c r="H180" s="1850" t="s">
        <v>28</v>
      </c>
      <c r="I180" s="1850" t="s">
        <v>857</v>
      </c>
    </row>
    <row r="181" ht="11.25" customHeight="1">
      <c r="A181" s="1850" t="s">
        <v>2251</v>
      </c>
      <c r="B181" s="1850" t="s">
        <v>16</v>
      </c>
      <c r="C181" s="1850" t="s">
        <v>2732</v>
      </c>
      <c r="D181" s="1850" t="s">
        <v>2733</v>
      </c>
      <c r="E181" s="1850" t="s">
        <v>2734</v>
      </c>
      <c r="F181" s="1850" t="s">
        <v>578</v>
      </c>
      <c r="G181" s="1850" t="s">
        <v>28</v>
      </c>
      <c r="H181" s="1850" t="s">
        <v>28</v>
      </c>
      <c r="I181" s="1850" t="s">
        <v>857</v>
      </c>
    </row>
    <row r="182" ht="11.25" customHeight="1">
      <c r="A182" s="1850" t="s">
        <v>2251</v>
      </c>
      <c r="B182" s="1850" t="s">
        <v>16</v>
      </c>
      <c r="C182" s="1850" t="s">
        <v>2394</v>
      </c>
      <c r="D182" s="1850" t="s">
        <v>2395</v>
      </c>
      <c r="E182" s="1850" t="s">
        <v>2396</v>
      </c>
      <c r="F182" s="1850" t="s">
        <v>2362</v>
      </c>
      <c r="G182" s="1850" t="s">
        <v>28</v>
      </c>
      <c r="H182" s="1850" t="s">
        <v>28</v>
      </c>
      <c r="I182" s="1850" t="s">
        <v>857</v>
      </c>
    </row>
    <row r="183" ht="11.25" customHeight="1">
      <c r="A183" s="1850" t="s">
        <v>2251</v>
      </c>
      <c r="B183" s="1850" t="s">
        <v>16</v>
      </c>
      <c r="C183" s="1850" t="s">
        <v>2735</v>
      </c>
      <c r="D183" s="1850" t="s">
        <v>2405</v>
      </c>
      <c r="E183" s="1850" t="s">
        <v>2406</v>
      </c>
      <c r="F183" s="1850" t="s">
        <v>2736</v>
      </c>
      <c r="G183" s="1850" t="s">
        <v>28</v>
      </c>
      <c r="H183" s="1850" t="s">
        <v>28</v>
      </c>
      <c r="I183" s="1850" t="s">
        <v>857</v>
      </c>
    </row>
    <row r="184" ht="11.25" customHeight="1">
      <c r="A184" s="1850" t="s">
        <v>2251</v>
      </c>
      <c r="B184" s="1850" t="s">
        <v>16</v>
      </c>
      <c r="C184" s="1850" t="s">
        <v>2684</v>
      </c>
      <c r="D184" s="1850" t="s">
        <v>2405</v>
      </c>
      <c r="E184" s="1850" t="s">
        <v>2406</v>
      </c>
      <c r="F184" s="1850" t="s">
        <v>2685</v>
      </c>
      <c r="G184" s="1850" t="s">
        <v>28</v>
      </c>
      <c r="H184" s="1850" t="s">
        <v>28</v>
      </c>
      <c r="I184" s="1850" t="s">
        <v>857</v>
      </c>
    </row>
    <row r="185" ht="11.25" customHeight="1">
      <c r="A185" s="1850" t="s">
        <v>2251</v>
      </c>
      <c r="B185" s="1850" t="s">
        <v>16</v>
      </c>
      <c r="C185" s="1850" t="s">
        <v>2686</v>
      </c>
      <c r="D185" s="1850" t="s">
        <v>2405</v>
      </c>
      <c r="E185" s="1850" t="s">
        <v>2406</v>
      </c>
      <c r="F185" s="1850" t="s">
        <v>2687</v>
      </c>
      <c r="G185" s="1850" t="s">
        <v>28</v>
      </c>
      <c r="H185" s="1850" t="s">
        <v>28</v>
      </c>
      <c r="I185" s="1850" t="s">
        <v>857</v>
      </c>
    </row>
    <row r="186" ht="11.25" customHeight="1">
      <c r="A186" s="1850" t="s">
        <v>2251</v>
      </c>
      <c r="B186" s="1850" t="s">
        <v>16</v>
      </c>
      <c r="C186" s="1850" t="s">
        <v>2688</v>
      </c>
      <c r="D186" s="1850" t="s">
        <v>2405</v>
      </c>
      <c r="E186" s="1850" t="s">
        <v>2406</v>
      </c>
      <c r="F186" s="1850" t="s">
        <v>2689</v>
      </c>
      <c r="G186" s="1850" t="s">
        <v>28</v>
      </c>
      <c r="H186" s="1850" t="s">
        <v>28</v>
      </c>
      <c r="I186" s="1850" t="s">
        <v>857</v>
      </c>
    </row>
    <row r="187" ht="11.25" customHeight="1">
      <c r="A187" s="1850" t="s">
        <v>2251</v>
      </c>
      <c r="B187" s="1850" t="s">
        <v>16</v>
      </c>
      <c r="C187" s="1850" t="s">
        <v>2737</v>
      </c>
      <c r="D187" s="1850" t="s">
        <v>2405</v>
      </c>
      <c r="E187" s="1850" t="s">
        <v>2406</v>
      </c>
      <c r="F187" s="1850" t="s">
        <v>2738</v>
      </c>
      <c r="G187" s="1850" t="s">
        <v>28</v>
      </c>
      <c r="H187" s="1850" t="s">
        <v>28</v>
      </c>
      <c r="I187" s="1850" t="s">
        <v>857</v>
      </c>
    </row>
    <row r="188" ht="11.25" customHeight="1">
      <c r="A188" s="1850" t="s">
        <v>2251</v>
      </c>
      <c r="B188" s="1850" t="s">
        <v>16</v>
      </c>
      <c r="C188" s="1850" t="s">
        <v>2690</v>
      </c>
      <c r="D188" s="1850" t="s">
        <v>2405</v>
      </c>
      <c r="E188" s="1850" t="s">
        <v>2406</v>
      </c>
      <c r="F188" s="1850" t="s">
        <v>2691</v>
      </c>
      <c r="G188" s="1850" t="s">
        <v>28</v>
      </c>
      <c r="H188" s="1850" t="s">
        <v>28</v>
      </c>
      <c r="I188" s="1850" t="s">
        <v>857</v>
      </c>
    </row>
    <row r="189" ht="11.25" customHeight="1">
      <c r="A189" s="1850" t="s">
        <v>2251</v>
      </c>
      <c r="B189" s="1850" t="s">
        <v>16</v>
      </c>
      <c r="C189" s="1850" t="s">
        <v>2692</v>
      </c>
      <c r="D189" s="1850" t="s">
        <v>2405</v>
      </c>
      <c r="E189" s="1850" t="s">
        <v>2406</v>
      </c>
      <c r="F189" s="1850" t="s">
        <v>2693</v>
      </c>
      <c r="G189" s="1850" t="s">
        <v>28</v>
      </c>
      <c r="H189" s="1850" t="s">
        <v>28</v>
      </c>
      <c r="I189" s="1850" t="s">
        <v>857</v>
      </c>
    </row>
    <row r="190" ht="11.25" customHeight="1">
      <c r="A190" s="1850" t="s">
        <v>2251</v>
      </c>
      <c r="B190" s="1850" t="s">
        <v>16</v>
      </c>
      <c r="C190" s="1850" t="s">
        <v>2694</v>
      </c>
      <c r="D190" s="1850" t="s">
        <v>2405</v>
      </c>
      <c r="E190" s="1850" t="s">
        <v>2406</v>
      </c>
      <c r="F190" s="1850" t="s">
        <v>2695</v>
      </c>
      <c r="G190" s="1850" t="s">
        <v>28</v>
      </c>
      <c r="H190" s="1850" t="s">
        <v>28</v>
      </c>
      <c r="I190" s="1850" t="s">
        <v>857</v>
      </c>
    </row>
    <row r="191" ht="11.25" customHeight="1">
      <c r="A191" s="1850" t="s">
        <v>2251</v>
      </c>
      <c r="B191" s="1850" t="s">
        <v>16</v>
      </c>
      <c r="C191" s="1850" t="s">
        <v>2696</v>
      </c>
      <c r="D191" s="1850" t="s">
        <v>2405</v>
      </c>
      <c r="E191" s="1850" t="s">
        <v>2406</v>
      </c>
      <c r="F191" s="1850" t="s">
        <v>2697</v>
      </c>
      <c r="G191" s="1850" t="s">
        <v>28</v>
      </c>
      <c r="H191" s="1850" t="s">
        <v>28</v>
      </c>
      <c r="I191" s="1850" t="s">
        <v>857</v>
      </c>
    </row>
    <row r="192" ht="11.25" customHeight="1">
      <c r="A192" s="1850" t="s">
        <v>2251</v>
      </c>
      <c r="B192" s="1850" t="s">
        <v>16</v>
      </c>
      <c r="C192" s="1850" t="s">
        <v>2698</v>
      </c>
      <c r="D192" s="1850" t="s">
        <v>2405</v>
      </c>
      <c r="E192" s="1850" t="s">
        <v>2406</v>
      </c>
      <c r="F192" s="1850" t="s">
        <v>2699</v>
      </c>
      <c r="G192" s="1850" t="s">
        <v>28</v>
      </c>
      <c r="H192" s="1850" t="s">
        <v>28</v>
      </c>
      <c r="I192" s="1850" t="s">
        <v>857</v>
      </c>
    </row>
    <row r="193" ht="11.25" customHeight="1">
      <c r="A193" s="1850" t="s">
        <v>2251</v>
      </c>
      <c r="B193" s="1850" t="s">
        <v>16</v>
      </c>
      <c r="C193" s="1850" t="s">
        <v>2404</v>
      </c>
      <c r="D193" s="1850" t="s">
        <v>2405</v>
      </c>
      <c r="E193" s="1850" t="s">
        <v>2406</v>
      </c>
      <c r="F193" s="1850" t="s">
        <v>2403</v>
      </c>
      <c r="G193" s="1850" t="s">
        <v>28</v>
      </c>
      <c r="H193" s="1850" t="s">
        <v>28</v>
      </c>
      <c r="I193" s="1850" t="s">
        <v>857</v>
      </c>
    </row>
    <row r="194" ht="11.25" customHeight="1">
      <c r="A194" s="1850" t="s">
        <v>2251</v>
      </c>
      <c r="B194" s="1850" t="s">
        <v>16</v>
      </c>
      <c r="C194" s="1850" t="s">
        <v>2739</v>
      </c>
      <c r="D194" s="1850" t="s">
        <v>2740</v>
      </c>
      <c r="E194" s="1850" t="s">
        <v>2741</v>
      </c>
      <c r="F194" s="1850" t="s">
        <v>2284</v>
      </c>
      <c r="G194" s="1850" t="s">
        <v>28</v>
      </c>
      <c r="H194" s="1850" t="s">
        <v>28</v>
      </c>
      <c r="I194" s="1850" t="s">
        <v>857</v>
      </c>
    </row>
    <row r="195" ht="11.25" customHeight="1">
      <c r="A195" s="1850" t="s">
        <v>2251</v>
      </c>
      <c r="B195" s="1850" t="s">
        <v>16</v>
      </c>
      <c r="C195" s="1850" t="s">
        <v>2742</v>
      </c>
      <c r="D195" s="1850" t="s">
        <v>2740</v>
      </c>
      <c r="E195" s="1850" t="s">
        <v>2741</v>
      </c>
      <c r="F195" s="1850" t="s">
        <v>2743</v>
      </c>
      <c r="G195" s="1850" t="s">
        <v>28</v>
      </c>
      <c r="H195" s="1850" t="s">
        <v>28</v>
      </c>
      <c r="I195" s="1850" t="s">
        <v>857</v>
      </c>
    </row>
    <row r="196" ht="11.25" customHeight="1">
      <c r="A196" s="1850" t="s">
        <v>2251</v>
      </c>
      <c r="B196" s="1850" t="s">
        <v>16</v>
      </c>
      <c r="C196" s="1850" t="s">
        <v>2744</v>
      </c>
      <c r="D196" s="1850" t="s">
        <v>2701</v>
      </c>
      <c r="E196" s="1850" t="s">
        <v>2406</v>
      </c>
      <c r="F196" s="1850" t="s">
        <v>2745</v>
      </c>
      <c r="G196" s="1850" t="s">
        <v>28</v>
      </c>
      <c r="H196" s="1850" t="s">
        <v>28</v>
      </c>
      <c r="I196" s="1850" t="s">
        <v>857</v>
      </c>
    </row>
    <row r="197" ht="11.25" customHeight="1">
      <c r="A197" s="1850" t="s">
        <v>2251</v>
      </c>
      <c r="B197" s="1850" t="s">
        <v>16</v>
      </c>
      <c r="C197" s="1850" t="s">
        <v>2700</v>
      </c>
      <c r="D197" s="1850" t="s">
        <v>2701</v>
      </c>
      <c r="E197" s="1850" t="s">
        <v>2406</v>
      </c>
      <c r="F197" s="1850" t="s">
        <v>2702</v>
      </c>
      <c r="G197" s="1850" t="s">
        <v>28</v>
      </c>
      <c r="H197" s="1850" t="s">
        <v>28</v>
      </c>
      <c r="I197" s="1850" t="s">
        <v>857</v>
      </c>
    </row>
    <row r="198" ht="11.25" customHeight="1">
      <c r="A198" s="1850" t="s">
        <v>2251</v>
      </c>
      <c r="B198" s="1850" t="s">
        <v>16</v>
      </c>
      <c r="C198" s="1850" t="s">
        <v>2746</v>
      </c>
      <c r="D198" s="1850" t="s">
        <v>2747</v>
      </c>
      <c r="E198" s="1850" t="s">
        <v>2748</v>
      </c>
      <c r="F198" s="1850" t="s">
        <v>2296</v>
      </c>
      <c r="G198" s="1850" t="s">
        <v>28</v>
      </c>
      <c r="H198" s="1850" t="s">
        <v>28</v>
      </c>
      <c r="I198" s="1850" t="s">
        <v>857</v>
      </c>
    </row>
    <row r="199" ht="11.25" customHeight="1">
      <c r="A199" s="1850" t="s">
        <v>2251</v>
      </c>
      <c r="B199" s="1850" t="s">
        <v>16</v>
      </c>
      <c r="C199" s="1850" t="s">
        <v>2749</v>
      </c>
      <c r="D199" s="1850" t="s">
        <v>2750</v>
      </c>
      <c r="E199" s="1850" t="s">
        <v>2751</v>
      </c>
      <c r="F199" s="1850" t="s">
        <v>2296</v>
      </c>
      <c r="G199" s="1850" t="s">
        <v>2752</v>
      </c>
      <c r="H199" s="1850" t="s">
        <v>28</v>
      </c>
      <c r="I199" s="1850" t="s">
        <v>857</v>
      </c>
    </row>
    <row r="200" ht="11.25" customHeight="1">
      <c r="A200" s="1850" t="s">
        <v>2251</v>
      </c>
      <c r="B200" s="1850" t="s">
        <v>16</v>
      </c>
      <c r="C200" s="1850" t="s">
        <v>2753</v>
      </c>
      <c r="D200" s="1850" t="s">
        <v>2754</v>
      </c>
      <c r="E200" s="1850" t="s">
        <v>2755</v>
      </c>
      <c r="F200" s="1850" t="s">
        <v>2487</v>
      </c>
      <c r="G200" s="1850" t="s">
        <v>28</v>
      </c>
      <c r="H200" s="1850" t="s">
        <v>28</v>
      </c>
      <c r="I200" s="1850" t="s">
        <v>857</v>
      </c>
    </row>
    <row r="201" ht="11.25" customHeight="1">
      <c r="A201" s="1850" t="s">
        <v>2251</v>
      </c>
      <c r="B201" s="1850" t="s">
        <v>16</v>
      </c>
      <c r="C201" s="1850" t="s">
        <v>2756</v>
      </c>
      <c r="D201" s="1850" t="s">
        <v>2757</v>
      </c>
      <c r="E201" s="1850" t="s">
        <v>2758</v>
      </c>
      <c r="F201" s="1850" t="s">
        <v>2595</v>
      </c>
      <c r="G201" s="1850" t="s">
        <v>28</v>
      </c>
      <c r="H201" s="1850" t="s">
        <v>28</v>
      </c>
      <c r="I201" s="1850" t="s">
        <v>857</v>
      </c>
    </row>
    <row r="202" ht="11.25" customHeight="1">
      <c r="A202" s="1850" t="s">
        <v>2251</v>
      </c>
      <c r="B202" s="1850" t="s">
        <v>16</v>
      </c>
      <c r="C202" s="1850" t="s">
        <v>2759</v>
      </c>
      <c r="D202" s="1850" t="s">
        <v>2760</v>
      </c>
      <c r="E202" s="1850" t="s">
        <v>2761</v>
      </c>
      <c r="F202" s="1850" t="s">
        <v>2317</v>
      </c>
      <c r="G202" s="1850" t="s">
        <v>28</v>
      </c>
      <c r="H202" s="1850" t="s">
        <v>28</v>
      </c>
      <c r="I202" s="1850" t="s">
        <v>857</v>
      </c>
    </row>
    <row r="203" ht="11.25" customHeight="1">
      <c r="A203" s="1850" t="s">
        <v>2251</v>
      </c>
      <c r="B203" s="1850" t="s">
        <v>16</v>
      </c>
      <c r="C203" s="1850" t="s">
        <v>2762</v>
      </c>
      <c r="D203" s="1850" t="s">
        <v>2763</v>
      </c>
      <c r="E203" s="1850" t="s">
        <v>2764</v>
      </c>
      <c r="F203" s="1850" t="s">
        <v>2414</v>
      </c>
      <c r="G203" s="1850" t="s">
        <v>28</v>
      </c>
      <c r="H203" s="1850" t="s">
        <v>28</v>
      </c>
      <c r="I203" s="1850" t="s">
        <v>857</v>
      </c>
    </row>
    <row r="204" ht="11.25" customHeight="1">
      <c r="A204" s="1850" t="s">
        <v>2251</v>
      </c>
      <c r="B204" s="1850" t="s">
        <v>16</v>
      </c>
      <c r="C204" s="1850" t="s">
        <v>2765</v>
      </c>
      <c r="D204" s="1850" t="s">
        <v>2766</v>
      </c>
      <c r="E204" s="1850" t="s">
        <v>2767</v>
      </c>
      <c r="F204" s="1850" t="s">
        <v>2768</v>
      </c>
      <c r="G204" s="1850" t="s">
        <v>28</v>
      </c>
      <c r="H204" s="1850" t="s">
        <v>28</v>
      </c>
      <c r="I204" s="1850" t="s">
        <v>857</v>
      </c>
    </row>
    <row r="205" ht="11.25" customHeight="1">
      <c r="A205" s="1850" t="s">
        <v>2251</v>
      </c>
      <c r="B205" s="1850" t="s">
        <v>16</v>
      </c>
      <c r="C205" s="1850" t="s">
        <v>2769</v>
      </c>
      <c r="D205" s="1850" t="s">
        <v>2770</v>
      </c>
      <c r="E205" s="1850" t="s">
        <v>2771</v>
      </c>
      <c r="F205" s="1850" t="s">
        <v>2317</v>
      </c>
      <c r="G205" s="1850" t="s">
        <v>28</v>
      </c>
      <c r="H205" s="1850" t="s">
        <v>28</v>
      </c>
      <c r="I205" s="1850" t="s">
        <v>857</v>
      </c>
    </row>
    <row r="206" ht="11.25" customHeight="1">
      <c r="A206" s="1850" t="s">
        <v>2251</v>
      </c>
      <c r="B206" s="1850" t="s">
        <v>16</v>
      </c>
      <c r="C206" s="1850" t="s">
        <v>2411</v>
      </c>
      <c r="D206" s="1850" t="s">
        <v>2412</v>
      </c>
      <c r="E206" s="1850" t="s">
        <v>2413</v>
      </c>
      <c r="F206" s="1850" t="s">
        <v>2414</v>
      </c>
      <c r="G206" s="1850" t="s">
        <v>28</v>
      </c>
      <c r="H206" s="1850" t="s">
        <v>28</v>
      </c>
      <c r="I206" s="1850" t="s">
        <v>857</v>
      </c>
    </row>
    <row r="207" ht="11.25" customHeight="1">
      <c r="A207" s="1850" t="s">
        <v>2251</v>
      </c>
      <c r="B207" s="1850" t="s">
        <v>16</v>
      </c>
      <c r="C207" s="1850" t="s">
        <v>2772</v>
      </c>
      <c r="D207" s="1850" t="s">
        <v>2773</v>
      </c>
      <c r="E207" s="1850" t="s">
        <v>2774</v>
      </c>
      <c r="F207" s="1850" t="s">
        <v>2431</v>
      </c>
      <c r="G207" s="1850" t="s">
        <v>2775</v>
      </c>
      <c r="H207" s="1850" t="s">
        <v>28</v>
      </c>
      <c r="I207" s="1850" t="s">
        <v>857</v>
      </c>
    </row>
    <row r="208" ht="11.25" customHeight="1">
      <c r="A208" s="1850" t="s">
        <v>2251</v>
      </c>
      <c r="B208" s="1850" t="s">
        <v>16</v>
      </c>
      <c r="C208" s="1850" t="s">
        <v>2776</v>
      </c>
      <c r="D208" s="1850" t="s">
        <v>2777</v>
      </c>
      <c r="E208" s="1850" t="s">
        <v>2778</v>
      </c>
      <c r="F208" s="1850" t="s">
        <v>2779</v>
      </c>
      <c r="G208" s="1850" t="s">
        <v>28</v>
      </c>
      <c r="H208" s="1850" t="s">
        <v>28</v>
      </c>
      <c r="I208" s="1850" t="s">
        <v>857</v>
      </c>
    </row>
    <row r="209" ht="11.25" customHeight="1">
      <c r="A209" s="1850" t="s">
        <v>2251</v>
      </c>
      <c r="B209" s="1850" t="s">
        <v>16</v>
      </c>
      <c r="C209" s="1850" t="s">
        <v>2780</v>
      </c>
      <c r="D209" s="1850" t="s">
        <v>2781</v>
      </c>
      <c r="E209" s="1850" t="s">
        <v>2782</v>
      </c>
      <c r="F209" s="1850" t="s">
        <v>2296</v>
      </c>
      <c r="G209" s="1850" t="s">
        <v>2783</v>
      </c>
      <c r="H209" s="1850" t="s">
        <v>28</v>
      </c>
      <c r="I209" s="1850" t="s">
        <v>857</v>
      </c>
    </row>
    <row r="210" ht="11.25" customHeight="1">
      <c r="A210" s="1850" t="s">
        <v>2251</v>
      </c>
      <c r="B210" s="1850" t="s">
        <v>16</v>
      </c>
      <c r="C210" s="1850" t="s">
        <v>2784</v>
      </c>
      <c r="D210" s="1850" t="s">
        <v>2785</v>
      </c>
      <c r="E210" s="1850" t="s">
        <v>2786</v>
      </c>
      <c r="F210" s="1850" t="s">
        <v>2296</v>
      </c>
      <c r="G210" s="1850" t="s">
        <v>2787</v>
      </c>
      <c r="H210" s="1850" t="s">
        <v>28</v>
      </c>
      <c r="I210" s="1850" t="s">
        <v>857</v>
      </c>
    </row>
    <row r="211" ht="11.25" customHeight="1">
      <c r="A211" s="1850" t="s">
        <v>2251</v>
      </c>
      <c r="B211" s="1850" t="s">
        <v>16</v>
      </c>
      <c r="C211" s="1850" t="s">
        <v>2418</v>
      </c>
      <c r="D211" s="1850" t="s">
        <v>2419</v>
      </c>
      <c r="E211" s="1850" t="s">
        <v>2420</v>
      </c>
      <c r="F211" s="1850" t="s">
        <v>2421</v>
      </c>
      <c r="G211" s="1850" t="s">
        <v>28</v>
      </c>
      <c r="H211" s="1850" t="s">
        <v>28</v>
      </c>
      <c r="I211" s="1850" t="s">
        <v>857</v>
      </c>
    </row>
    <row r="212" ht="11.25" customHeight="1">
      <c r="A212" s="1850" t="s">
        <v>2251</v>
      </c>
      <c r="B212" s="1850" t="s">
        <v>16</v>
      </c>
      <c r="C212" s="1850" t="s">
        <v>2422</v>
      </c>
      <c r="D212" s="1850" t="s">
        <v>2423</v>
      </c>
      <c r="E212" s="1850" t="s">
        <v>2424</v>
      </c>
      <c r="F212" s="1850" t="s">
        <v>2292</v>
      </c>
      <c r="G212" s="1850" t="s">
        <v>28</v>
      </c>
      <c r="H212" s="1850" t="s">
        <v>28</v>
      </c>
      <c r="I212" s="1850" t="s">
        <v>857</v>
      </c>
    </row>
    <row r="213" ht="11.25" customHeight="1">
      <c r="A213" s="1850" t="s">
        <v>2251</v>
      </c>
      <c r="B213" s="1850" t="s">
        <v>16</v>
      </c>
      <c r="C213" s="1850" t="s">
        <v>2425</v>
      </c>
      <c r="D213" s="1850" t="s">
        <v>2426</v>
      </c>
      <c r="E213" s="1850" t="s">
        <v>2427</v>
      </c>
      <c r="F213" s="1850" t="s">
        <v>2292</v>
      </c>
      <c r="G213" s="1850" t="s">
        <v>28</v>
      </c>
      <c r="H213" s="1850" t="s">
        <v>28</v>
      </c>
      <c r="I213" s="1850" t="s">
        <v>857</v>
      </c>
    </row>
    <row r="214" ht="11.25" customHeight="1">
      <c r="A214" s="1850" t="s">
        <v>2251</v>
      </c>
      <c r="B214" s="1850" t="s">
        <v>16</v>
      </c>
      <c r="C214" s="1850" t="s">
        <v>2428</v>
      </c>
      <c r="D214" s="1850" t="s">
        <v>2429</v>
      </c>
      <c r="E214" s="1850" t="s">
        <v>2430</v>
      </c>
      <c r="F214" s="1850" t="s">
        <v>2431</v>
      </c>
      <c r="G214" s="1850" t="s">
        <v>28</v>
      </c>
      <c r="H214" s="1850" t="s">
        <v>28</v>
      </c>
      <c r="I214" s="1850" t="s">
        <v>857</v>
      </c>
    </row>
    <row r="215" ht="11.25" customHeight="1">
      <c r="A215" s="1850" t="s">
        <v>2251</v>
      </c>
      <c r="B215" s="1850" t="s">
        <v>16</v>
      </c>
      <c r="C215" s="1850" t="s">
        <v>2788</v>
      </c>
      <c r="D215" s="1850" t="s">
        <v>2789</v>
      </c>
      <c r="E215" s="1850" t="s">
        <v>2790</v>
      </c>
      <c r="F215" s="1850" t="s">
        <v>2362</v>
      </c>
      <c r="G215" s="1850" t="s">
        <v>28</v>
      </c>
      <c r="H215" s="1850" t="s">
        <v>28</v>
      </c>
      <c r="I215" s="1850" t="s">
        <v>857</v>
      </c>
    </row>
    <row r="216" ht="11.25" customHeight="1">
      <c r="A216" s="1850" t="s">
        <v>2251</v>
      </c>
      <c r="B216" s="1850" t="s">
        <v>16</v>
      </c>
      <c r="C216" s="1850" t="s">
        <v>2791</v>
      </c>
      <c r="D216" s="1850" t="s">
        <v>2792</v>
      </c>
      <c r="E216" s="1850" t="s">
        <v>2793</v>
      </c>
      <c r="F216" s="1850" t="s">
        <v>2325</v>
      </c>
      <c r="G216" s="1850" t="s">
        <v>2794</v>
      </c>
      <c r="H216" s="1850" t="s">
        <v>28</v>
      </c>
      <c r="I216" s="1850" t="s">
        <v>857</v>
      </c>
    </row>
    <row r="217" ht="11.25" customHeight="1">
      <c r="A217" s="1850" t="s">
        <v>2251</v>
      </c>
      <c r="B217" s="1850" t="s">
        <v>16</v>
      </c>
      <c r="C217" s="1850" t="s">
        <v>2795</v>
      </c>
      <c r="D217" s="1850" t="s">
        <v>2796</v>
      </c>
      <c r="E217" s="1850" t="s">
        <v>2797</v>
      </c>
      <c r="F217" s="1850" t="s">
        <v>2385</v>
      </c>
      <c r="G217" s="1850" t="s">
        <v>2798</v>
      </c>
      <c r="H217" s="1850" t="s">
        <v>28</v>
      </c>
      <c r="I217" s="1850" t="s">
        <v>857</v>
      </c>
    </row>
    <row r="218" ht="11.25" customHeight="1">
      <c r="A218" s="1850" t="s">
        <v>2251</v>
      </c>
      <c r="B218" s="1850" t="s">
        <v>16</v>
      </c>
      <c r="C218" s="1850" t="s">
        <v>2432</v>
      </c>
      <c r="D218" s="1850" t="s">
        <v>2433</v>
      </c>
      <c r="E218" s="1850" t="s">
        <v>2434</v>
      </c>
      <c r="F218" s="1850" t="s">
        <v>2296</v>
      </c>
      <c r="G218" s="1850" t="s">
        <v>28</v>
      </c>
      <c r="H218" s="1850" t="s">
        <v>28</v>
      </c>
      <c r="I218" s="1850" t="s">
        <v>857</v>
      </c>
    </row>
    <row r="219" ht="11.25" customHeight="1">
      <c r="A219" s="1850" t="s">
        <v>2251</v>
      </c>
      <c r="B219" s="1850" t="s">
        <v>16</v>
      </c>
      <c r="C219" s="1850" t="s">
        <v>2799</v>
      </c>
      <c r="D219" s="1850" t="s">
        <v>2800</v>
      </c>
      <c r="E219" s="1850" t="s">
        <v>2801</v>
      </c>
      <c r="F219" s="1850" t="s">
        <v>2768</v>
      </c>
      <c r="G219" s="1850" t="s">
        <v>28</v>
      </c>
      <c r="H219" s="1850" t="s">
        <v>28</v>
      </c>
      <c r="I219" s="1850" t="s">
        <v>857</v>
      </c>
    </row>
    <row r="220" ht="11.25" customHeight="1">
      <c r="A220" s="1850" t="s">
        <v>2251</v>
      </c>
      <c r="B220" s="1850" t="s">
        <v>16</v>
      </c>
      <c r="C220" s="1850" t="s">
        <v>2435</v>
      </c>
      <c r="D220" s="1850" t="s">
        <v>2436</v>
      </c>
      <c r="E220" s="1850" t="s">
        <v>2437</v>
      </c>
      <c r="F220" s="1850" t="s">
        <v>2421</v>
      </c>
      <c r="G220" s="1850" t="s">
        <v>28</v>
      </c>
      <c r="H220" s="1850" t="s">
        <v>28</v>
      </c>
      <c r="I220" s="1850" t="s">
        <v>857</v>
      </c>
    </row>
    <row r="221" ht="11.25" customHeight="1">
      <c r="A221" s="1850" t="s">
        <v>2251</v>
      </c>
      <c r="B221" s="1850" t="s">
        <v>16</v>
      </c>
      <c r="C221" s="1850" t="s">
        <v>2802</v>
      </c>
      <c r="D221" s="1850" t="s">
        <v>2803</v>
      </c>
      <c r="E221" s="1850" t="s">
        <v>2804</v>
      </c>
      <c r="F221" s="1850" t="s">
        <v>2325</v>
      </c>
      <c r="G221" s="1850" t="s">
        <v>28</v>
      </c>
      <c r="H221" s="1850" t="s">
        <v>28</v>
      </c>
      <c r="I221" s="1850" t="s">
        <v>857</v>
      </c>
    </row>
    <row r="222" ht="11.25" customHeight="1">
      <c r="A222" s="1850" t="s">
        <v>2251</v>
      </c>
      <c r="B222" s="1850" t="s">
        <v>16</v>
      </c>
      <c r="C222" s="1850" t="s">
        <v>2805</v>
      </c>
      <c r="D222" s="1850" t="s">
        <v>2806</v>
      </c>
      <c r="E222" s="1850" t="s">
        <v>2807</v>
      </c>
      <c r="F222" s="1850" t="s">
        <v>2677</v>
      </c>
      <c r="G222" s="1850" t="s">
        <v>28</v>
      </c>
      <c r="H222" s="1850" t="s">
        <v>28</v>
      </c>
      <c r="I222" s="1850" t="s">
        <v>857</v>
      </c>
    </row>
    <row r="223" ht="11.25" customHeight="1">
      <c r="A223" s="1850" t="s">
        <v>2251</v>
      </c>
      <c r="B223" s="1850" t="s">
        <v>16</v>
      </c>
      <c r="C223" s="1850" t="s">
        <v>2808</v>
      </c>
      <c r="D223" s="1850" t="s">
        <v>2809</v>
      </c>
      <c r="E223" s="1850" t="s">
        <v>2810</v>
      </c>
      <c r="F223" s="1850" t="s">
        <v>2258</v>
      </c>
      <c r="G223" s="1850" t="s">
        <v>28</v>
      </c>
      <c r="H223" s="1850" t="s">
        <v>28</v>
      </c>
      <c r="I223" s="1850" t="s">
        <v>857</v>
      </c>
    </row>
    <row r="224" ht="11.25" customHeight="1">
      <c r="A224" s="1850" t="s">
        <v>2251</v>
      </c>
      <c r="B224" s="1850" t="s">
        <v>16</v>
      </c>
      <c r="C224" s="1850" t="s">
        <v>2438</v>
      </c>
      <c r="D224" s="1850" t="s">
        <v>2439</v>
      </c>
      <c r="E224" s="1850" t="s">
        <v>2440</v>
      </c>
      <c r="F224" s="1850" t="s">
        <v>2441</v>
      </c>
      <c r="G224" s="1850" t="s">
        <v>28</v>
      </c>
      <c r="H224" s="1850" t="s">
        <v>28</v>
      </c>
      <c r="I224" s="1850" t="s">
        <v>857</v>
      </c>
    </row>
    <row r="225" ht="11.25" customHeight="1">
      <c r="A225" s="1850" t="s">
        <v>2251</v>
      </c>
      <c r="B225" s="1850" t="s">
        <v>16</v>
      </c>
      <c r="C225" s="1850" t="s">
        <v>2811</v>
      </c>
      <c r="D225" s="1850" t="s">
        <v>2812</v>
      </c>
      <c r="E225" s="1850" t="s">
        <v>2813</v>
      </c>
      <c r="F225" s="1850" t="s">
        <v>2677</v>
      </c>
      <c r="G225" s="1850" t="s">
        <v>28</v>
      </c>
      <c r="H225" s="1850" t="s">
        <v>28</v>
      </c>
      <c r="I225" s="1850" t="s">
        <v>857</v>
      </c>
    </row>
    <row r="226" ht="11.25" customHeight="1">
      <c r="A226" s="1850" t="s">
        <v>2251</v>
      </c>
      <c r="B226" s="1850" t="s">
        <v>16</v>
      </c>
      <c r="C226" s="1850" t="s">
        <v>2442</v>
      </c>
      <c r="D226" s="1850" t="s">
        <v>2443</v>
      </c>
      <c r="E226" s="1850" t="s">
        <v>2444</v>
      </c>
      <c r="F226" s="1850" t="s">
        <v>2403</v>
      </c>
      <c r="G226" s="1850" t="s">
        <v>28</v>
      </c>
      <c r="H226" s="1850" t="s">
        <v>28</v>
      </c>
      <c r="I226" s="1850" t="s">
        <v>857</v>
      </c>
    </row>
    <row r="227" ht="11.25" customHeight="1">
      <c r="A227" s="1850" t="s">
        <v>2251</v>
      </c>
      <c r="B227" s="1850" t="s">
        <v>16</v>
      </c>
      <c r="C227" s="1850" t="s">
        <v>2452</v>
      </c>
      <c r="D227" s="1850" t="s">
        <v>2453</v>
      </c>
      <c r="E227" s="1850" t="s">
        <v>2454</v>
      </c>
      <c r="F227" s="1850" t="s">
        <v>2455</v>
      </c>
      <c r="G227" s="1850" t="s">
        <v>28</v>
      </c>
      <c r="H227" s="1850" t="s">
        <v>28</v>
      </c>
      <c r="I227" s="1850" t="s">
        <v>857</v>
      </c>
    </row>
    <row r="228" ht="11.25" customHeight="1">
      <c r="A228" s="1850" t="s">
        <v>2251</v>
      </c>
      <c r="B228" s="1850" t="s">
        <v>16</v>
      </c>
      <c r="C228" s="1850" t="s">
        <v>2814</v>
      </c>
      <c r="D228" s="1850" t="s">
        <v>2815</v>
      </c>
      <c r="E228" s="1850" t="s">
        <v>49</v>
      </c>
      <c r="F228" s="1850" t="s">
        <v>2816</v>
      </c>
      <c r="G228" s="1850" t="s">
        <v>28</v>
      </c>
      <c r="H228" s="1850" t="s">
        <v>28</v>
      </c>
      <c r="I228" s="1850" t="s">
        <v>857</v>
      </c>
    </row>
    <row r="229" ht="11.25" customHeight="1">
      <c r="A229" s="1850" t="s">
        <v>2251</v>
      </c>
      <c r="B229" s="1850" t="s">
        <v>16</v>
      </c>
      <c r="C229" s="1850" t="s">
        <v>2817</v>
      </c>
      <c r="D229" s="1850" t="s">
        <v>2818</v>
      </c>
      <c r="E229" s="1850" t="s">
        <v>2819</v>
      </c>
      <c r="F229" s="1850" t="s">
        <v>2258</v>
      </c>
      <c r="G229" s="1850" t="s">
        <v>28</v>
      </c>
      <c r="H229" s="1850" t="s">
        <v>28</v>
      </c>
      <c r="I229" s="1850" t="s">
        <v>857</v>
      </c>
    </row>
    <row r="230" ht="11.25" customHeight="1">
      <c r="A230" s="1850" t="s">
        <v>2251</v>
      </c>
      <c r="B230" s="1850" t="s">
        <v>16</v>
      </c>
      <c r="C230" s="1850" t="s">
        <v>2469</v>
      </c>
      <c r="D230" s="1850" t="s">
        <v>2470</v>
      </c>
      <c r="E230" s="1850" t="s">
        <v>2471</v>
      </c>
      <c r="F230" s="1850" t="s">
        <v>2292</v>
      </c>
      <c r="G230" s="1850" t="s">
        <v>28</v>
      </c>
      <c r="H230" s="1850" t="s">
        <v>28</v>
      </c>
      <c r="I230" s="1850" t="s">
        <v>857</v>
      </c>
    </row>
    <row r="231" ht="11.25" customHeight="1">
      <c r="A231" s="1850" t="s">
        <v>2251</v>
      </c>
      <c r="B231" s="1850" t="s">
        <v>16</v>
      </c>
      <c r="C231" s="1850" t="s">
        <v>2820</v>
      </c>
      <c r="D231" s="1850" t="s">
        <v>2821</v>
      </c>
      <c r="E231" s="1850" t="s">
        <v>2822</v>
      </c>
      <c r="F231" s="1850" t="s">
        <v>2296</v>
      </c>
      <c r="G231" s="1850" t="s">
        <v>2823</v>
      </c>
      <c r="H231" s="1850" t="s">
        <v>28</v>
      </c>
      <c r="I231" s="1850" t="s">
        <v>857</v>
      </c>
    </row>
    <row r="232" ht="11.25" customHeight="1">
      <c r="A232" s="1850" t="s">
        <v>2251</v>
      </c>
      <c r="B232" s="1850" t="s">
        <v>16</v>
      </c>
      <c r="C232" s="1850" t="s">
        <v>2824</v>
      </c>
      <c r="D232" s="1850" t="s">
        <v>2825</v>
      </c>
      <c r="E232" s="1850" t="s">
        <v>2826</v>
      </c>
      <c r="F232" s="1850" t="s">
        <v>2308</v>
      </c>
      <c r="G232" s="1850" t="s">
        <v>2827</v>
      </c>
      <c r="H232" s="1850" t="s">
        <v>28</v>
      </c>
      <c r="I232" s="1850" t="s">
        <v>857</v>
      </c>
    </row>
    <row r="233" ht="11.25" customHeight="1">
      <c r="A233" s="1850" t="s">
        <v>2251</v>
      </c>
      <c r="B233" s="1850" t="s">
        <v>16</v>
      </c>
      <c r="C233" s="1850" t="s">
        <v>2828</v>
      </c>
      <c r="D233" s="1850" t="s">
        <v>2829</v>
      </c>
      <c r="E233" s="1850" t="s">
        <v>2830</v>
      </c>
      <c r="F233" s="1850" t="s">
        <v>2266</v>
      </c>
      <c r="G233" s="1850" t="s">
        <v>2831</v>
      </c>
      <c r="H233" s="1850" t="s">
        <v>28</v>
      </c>
      <c r="I233" s="1850" t="s">
        <v>857</v>
      </c>
    </row>
    <row r="234" ht="11.25" customHeight="1">
      <c r="A234" s="1850" t="s">
        <v>2251</v>
      </c>
      <c r="B234" s="1850" t="s">
        <v>16</v>
      </c>
      <c r="C234" s="1850" t="s">
        <v>2832</v>
      </c>
      <c r="D234" s="1850" t="s">
        <v>2833</v>
      </c>
      <c r="E234" s="1850" t="s">
        <v>2834</v>
      </c>
      <c r="F234" s="1850" t="s">
        <v>2835</v>
      </c>
      <c r="G234" s="1850" t="s">
        <v>28</v>
      </c>
      <c r="H234" s="1850" t="s">
        <v>28</v>
      </c>
      <c r="I234" s="1850" t="s">
        <v>857</v>
      </c>
    </row>
    <row r="235" ht="11.25" customHeight="1">
      <c r="A235" s="1850" t="s">
        <v>2251</v>
      </c>
      <c r="B235" s="1850" t="s">
        <v>16</v>
      </c>
      <c r="C235" s="1850" t="s">
        <v>2836</v>
      </c>
      <c r="D235" s="1850" t="s">
        <v>2837</v>
      </c>
      <c r="E235" s="1850" t="s">
        <v>2838</v>
      </c>
      <c r="F235" s="1850" t="s">
        <v>2262</v>
      </c>
      <c r="G235" s="1850" t="s">
        <v>2839</v>
      </c>
      <c r="H235" s="1850" t="s">
        <v>28</v>
      </c>
      <c r="I235" s="1850" t="s">
        <v>857</v>
      </c>
    </row>
    <row r="236" ht="11.25" customHeight="1">
      <c r="A236" s="1850" t="s">
        <v>2251</v>
      </c>
      <c r="B236" s="1850" t="s">
        <v>16</v>
      </c>
      <c r="C236" s="1850" t="s">
        <v>2840</v>
      </c>
      <c r="D236" s="1850" t="s">
        <v>2841</v>
      </c>
      <c r="E236" s="1850" t="s">
        <v>2842</v>
      </c>
      <c r="F236" s="1850" t="s">
        <v>2284</v>
      </c>
      <c r="G236" s="1850" t="s">
        <v>28</v>
      </c>
      <c r="H236" s="1850" t="s">
        <v>28</v>
      </c>
      <c r="I236" s="1850" t="s">
        <v>857</v>
      </c>
    </row>
    <row r="237" ht="11.25" customHeight="1">
      <c r="A237" s="1850" t="s">
        <v>2251</v>
      </c>
      <c r="B237" s="1850" t="s">
        <v>16</v>
      </c>
      <c r="C237" s="1850" t="s">
        <v>2843</v>
      </c>
      <c r="D237" s="1850" t="s">
        <v>2844</v>
      </c>
      <c r="E237" s="1850" t="s">
        <v>2845</v>
      </c>
      <c r="F237" s="1850" t="s">
        <v>2846</v>
      </c>
      <c r="G237" s="1850" t="s">
        <v>28</v>
      </c>
      <c r="H237" s="1850" t="s">
        <v>28</v>
      </c>
      <c r="I237" s="1850" t="s">
        <v>857</v>
      </c>
    </row>
    <row r="238" ht="11.25" customHeight="1">
      <c r="A238" s="1850" t="s">
        <v>2251</v>
      </c>
      <c r="B238" s="1850" t="s">
        <v>16</v>
      </c>
      <c r="C238" s="1850" t="s">
        <v>2847</v>
      </c>
      <c r="D238" s="1850" t="s">
        <v>2848</v>
      </c>
      <c r="E238" s="1850" t="s">
        <v>2849</v>
      </c>
      <c r="F238" s="1850" t="s">
        <v>2651</v>
      </c>
      <c r="G238" s="1850" t="s">
        <v>28</v>
      </c>
      <c r="H238" s="1850" t="s">
        <v>28</v>
      </c>
      <c r="I238" s="1850" t="s">
        <v>857</v>
      </c>
    </row>
    <row r="239" ht="11.25" customHeight="1">
      <c r="A239" s="1850" t="s">
        <v>2251</v>
      </c>
      <c r="B239" s="1850" t="s">
        <v>16</v>
      </c>
      <c r="C239" s="1850" t="s">
        <v>2850</v>
      </c>
      <c r="D239" s="1850" t="s">
        <v>2851</v>
      </c>
      <c r="E239" s="1850" t="s">
        <v>2852</v>
      </c>
      <c r="F239" s="1850" t="s">
        <v>2677</v>
      </c>
      <c r="G239" s="1850" t="s">
        <v>2853</v>
      </c>
      <c r="H239" s="1850" t="s">
        <v>28</v>
      </c>
      <c r="I239" s="1850" t="s">
        <v>857</v>
      </c>
    </row>
    <row r="240" ht="11.25" customHeight="1">
      <c r="A240" s="1850" t="s">
        <v>2251</v>
      </c>
      <c r="B240" s="1850" t="s">
        <v>16</v>
      </c>
      <c r="C240" s="1850" t="s">
        <v>2484</v>
      </c>
      <c r="D240" s="1850" t="s">
        <v>2485</v>
      </c>
      <c r="E240" s="1850" t="s">
        <v>2486</v>
      </c>
      <c r="F240" s="1850" t="s">
        <v>2487</v>
      </c>
      <c r="G240" s="1850" t="s">
        <v>2488</v>
      </c>
      <c r="H240" s="1850" t="s">
        <v>28</v>
      </c>
      <c r="I240" s="1850" t="s">
        <v>857</v>
      </c>
    </row>
    <row r="241" ht="11.25" customHeight="1">
      <c r="A241" s="1850" t="s">
        <v>2251</v>
      </c>
      <c r="B241" s="1850" t="s">
        <v>16</v>
      </c>
      <c r="C241" s="1850" t="s">
        <v>2854</v>
      </c>
      <c r="D241" s="1850" t="s">
        <v>2855</v>
      </c>
      <c r="E241" s="1850" t="s">
        <v>2856</v>
      </c>
      <c r="F241" s="1850" t="s">
        <v>2296</v>
      </c>
      <c r="G241" s="1850" t="s">
        <v>28</v>
      </c>
      <c r="H241" s="1850" t="s">
        <v>28</v>
      </c>
      <c r="I241" s="1850" t="s">
        <v>857</v>
      </c>
    </row>
    <row r="242" ht="11.25" customHeight="1">
      <c r="A242" s="1850" t="s">
        <v>2251</v>
      </c>
      <c r="B242" s="1850" t="s">
        <v>16</v>
      </c>
      <c r="C242" s="1850" t="s">
        <v>2857</v>
      </c>
      <c r="D242" s="1850" t="s">
        <v>2858</v>
      </c>
      <c r="E242" s="1850" t="s">
        <v>2859</v>
      </c>
      <c r="F242" s="1850" t="s">
        <v>2487</v>
      </c>
      <c r="G242" s="1850" t="s">
        <v>28</v>
      </c>
      <c r="H242" s="1850" t="s">
        <v>28</v>
      </c>
      <c r="I242" s="1850" t="s">
        <v>857</v>
      </c>
    </row>
    <row r="243" ht="11.25" customHeight="1">
      <c r="A243" s="1850" t="s">
        <v>2251</v>
      </c>
      <c r="B243" s="1850" t="s">
        <v>16</v>
      </c>
      <c r="C243" s="1850" t="s">
        <v>2860</v>
      </c>
      <c r="D243" s="1850" t="s">
        <v>2861</v>
      </c>
      <c r="E243" s="1850" t="s">
        <v>2862</v>
      </c>
      <c r="F243" s="1850" t="s">
        <v>2254</v>
      </c>
      <c r="G243" s="1850" t="s">
        <v>28</v>
      </c>
      <c r="H243" s="1850" t="s">
        <v>28</v>
      </c>
      <c r="I243" s="1850" t="s">
        <v>857</v>
      </c>
    </row>
    <row r="244" ht="11.25" customHeight="1">
      <c r="A244" s="1850" t="s">
        <v>2251</v>
      </c>
      <c r="B244" s="1850" t="s">
        <v>16</v>
      </c>
      <c r="C244" s="1850" t="s">
        <v>2497</v>
      </c>
      <c r="D244" s="1850" t="s">
        <v>2498</v>
      </c>
      <c r="E244" s="1850" t="s">
        <v>2499</v>
      </c>
      <c r="F244" s="1850" t="s">
        <v>2500</v>
      </c>
      <c r="G244" s="1850" t="s">
        <v>28</v>
      </c>
      <c r="H244" s="1850" t="s">
        <v>28</v>
      </c>
      <c r="I244" s="1850" t="s">
        <v>857</v>
      </c>
    </row>
    <row r="245" ht="11.25" customHeight="1">
      <c r="A245" s="1850" t="s">
        <v>2251</v>
      </c>
      <c r="B245" s="1850" t="s">
        <v>16</v>
      </c>
      <c r="C245" s="1850" t="s">
        <v>2863</v>
      </c>
      <c r="D245" s="1850" t="s">
        <v>2864</v>
      </c>
      <c r="E245" s="1850" t="s">
        <v>2865</v>
      </c>
      <c r="F245" s="1850" t="s">
        <v>2258</v>
      </c>
      <c r="G245" s="1850" t="s">
        <v>28</v>
      </c>
      <c r="H245" s="1850" t="s">
        <v>28</v>
      </c>
      <c r="I245" s="1850" t="s">
        <v>857</v>
      </c>
    </row>
    <row r="246" ht="11.25" customHeight="1">
      <c r="A246" s="1850" t="s">
        <v>2251</v>
      </c>
      <c r="B246" s="1850" t="s">
        <v>16</v>
      </c>
      <c r="C246" s="1850" t="s">
        <v>2501</v>
      </c>
      <c r="D246" s="1850" t="s">
        <v>2502</v>
      </c>
      <c r="E246" s="1850" t="s">
        <v>2503</v>
      </c>
      <c r="F246" s="1850" t="s">
        <v>2487</v>
      </c>
      <c r="G246" s="1850" t="s">
        <v>28</v>
      </c>
      <c r="H246" s="1850" t="s">
        <v>28</v>
      </c>
      <c r="I246" s="1850" t="s">
        <v>857</v>
      </c>
    </row>
    <row r="247" ht="11.25" customHeight="1">
      <c r="A247" s="1850" t="s">
        <v>2251</v>
      </c>
      <c r="B247" s="1850" t="s">
        <v>16</v>
      </c>
      <c r="C247" s="1850" t="s">
        <v>2507</v>
      </c>
      <c r="D247" s="1850" t="s">
        <v>2508</v>
      </c>
      <c r="E247" s="1850" t="s">
        <v>2509</v>
      </c>
      <c r="F247" s="1850" t="s">
        <v>2487</v>
      </c>
      <c r="G247" s="1850" t="s">
        <v>28</v>
      </c>
      <c r="H247" s="1850" t="s">
        <v>28</v>
      </c>
      <c r="I247" s="1850" t="s">
        <v>857</v>
      </c>
    </row>
    <row r="248" ht="11.25" customHeight="1">
      <c r="A248" s="1850" t="s">
        <v>2251</v>
      </c>
      <c r="B248" s="1850" t="s">
        <v>16</v>
      </c>
      <c r="C248" s="1850" t="s">
        <v>2866</v>
      </c>
      <c r="D248" s="1850" t="s">
        <v>2867</v>
      </c>
      <c r="E248" s="1850" t="s">
        <v>2868</v>
      </c>
      <c r="F248" s="1850" t="s">
        <v>2487</v>
      </c>
      <c r="G248" s="1850" t="s">
        <v>28</v>
      </c>
      <c r="H248" s="1850" t="s">
        <v>28</v>
      </c>
      <c r="I248" s="1850" t="s">
        <v>857</v>
      </c>
    </row>
    <row r="249" ht="11.25" customHeight="1">
      <c r="A249" s="1850" t="s">
        <v>2251</v>
      </c>
      <c r="B249" s="1850" t="s">
        <v>16</v>
      </c>
      <c r="C249" s="1850" t="s">
        <v>2869</v>
      </c>
      <c r="D249" s="1850" t="s">
        <v>2870</v>
      </c>
      <c r="E249" s="1850" t="s">
        <v>2871</v>
      </c>
      <c r="F249" s="1850" t="s">
        <v>2441</v>
      </c>
      <c r="G249" s="1850" t="s">
        <v>2872</v>
      </c>
      <c r="H249" s="1850" t="s">
        <v>28</v>
      </c>
      <c r="I249" s="1850" t="s">
        <v>857</v>
      </c>
    </row>
    <row r="250" ht="11.25" customHeight="1">
      <c r="A250" s="1850" t="s">
        <v>2251</v>
      </c>
      <c r="B250" s="1850" t="s">
        <v>16</v>
      </c>
      <c r="C250" s="1850" t="s">
        <v>2873</v>
      </c>
      <c r="D250" s="1850" t="s">
        <v>2874</v>
      </c>
      <c r="E250" s="1850" t="s">
        <v>2875</v>
      </c>
      <c r="F250" s="1850" t="s">
        <v>2258</v>
      </c>
      <c r="G250" s="1850" t="s">
        <v>2876</v>
      </c>
      <c r="H250" s="1850" t="s">
        <v>28</v>
      </c>
      <c r="I250" s="1850" t="s">
        <v>857</v>
      </c>
    </row>
    <row r="251" ht="11.25" customHeight="1">
      <c r="A251" s="1850" t="s">
        <v>2251</v>
      </c>
      <c r="B251" s="1850" t="s">
        <v>16</v>
      </c>
      <c r="C251" s="1850" t="s">
        <v>2877</v>
      </c>
      <c r="D251" s="1850" t="s">
        <v>2878</v>
      </c>
      <c r="E251" s="1850" t="s">
        <v>2879</v>
      </c>
      <c r="F251" s="1850" t="s">
        <v>2393</v>
      </c>
      <c r="G251" s="1850" t="s">
        <v>28</v>
      </c>
      <c r="H251" s="1850" t="s">
        <v>28</v>
      </c>
      <c r="I251" s="1850" t="s">
        <v>857</v>
      </c>
    </row>
    <row r="252" ht="11.25" customHeight="1">
      <c r="A252" s="1850" t="s">
        <v>2251</v>
      </c>
      <c r="B252" s="1850" t="s">
        <v>16</v>
      </c>
      <c r="C252" s="1850" t="s">
        <v>2880</v>
      </c>
      <c r="D252" s="1850" t="s">
        <v>2881</v>
      </c>
      <c r="E252" s="1850" t="s">
        <v>2882</v>
      </c>
      <c r="F252" s="1850" t="s">
        <v>2677</v>
      </c>
      <c r="G252" s="1850" t="s">
        <v>2883</v>
      </c>
      <c r="H252" s="1850" t="s">
        <v>28</v>
      </c>
      <c r="I252" s="1850" t="s">
        <v>857</v>
      </c>
    </row>
    <row r="253" ht="11.25" customHeight="1">
      <c r="A253" s="1850" t="s">
        <v>2251</v>
      </c>
      <c r="B253" s="1850" t="s">
        <v>16</v>
      </c>
      <c r="C253" s="1850" t="s">
        <v>2884</v>
      </c>
      <c r="D253" s="1850" t="s">
        <v>2885</v>
      </c>
      <c r="E253" s="1850" t="s">
        <v>2886</v>
      </c>
      <c r="F253" s="1850" t="s">
        <v>2317</v>
      </c>
      <c r="G253" s="1850" t="s">
        <v>2887</v>
      </c>
      <c r="H253" s="1850" t="s">
        <v>28</v>
      </c>
      <c r="I253" s="1850" t="s">
        <v>857</v>
      </c>
    </row>
    <row r="254" ht="11.25" customHeight="1">
      <c r="A254" s="1850" t="s">
        <v>2251</v>
      </c>
      <c r="B254" s="1850" t="s">
        <v>16</v>
      </c>
      <c r="C254" s="1850" t="s">
        <v>2888</v>
      </c>
      <c r="D254" s="1850" t="s">
        <v>2889</v>
      </c>
      <c r="E254" s="1850" t="s">
        <v>2890</v>
      </c>
      <c r="F254" s="1850" t="s">
        <v>2266</v>
      </c>
      <c r="G254" s="1850" t="s">
        <v>2891</v>
      </c>
      <c r="H254" s="1850" t="s">
        <v>28</v>
      </c>
      <c r="I254" s="1850" t="s">
        <v>857</v>
      </c>
    </row>
    <row r="255" ht="11.25" customHeight="1">
      <c r="A255" s="1850" t="s">
        <v>2251</v>
      </c>
      <c r="B255" s="1850" t="s">
        <v>16</v>
      </c>
      <c r="C255" s="1850" t="s">
        <v>2519</v>
      </c>
      <c r="D255" s="1850" t="s">
        <v>2520</v>
      </c>
      <c r="E255" s="1850" t="s">
        <v>2521</v>
      </c>
      <c r="F255" s="1850" t="s">
        <v>2487</v>
      </c>
      <c r="G255" s="1850" t="s">
        <v>28</v>
      </c>
      <c r="H255" s="1850" t="s">
        <v>28</v>
      </c>
      <c r="I255" s="1850" t="s">
        <v>857</v>
      </c>
    </row>
    <row r="256" ht="11.25" customHeight="1">
      <c r="A256" s="1850" t="s">
        <v>2251</v>
      </c>
      <c r="B256" s="1850" t="s">
        <v>16</v>
      </c>
      <c r="C256" s="1850" t="s">
        <v>2892</v>
      </c>
      <c r="D256" s="1850" t="s">
        <v>2893</v>
      </c>
      <c r="E256" s="1850" t="s">
        <v>2894</v>
      </c>
      <c r="F256" s="1850" t="s">
        <v>2441</v>
      </c>
      <c r="G256" s="1850" t="s">
        <v>28</v>
      </c>
      <c r="H256" s="1850" t="s">
        <v>28</v>
      </c>
      <c r="I256" s="1850" t="s">
        <v>857</v>
      </c>
    </row>
    <row r="257" ht="11.25" customHeight="1">
      <c r="A257" s="1850" t="s">
        <v>2251</v>
      </c>
      <c r="B257" s="1850" t="s">
        <v>16</v>
      </c>
      <c r="C257" s="1850" t="s">
        <v>2895</v>
      </c>
      <c r="D257" s="1850" t="s">
        <v>2896</v>
      </c>
      <c r="E257" s="1850" t="s">
        <v>2897</v>
      </c>
      <c r="F257" s="1850" t="s">
        <v>2308</v>
      </c>
      <c r="G257" s="1850" t="s">
        <v>2898</v>
      </c>
      <c r="H257" s="1850" t="s">
        <v>28</v>
      </c>
      <c r="I257" s="1850" t="s">
        <v>857</v>
      </c>
    </row>
    <row r="258" ht="11.25" customHeight="1">
      <c r="A258" s="1850" t="s">
        <v>2251</v>
      </c>
      <c r="B258" s="1850" t="s">
        <v>16</v>
      </c>
      <c r="C258" s="1850" t="s">
        <v>2532</v>
      </c>
      <c r="D258" s="1850" t="s">
        <v>2533</v>
      </c>
      <c r="E258" s="1850" t="s">
        <v>2534</v>
      </c>
      <c r="F258" s="1850" t="s">
        <v>2296</v>
      </c>
      <c r="G258" s="1850" t="s">
        <v>28</v>
      </c>
      <c r="H258" s="1850" t="s">
        <v>28</v>
      </c>
      <c r="I258" s="1850" t="s">
        <v>857</v>
      </c>
    </row>
    <row r="259" ht="11.25" customHeight="1">
      <c r="A259" s="1850" t="s">
        <v>2251</v>
      </c>
      <c r="B259" s="1850" t="s">
        <v>16</v>
      </c>
      <c r="C259" s="1850" t="s">
        <v>2535</v>
      </c>
      <c r="D259" s="1850" t="s">
        <v>2536</v>
      </c>
      <c r="E259" s="1850" t="s">
        <v>2537</v>
      </c>
      <c r="F259" s="1850" t="s">
        <v>2258</v>
      </c>
      <c r="G259" s="1850" t="s">
        <v>28</v>
      </c>
      <c r="H259" s="1850" t="s">
        <v>28</v>
      </c>
      <c r="I259" s="1850" t="s">
        <v>857</v>
      </c>
    </row>
    <row r="260" ht="11.25" customHeight="1">
      <c r="A260" s="1850" t="s">
        <v>2251</v>
      </c>
      <c r="B260" s="1850" t="s">
        <v>16</v>
      </c>
      <c r="C260" s="1850" t="s">
        <v>2550</v>
      </c>
      <c r="D260" s="1850" t="s">
        <v>2551</v>
      </c>
      <c r="E260" s="1850" t="s">
        <v>2552</v>
      </c>
      <c r="F260" s="1850" t="s">
        <v>2462</v>
      </c>
      <c r="G260" s="1850" t="s">
        <v>2553</v>
      </c>
      <c r="H260" s="1850" t="s">
        <v>28</v>
      </c>
      <c r="I260" s="1850" t="s">
        <v>857</v>
      </c>
    </row>
    <row r="261" ht="11.25" customHeight="1">
      <c r="A261" s="1850" t="s">
        <v>2251</v>
      </c>
      <c r="B261" s="1850" t="s">
        <v>16</v>
      </c>
      <c r="C261" s="1850" t="s">
        <v>2899</v>
      </c>
      <c r="D261" s="1850" t="s">
        <v>2900</v>
      </c>
      <c r="E261" s="1850" t="s">
        <v>2901</v>
      </c>
      <c r="F261" s="1850" t="s">
        <v>2448</v>
      </c>
      <c r="G261" s="1850" t="s">
        <v>28</v>
      </c>
      <c r="H261" s="1850" t="s">
        <v>28</v>
      </c>
      <c r="I261" s="1850" t="s">
        <v>857</v>
      </c>
    </row>
    <row r="262" ht="11.25" customHeight="1">
      <c r="A262" s="1850" t="s">
        <v>2251</v>
      </c>
      <c r="B262" s="1850" t="s">
        <v>16</v>
      </c>
      <c r="C262" s="1850" t="s">
        <v>2902</v>
      </c>
      <c r="D262" s="1850" t="s">
        <v>2903</v>
      </c>
      <c r="E262" s="1850" t="s">
        <v>2904</v>
      </c>
      <c r="F262" s="1850" t="s">
        <v>2393</v>
      </c>
      <c r="G262" s="1850" t="s">
        <v>28</v>
      </c>
      <c r="H262" s="1850" t="s">
        <v>28</v>
      </c>
      <c r="I262" s="1850" t="s">
        <v>857</v>
      </c>
    </row>
    <row r="263" ht="11.25" customHeight="1">
      <c r="A263" s="1850" t="s">
        <v>2251</v>
      </c>
      <c r="B263" s="1850" t="s">
        <v>16</v>
      </c>
      <c r="C263" s="1850" t="s">
        <v>2566</v>
      </c>
      <c r="D263" s="1850" t="s">
        <v>2567</v>
      </c>
      <c r="E263" s="1850" t="s">
        <v>2568</v>
      </c>
      <c r="F263" s="1850" t="s">
        <v>2258</v>
      </c>
      <c r="G263" s="1850" t="s">
        <v>28</v>
      </c>
      <c r="H263" s="1850" t="s">
        <v>28</v>
      </c>
      <c r="I263" s="1850" t="s">
        <v>857</v>
      </c>
    </row>
    <row r="264" ht="11.25" customHeight="1">
      <c r="A264" s="1850" t="s">
        <v>2251</v>
      </c>
      <c r="B264" s="1850" t="s">
        <v>16</v>
      </c>
      <c r="C264" s="1850" t="s">
        <v>2905</v>
      </c>
      <c r="D264" s="1850" t="s">
        <v>2906</v>
      </c>
      <c r="E264" s="1850" t="s">
        <v>2907</v>
      </c>
      <c r="F264" s="1850" t="s">
        <v>2908</v>
      </c>
      <c r="G264" s="1850" t="s">
        <v>28</v>
      </c>
      <c r="H264" s="1850" t="s">
        <v>28</v>
      </c>
      <c r="I264" s="1850" t="s">
        <v>857</v>
      </c>
    </row>
    <row r="265" ht="11.25" customHeight="1">
      <c r="A265" s="1850" t="s">
        <v>2251</v>
      </c>
      <c r="B265" s="1850" t="s">
        <v>16</v>
      </c>
      <c r="C265" s="1850" t="s">
        <v>2909</v>
      </c>
      <c r="D265" s="1850" t="s">
        <v>2910</v>
      </c>
      <c r="E265" s="1850" t="s">
        <v>2911</v>
      </c>
      <c r="F265" s="1850" t="s">
        <v>2462</v>
      </c>
      <c r="G265" s="1850" t="s">
        <v>28</v>
      </c>
      <c r="H265" s="1850" t="s">
        <v>28</v>
      </c>
      <c r="I265" s="1850" t="s">
        <v>857</v>
      </c>
    </row>
    <row r="266" ht="11.25" customHeight="1">
      <c r="A266" s="1850" t="s">
        <v>2251</v>
      </c>
      <c r="B266" s="1850" t="s">
        <v>16</v>
      </c>
      <c r="C266" s="1850" t="s">
        <v>2912</v>
      </c>
      <c r="D266" s="1850" t="s">
        <v>2913</v>
      </c>
      <c r="E266" s="1850" t="s">
        <v>2914</v>
      </c>
      <c r="F266" s="1850" t="s">
        <v>2284</v>
      </c>
      <c r="G266" s="1850" t="s">
        <v>28</v>
      </c>
      <c r="H266" s="1850" t="s">
        <v>28</v>
      </c>
      <c r="I266" s="1850" t="s">
        <v>857</v>
      </c>
    </row>
    <row r="267" ht="11.25" customHeight="1">
      <c r="A267" s="1850" t="s">
        <v>2251</v>
      </c>
      <c r="B267" s="1850" t="s">
        <v>16</v>
      </c>
      <c r="C267" s="1850" t="s">
        <v>2569</v>
      </c>
      <c r="D267" s="1850" t="s">
        <v>2570</v>
      </c>
      <c r="E267" s="1850" t="s">
        <v>2571</v>
      </c>
      <c r="F267" s="1850" t="s">
        <v>2441</v>
      </c>
      <c r="G267" s="1850" t="s">
        <v>2318</v>
      </c>
      <c r="H267" s="1850" t="s">
        <v>28</v>
      </c>
      <c r="I267" s="1850" t="s">
        <v>857</v>
      </c>
    </row>
    <row r="268" ht="11.25" customHeight="1">
      <c r="A268" s="1850" t="s">
        <v>2251</v>
      </c>
      <c r="B268" s="1850" t="s">
        <v>16</v>
      </c>
      <c r="C268" s="1850" t="s">
        <v>2915</v>
      </c>
      <c r="D268" s="1850" t="s">
        <v>2916</v>
      </c>
      <c r="E268" s="1850" t="s">
        <v>2917</v>
      </c>
      <c r="F268" s="1850" t="s">
        <v>2441</v>
      </c>
      <c r="G268" s="1850" t="s">
        <v>28</v>
      </c>
      <c r="H268" s="1850" t="s">
        <v>28</v>
      </c>
      <c r="I268" s="1850" t="s">
        <v>857</v>
      </c>
    </row>
    <row r="269" ht="11.25" customHeight="1">
      <c r="A269" s="1850" t="s">
        <v>2251</v>
      </c>
      <c r="B269" s="1850" t="s">
        <v>16</v>
      </c>
      <c r="C269" s="1850" t="s">
        <v>2578</v>
      </c>
      <c r="D269" s="1850" t="s">
        <v>2579</v>
      </c>
      <c r="E269" s="1850" t="s">
        <v>2580</v>
      </c>
      <c r="F269" s="1850" t="s">
        <v>2581</v>
      </c>
      <c r="G269" s="1850" t="s">
        <v>28</v>
      </c>
      <c r="H269" s="1850" t="s">
        <v>28</v>
      </c>
      <c r="I269" s="1850" t="s">
        <v>857</v>
      </c>
    </row>
    <row r="270" ht="11.25" customHeight="1">
      <c r="A270" s="1850" t="s">
        <v>2251</v>
      </c>
      <c r="B270" s="1850" t="s">
        <v>16</v>
      </c>
      <c r="C270" s="1850" t="s">
        <v>2918</v>
      </c>
      <c r="D270" s="1850" t="s">
        <v>2919</v>
      </c>
      <c r="E270" s="1850" t="s">
        <v>2920</v>
      </c>
      <c r="F270" s="1850" t="s">
        <v>2317</v>
      </c>
      <c r="G270" s="1850" t="s">
        <v>28</v>
      </c>
      <c r="H270" s="1850" t="s">
        <v>28</v>
      </c>
      <c r="I270" s="1850" t="s">
        <v>857</v>
      </c>
    </row>
    <row r="271" ht="11.25" customHeight="1">
      <c r="A271" s="1850" t="s">
        <v>2251</v>
      </c>
      <c r="B271" s="1850" t="s">
        <v>16</v>
      </c>
      <c r="C271" s="1850" t="s">
        <v>2592</v>
      </c>
      <c r="D271" s="1850" t="s">
        <v>2593</v>
      </c>
      <c r="E271" s="1850" t="s">
        <v>2594</v>
      </c>
      <c r="F271" s="1850" t="s">
        <v>2595</v>
      </c>
      <c r="G271" s="1850" t="s">
        <v>28</v>
      </c>
      <c r="H271" s="1850" t="s">
        <v>28</v>
      </c>
      <c r="I271" s="1850" t="s">
        <v>857</v>
      </c>
    </row>
    <row r="272" ht="11.25" customHeight="1">
      <c r="A272" s="1850" t="s">
        <v>2251</v>
      </c>
      <c r="B272" s="1850" t="s">
        <v>16</v>
      </c>
      <c r="C272" s="1850" t="s">
        <v>2921</v>
      </c>
      <c r="D272" s="1850" t="s">
        <v>2922</v>
      </c>
      <c r="E272" s="1850" t="s">
        <v>2923</v>
      </c>
      <c r="F272" s="1850" t="s">
        <v>2284</v>
      </c>
      <c r="G272" s="1850" t="s">
        <v>28</v>
      </c>
      <c r="H272" s="1850" t="s">
        <v>2924</v>
      </c>
      <c r="I272" s="1850" t="s">
        <v>857</v>
      </c>
    </row>
    <row r="273" ht="11.25" customHeight="1">
      <c r="A273" s="1850" t="s">
        <v>2251</v>
      </c>
      <c r="B273" s="1850" t="s">
        <v>16</v>
      </c>
      <c r="C273" s="1850" t="s">
        <v>2925</v>
      </c>
      <c r="D273" s="1850" t="s">
        <v>2926</v>
      </c>
      <c r="E273" s="1850" t="s">
        <v>2927</v>
      </c>
      <c r="F273" s="1850" t="s">
        <v>2487</v>
      </c>
      <c r="G273" s="1850" t="s">
        <v>28</v>
      </c>
      <c r="H273" s="1850" t="s">
        <v>28</v>
      </c>
      <c r="I273" s="1850" t="s">
        <v>857</v>
      </c>
    </row>
    <row r="274" ht="11.25" customHeight="1">
      <c r="A274" s="1850" t="s">
        <v>2251</v>
      </c>
      <c r="B274" s="1850" t="s">
        <v>16</v>
      </c>
      <c r="C274" s="1850" t="s">
        <v>2928</v>
      </c>
      <c r="D274" s="1850" t="s">
        <v>2929</v>
      </c>
      <c r="E274" s="1850" t="s">
        <v>2930</v>
      </c>
      <c r="F274" s="1850" t="s">
        <v>2258</v>
      </c>
      <c r="G274" s="1850" t="s">
        <v>28</v>
      </c>
      <c r="H274" s="1850" t="s">
        <v>2931</v>
      </c>
      <c r="I274" s="1850" t="s">
        <v>857</v>
      </c>
    </row>
    <row r="275" ht="11.25" customHeight="1">
      <c r="A275" s="1850" t="s">
        <v>2251</v>
      </c>
      <c r="B275" s="1850" t="s">
        <v>16</v>
      </c>
      <c r="C275" s="1850" t="s">
        <v>2932</v>
      </c>
      <c r="D275" s="1850" t="s">
        <v>2933</v>
      </c>
      <c r="E275" s="1850" t="s">
        <v>2934</v>
      </c>
      <c r="F275" s="1850" t="s">
        <v>2581</v>
      </c>
      <c r="G275" s="1850" t="s">
        <v>28</v>
      </c>
      <c r="H275" s="1850" t="s">
        <v>28</v>
      </c>
      <c r="I275" s="1850" t="s">
        <v>857</v>
      </c>
    </row>
    <row r="276" ht="11.25" customHeight="1">
      <c r="A276" s="1850" t="s">
        <v>2251</v>
      </c>
      <c r="B276" s="1850" t="s">
        <v>16</v>
      </c>
      <c r="C276" s="1850" t="s">
        <v>2935</v>
      </c>
      <c r="D276" s="1850" t="s">
        <v>2936</v>
      </c>
      <c r="E276" s="1850" t="s">
        <v>2937</v>
      </c>
      <c r="F276" s="1850" t="s">
        <v>2362</v>
      </c>
      <c r="G276" s="1850" t="s">
        <v>28</v>
      </c>
      <c r="H276" s="1850" t="s">
        <v>28</v>
      </c>
      <c r="I276" s="1850" t="s">
        <v>857</v>
      </c>
    </row>
    <row r="277" ht="11.25" customHeight="1">
      <c r="A277" s="1850" t="s">
        <v>2251</v>
      </c>
      <c r="B277" s="1850" t="s">
        <v>16</v>
      </c>
      <c r="C277" s="1850" t="s">
        <v>2938</v>
      </c>
      <c r="D277" s="1850" t="s">
        <v>2939</v>
      </c>
      <c r="E277" s="1850" t="s">
        <v>2940</v>
      </c>
      <c r="F277" s="1850" t="s">
        <v>2254</v>
      </c>
      <c r="G277" s="1850" t="s">
        <v>28</v>
      </c>
      <c r="H277" s="1850" t="s">
        <v>28</v>
      </c>
      <c r="I277" s="1850" t="s">
        <v>857</v>
      </c>
    </row>
    <row r="278" ht="11.25" customHeight="1">
      <c r="A278" s="1850" t="s">
        <v>2251</v>
      </c>
      <c r="B278" s="1850" t="s">
        <v>16</v>
      </c>
      <c r="C278" s="1850" t="s">
        <v>2941</v>
      </c>
      <c r="D278" s="1850" t="s">
        <v>2942</v>
      </c>
      <c r="E278" s="1850" t="s">
        <v>2943</v>
      </c>
      <c r="F278" s="1850" t="s">
        <v>2317</v>
      </c>
      <c r="G278" s="1850" t="s">
        <v>28</v>
      </c>
      <c r="H278" s="1850" t="s">
        <v>28</v>
      </c>
      <c r="I278" s="1850" t="s">
        <v>857</v>
      </c>
    </row>
    <row r="279" ht="11.25" customHeight="1">
      <c r="A279" s="1850" t="s">
        <v>2251</v>
      </c>
      <c r="B279" s="1850" t="s">
        <v>16</v>
      </c>
      <c r="C279" s="1850" t="s">
        <v>2944</v>
      </c>
      <c r="D279" s="1850" t="s">
        <v>2945</v>
      </c>
      <c r="E279" s="1850" t="s">
        <v>2946</v>
      </c>
      <c r="F279" s="1850" t="s">
        <v>2308</v>
      </c>
      <c r="G279" s="1850" t="s">
        <v>2947</v>
      </c>
      <c r="H279" s="1850" t="s">
        <v>28</v>
      </c>
      <c r="I279" s="1850" t="s">
        <v>857</v>
      </c>
    </row>
    <row r="280" ht="11.25" customHeight="1">
      <c r="A280" s="1850" t="s">
        <v>2251</v>
      </c>
      <c r="B280" s="1850" t="s">
        <v>16</v>
      </c>
      <c r="C280" s="1850" t="s">
        <v>2948</v>
      </c>
      <c r="D280" s="1850" t="s">
        <v>2949</v>
      </c>
      <c r="E280" s="1850" t="s">
        <v>2253</v>
      </c>
      <c r="F280" s="1850" t="s">
        <v>2254</v>
      </c>
      <c r="G280" s="1850" t="s">
        <v>28</v>
      </c>
      <c r="H280" s="1850" t="s">
        <v>28</v>
      </c>
      <c r="I280" s="1850" t="s">
        <v>857</v>
      </c>
    </row>
    <row r="281" ht="11.25" customHeight="1">
      <c r="A281" s="1850" t="s">
        <v>2251</v>
      </c>
      <c r="B281" s="1850" t="s">
        <v>16</v>
      </c>
      <c r="C281" s="1850" t="s">
        <v>2950</v>
      </c>
      <c r="D281" s="1850" t="s">
        <v>2951</v>
      </c>
      <c r="E281" s="1850" t="s">
        <v>2952</v>
      </c>
      <c r="F281" s="1850" t="s">
        <v>2258</v>
      </c>
      <c r="G281" s="1850" t="s">
        <v>28</v>
      </c>
      <c r="H281" s="1850" t="s">
        <v>28</v>
      </c>
      <c r="I281" s="1850" t="s">
        <v>857</v>
      </c>
    </row>
    <row r="282" ht="11.25" customHeight="1">
      <c r="A282" s="1850" t="s">
        <v>2251</v>
      </c>
      <c r="B282" s="1850" t="s">
        <v>16</v>
      </c>
      <c r="C282" s="1850" t="s">
        <v>2953</v>
      </c>
      <c r="D282" s="1850" t="s">
        <v>2954</v>
      </c>
      <c r="E282" s="1850" t="s">
        <v>2955</v>
      </c>
      <c r="F282" s="1850" t="s">
        <v>2258</v>
      </c>
      <c r="G282" s="1850" t="s">
        <v>28</v>
      </c>
      <c r="H282" s="1850" t="s">
        <v>28</v>
      </c>
      <c r="I282" s="1850" t="s">
        <v>857</v>
      </c>
    </row>
    <row r="283" ht="11.25" customHeight="1">
      <c r="A283" s="1850" t="s">
        <v>2251</v>
      </c>
      <c r="B283" s="1850" t="s">
        <v>16</v>
      </c>
      <c r="C283" s="1850" t="s">
        <v>2599</v>
      </c>
      <c r="D283" s="1850" t="s">
        <v>2600</v>
      </c>
      <c r="E283" s="1850" t="s">
        <v>2601</v>
      </c>
      <c r="F283" s="1850" t="s">
        <v>2271</v>
      </c>
      <c r="G283" s="1850" t="s">
        <v>28</v>
      </c>
      <c r="H283" s="1850" t="s">
        <v>28</v>
      </c>
      <c r="I283" s="1850" t="s">
        <v>857</v>
      </c>
    </row>
    <row r="284" ht="11.25" customHeight="1">
      <c r="A284" s="1850" t="s">
        <v>2251</v>
      </c>
      <c r="B284" s="1850" t="s">
        <v>16</v>
      </c>
      <c r="C284" s="1850" t="s">
        <v>2610</v>
      </c>
      <c r="D284" s="1850" t="s">
        <v>2611</v>
      </c>
      <c r="E284" s="1850" t="s">
        <v>2612</v>
      </c>
      <c r="F284" s="1850" t="s">
        <v>2581</v>
      </c>
      <c r="G284" s="1850" t="s">
        <v>2613</v>
      </c>
      <c r="H284" s="1850" t="s">
        <v>28</v>
      </c>
      <c r="I284" s="1850" t="s">
        <v>857</v>
      </c>
    </row>
    <row r="285" ht="11.25" customHeight="1">
      <c r="A285" s="1850" t="s">
        <v>2251</v>
      </c>
      <c r="B285" s="1850" t="s">
        <v>16</v>
      </c>
      <c r="C285" s="1850" t="s">
        <v>2614</v>
      </c>
      <c r="D285" s="1850" t="s">
        <v>2615</v>
      </c>
      <c r="E285" s="1850" t="s">
        <v>2616</v>
      </c>
      <c r="F285" s="1850" t="s">
        <v>2308</v>
      </c>
      <c r="G285" s="1850" t="s">
        <v>2617</v>
      </c>
      <c r="H285" s="1850" t="s">
        <v>28</v>
      </c>
      <c r="I285" s="1850" t="s">
        <v>857</v>
      </c>
    </row>
    <row r="286" ht="11.25" customHeight="1">
      <c r="A286" s="1850" t="s">
        <v>2251</v>
      </c>
      <c r="B286" s="1850" t="s">
        <v>16</v>
      </c>
      <c r="C286" s="1850" t="s">
        <v>2956</v>
      </c>
      <c r="D286" s="1850" t="s">
        <v>2957</v>
      </c>
      <c r="E286" s="1850" t="s">
        <v>2958</v>
      </c>
      <c r="F286" s="1850" t="s">
        <v>2362</v>
      </c>
      <c r="G286" s="1850" t="s">
        <v>28</v>
      </c>
      <c r="H286" s="1850" t="s">
        <v>28</v>
      </c>
      <c r="I286" s="1850" t="s">
        <v>857</v>
      </c>
    </row>
    <row r="287" ht="11.25" customHeight="1">
      <c r="A287" s="1850" t="s">
        <v>2251</v>
      </c>
      <c r="B287" s="1850" t="s">
        <v>16</v>
      </c>
      <c r="C287" s="1850" t="s">
        <v>2959</v>
      </c>
      <c r="D287" s="1850" t="s">
        <v>2960</v>
      </c>
      <c r="E287" s="1850" t="s">
        <v>2961</v>
      </c>
      <c r="F287" s="1850" t="s">
        <v>2487</v>
      </c>
      <c r="G287" s="1850" t="s">
        <v>28</v>
      </c>
      <c r="H287" s="1850" t="s">
        <v>28</v>
      </c>
      <c r="I287" s="1850" t="s">
        <v>857</v>
      </c>
    </row>
    <row r="288" ht="11.25" customHeight="1">
      <c r="A288" s="1850" t="s">
        <v>2251</v>
      </c>
      <c r="B288" s="1850" t="s">
        <v>16</v>
      </c>
      <c r="C288" s="1850" t="s">
        <v>2962</v>
      </c>
      <c r="D288" s="1850" t="s">
        <v>2963</v>
      </c>
      <c r="E288" s="1850" t="s">
        <v>2964</v>
      </c>
      <c r="F288" s="1850" t="s">
        <v>2965</v>
      </c>
      <c r="G288" s="1850" t="s">
        <v>28</v>
      </c>
      <c r="H288" s="1850" t="s">
        <v>28</v>
      </c>
      <c r="I288" s="1850" t="s">
        <v>857</v>
      </c>
    </row>
    <row r="289" ht="11.25" customHeight="1">
      <c r="A289" s="1850" t="s">
        <v>2251</v>
      </c>
      <c r="B289" s="1850" t="s">
        <v>16</v>
      </c>
      <c r="C289" s="1850" t="s">
        <v>2966</v>
      </c>
      <c r="D289" s="1850" t="s">
        <v>2967</v>
      </c>
      <c r="E289" s="1850" t="s">
        <v>2968</v>
      </c>
      <c r="F289" s="1850" t="s">
        <v>2393</v>
      </c>
      <c r="G289" s="1850" t="s">
        <v>28</v>
      </c>
      <c r="H289" s="1850" t="s">
        <v>28</v>
      </c>
      <c r="I289" s="1850" t="s">
        <v>857</v>
      </c>
    </row>
    <row r="290" ht="11.25" customHeight="1">
      <c r="A290" s="1850" t="s">
        <v>2251</v>
      </c>
      <c r="B290" s="1850" t="s">
        <v>16</v>
      </c>
      <c r="C290" s="1850" t="s">
        <v>2628</v>
      </c>
      <c r="D290" s="1850" t="s">
        <v>2629</v>
      </c>
      <c r="E290" s="1850" t="s">
        <v>2630</v>
      </c>
      <c r="F290" s="1850" t="s">
        <v>2462</v>
      </c>
      <c r="G290" s="1850" t="s">
        <v>28</v>
      </c>
      <c r="H290" s="1850" t="s">
        <v>28</v>
      </c>
      <c r="I290" s="1850" t="s">
        <v>857</v>
      </c>
    </row>
    <row r="291" ht="11.25" customHeight="1">
      <c r="A291" s="1850" t="s">
        <v>2251</v>
      </c>
      <c r="B291" s="1850" t="s">
        <v>16</v>
      </c>
      <c r="C291" s="1850" t="s">
        <v>2631</v>
      </c>
      <c r="D291" s="1850" t="s">
        <v>2632</v>
      </c>
      <c r="E291" s="1850" t="s">
        <v>2633</v>
      </c>
      <c r="F291" s="1850" t="s">
        <v>2634</v>
      </c>
      <c r="G291" s="1850" t="s">
        <v>2635</v>
      </c>
      <c r="H291" s="1850" t="s">
        <v>28</v>
      </c>
      <c r="I291" s="1850" t="s">
        <v>857</v>
      </c>
    </row>
    <row r="292" ht="11.25" customHeight="1">
      <c r="A292" s="1850" t="s">
        <v>2251</v>
      </c>
      <c r="B292" s="1850" t="s">
        <v>16</v>
      </c>
      <c r="C292" s="1850" t="s">
        <v>2636</v>
      </c>
      <c r="D292" s="1850" t="s">
        <v>2637</v>
      </c>
      <c r="E292" s="1850" t="s">
        <v>2638</v>
      </c>
      <c r="F292" s="1850" t="s">
        <v>2462</v>
      </c>
      <c r="G292" s="1850" t="s">
        <v>28</v>
      </c>
      <c r="H292" s="1850" t="s">
        <v>28</v>
      </c>
      <c r="I292" s="1850" t="s">
        <v>857</v>
      </c>
    </row>
    <row r="293" ht="11.25" customHeight="1">
      <c r="A293" s="1850" t="s">
        <v>2251</v>
      </c>
      <c r="B293" s="1850" t="s">
        <v>16</v>
      </c>
      <c r="C293" s="1850" t="s">
        <v>2642</v>
      </c>
      <c r="D293" s="1850" t="s">
        <v>2643</v>
      </c>
      <c r="E293" s="1850" t="s">
        <v>2644</v>
      </c>
      <c r="F293" s="1850" t="s">
        <v>2393</v>
      </c>
      <c r="G293" s="1850" t="s">
        <v>28</v>
      </c>
      <c r="H293" s="1850" t="s">
        <v>28</v>
      </c>
      <c r="I293" s="1850" t="s">
        <v>857</v>
      </c>
    </row>
    <row r="294" ht="11.25" customHeight="1">
      <c r="A294" s="1850" t="s">
        <v>2251</v>
      </c>
      <c r="B294" s="1850" t="s">
        <v>16</v>
      </c>
      <c r="C294" s="1850" t="s">
        <v>2969</v>
      </c>
      <c r="D294" s="1850" t="s">
        <v>2970</v>
      </c>
      <c r="E294" s="1850" t="s">
        <v>2971</v>
      </c>
      <c r="F294" s="1850" t="s">
        <v>2779</v>
      </c>
      <c r="G294" s="1850" t="s">
        <v>28</v>
      </c>
      <c r="H294" s="1850" t="s">
        <v>28</v>
      </c>
      <c r="I294" s="1850" t="s">
        <v>857</v>
      </c>
    </row>
    <row r="295" ht="11.25" customHeight="1">
      <c r="A295" s="1850" t="s">
        <v>2251</v>
      </c>
      <c r="B295" s="1850" t="s">
        <v>16</v>
      </c>
      <c r="C295" s="1850" t="s">
        <v>2972</v>
      </c>
      <c r="D295" s="1850" t="s">
        <v>2973</v>
      </c>
      <c r="E295" s="1850" t="s">
        <v>2974</v>
      </c>
      <c r="F295" s="1850" t="s">
        <v>2779</v>
      </c>
      <c r="G295" s="1850" t="s">
        <v>28</v>
      </c>
      <c r="H295" s="1850" t="s">
        <v>28</v>
      </c>
      <c r="I295" s="1850" t="s">
        <v>857</v>
      </c>
    </row>
    <row r="296" ht="11.25" customHeight="1">
      <c r="A296" s="1850" t="s">
        <v>2251</v>
      </c>
      <c r="B296" s="1850" t="s">
        <v>16</v>
      </c>
      <c r="C296" s="1850" t="s">
        <v>2975</v>
      </c>
      <c r="D296" s="1850" t="s">
        <v>2976</v>
      </c>
      <c r="E296" s="1850" t="s">
        <v>2977</v>
      </c>
      <c r="F296" s="1850" t="s">
        <v>2284</v>
      </c>
      <c r="G296" s="1850" t="s">
        <v>28</v>
      </c>
      <c r="H296" s="1850" t="s">
        <v>28</v>
      </c>
      <c r="I296" s="1850" t="s">
        <v>857</v>
      </c>
    </row>
    <row r="297" ht="11.25" customHeight="1">
      <c r="A297" s="1850" t="s">
        <v>2251</v>
      </c>
      <c r="B297" s="1850" t="s">
        <v>16</v>
      </c>
      <c r="C297" s="1850" t="s">
        <v>2978</v>
      </c>
      <c r="D297" s="1850" t="s">
        <v>2979</v>
      </c>
      <c r="E297" s="1850" t="s">
        <v>2980</v>
      </c>
      <c r="F297" s="1850" t="s">
        <v>2651</v>
      </c>
      <c r="G297" s="1850" t="s">
        <v>28</v>
      </c>
      <c r="H297" s="1850" t="s">
        <v>28</v>
      </c>
      <c r="I297" s="1850" t="s">
        <v>857</v>
      </c>
    </row>
    <row r="298" ht="11.25" customHeight="1">
      <c r="A298" s="1850" t="s">
        <v>2251</v>
      </c>
      <c r="B298" s="1850" t="s">
        <v>16</v>
      </c>
      <c r="C298" s="1850" t="s">
        <v>2981</v>
      </c>
      <c r="D298" s="1850" t="s">
        <v>2982</v>
      </c>
      <c r="E298" s="1850" t="s">
        <v>2983</v>
      </c>
      <c r="F298" s="1850" t="s">
        <v>2448</v>
      </c>
      <c r="G298" s="1850" t="s">
        <v>28</v>
      </c>
      <c r="H298" s="1850" t="s">
        <v>28</v>
      </c>
      <c r="I298" s="1850" t="s">
        <v>857</v>
      </c>
    </row>
    <row r="299" ht="11.25" customHeight="1">
      <c r="A299" s="1850" t="s">
        <v>2251</v>
      </c>
      <c r="B299" s="1850" t="s">
        <v>16</v>
      </c>
      <c r="C299" s="1850" t="s">
        <v>2648</v>
      </c>
      <c r="D299" s="1850" t="s">
        <v>2649</v>
      </c>
      <c r="E299" s="1850" t="s">
        <v>2650</v>
      </c>
      <c r="F299" s="1850" t="s">
        <v>2651</v>
      </c>
      <c r="G299" s="1850" t="s">
        <v>28</v>
      </c>
      <c r="H299" s="1850" t="s">
        <v>28</v>
      </c>
      <c r="I299" s="1850" t="s">
        <v>857</v>
      </c>
    </row>
    <row r="300" ht="11.25" customHeight="1">
      <c r="A300" s="1850" t="s">
        <v>2251</v>
      </c>
      <c r="B300" s="1850" t="s">
        <v>16</v>
      </c>
      <c r="C300" s="1850" t="s">
        <v>2984</v>
      </c>
      <c r="D300" s="1850" t="s">
        <v>2985</v>
      </c>
      <c r="E300" s="1850" t="s">
        <v>2986</v>
      </c>
      <c r="F300" s="1850" t="s">
        <v>2393</v>
      </c>
      <c r="G300" s="1850" t="s">
        <v>28</v>
      </c>
      <c r="H300" s="1850" t="s">
        <v>28</v>
      </c>
      <c r="I300" s="1850" t="s">
        <v>857</v>
      </c>
    </row>
    <row r="301" ht="11.25" customHeight="1">
      <c r="A301" s="1850" t="s">
        <v>2251</v>
      </c>
      <c r="B301" s="1850" t="s">
        <v>16</v>
      </c>
      <c r="C301" s="1850" t="s">
        <v>2987</v>
      </c>
      <c r="D301" s="1850" t="s">
        <v>2988</v>
      </c>
      <c r="E301" s="1850" t="s">
        <v>2989</v>
      </c>
      <c r="F301" s="1850" t="s">
        <v>2835</v>
      </c>
      <c r="G301" s="1850" t="s">
        <v>2990</v>
      </c>
      <c r="H301" s="1850" t="s">
        <v>28</v>
      </c>
      <c r="I301" s="1850" t="s">
        <v>857</v>
      </c>
    </row>
    <row r="302" ht="11.25" customHeight="1">
      <c r="A302" s="1850" t="s">
        <v>2251</v>
      </c>
      <c r="B302" s="1850" t="s">
        <v>16</v>
      </c>
      <c r="C302" s="1850" t="s">
        <v>2991</v>
      </c>
      <c r="D302" s="1850" t="s">
        <v>2992</v>
      </c>
      <c r="E302" s="1850" t="s">
        <v>2993</v>
      </c>
      <c r="F302" s="1850" t="s">
        <v>2362</v>
      </c>
      <c r="G302" s="1850" t="s">
        <v>28</v>
      </c>
      <c r="H302" s="1850" t="s">
        <v>28</v>
      </c>
      <c r="I302" s="1850" t="s">
        <v>857</v>
      </c>
    </row>
    <row r="303" ht="11.25" customHeight="1">
      <c r="A303" s="1850" t="s">
        <v>2251</v>
      </c>
      <c r="B303" s="1850" t="s">
        <v>16</v>
      </c>
      <c r="C303" s="1850" t="s">
        <v>2994</v>
      </c>
      <c r="D303" s="1850" t="s">
        <v>2995</v>
      </c>
      <c r="E303" s="1850" t="s">
        <v>2996</v>
      </c>
      <c r="F303" s="1850" t="s">
        <v>2385</v>
      </c>
      <c r="G303" s="1850" t="s">
        <v>28</v>
      </c>
      <c r="H303" s="1850" t="s">
        <v>28</v>
      </c>
      <c r="I303" s="1850" t="s">
        <v>857</v>
      </c>
    </row>
    <row r="304" ht="11.25" customHeight="1">
      <c r="A304" s="1850" t="s">
        <v>2251</v>
      </c>
      <c r="B304" s="1850" t="s">
        <v>16</v>
      </c>
      <c r="C304" s="1850" t="s">
        <v>2997</v>
      </c>
      <c r="D304" s="1850" t="s">
        <v>2998</v>
      </c>
      <c r="E304" s="1850" t="s">
        <v>2999</v>
      </c>
      <c r="F304" s="1850" t="s">
        <v>2258</v>
      </c>
      <c r="G304" s="1850" t="s">
        <v>28</v>
      </c>
      <c r="H304" s="1850" t="s">
        <v>28</v>
      </c>
      <c r="I304" s="1850" t="s">
        <v>857</v>
      </c>
    </row>
    <row r="305" ht="11.25" customHeight="1">
      <c r="A305" s="1850" t="s">
        <v>2251</v>
      </c>
      <c r="B305" s="1850" t="s">
        <v>16</v>
      </c>
      <c r="C305" s="1850" t="s">
        <v>3000</v>
      </c>
      <c r="D305" s="1850" t="s">
        <v>3001</v>
      </c>
      <c r="E305" s="1850" t="s">
        <v>3002</v>
      </c>
      <c r="F305" s="1850" t="s">
        <v>2421</v>
      </c>
      <c r="G305" s="1850" t="s">
        <v>28</v>
      </c>
      <c r="H305" s="1850" t="s">
        <v>28</v>
      </c>
      <c r="I305" s="1850" t="s">
        <v>857</v>
      </c>
    </row>
    <row r="306" ht="11.25" customHeight="1">
      <c r="A306" s="1850" t="s">
        <v>2251</v>
      </c>
      <c r="B306" s="1850" t="s">
        <v>16</v>
      </c>
      <c r="C306" s="1850" t="s">
        <v>3003</v>
      </c>
      <c r="D306" s="1850" t="s">
        <v>3004</v>
      </c>
      <c r="E306" s="1850" t="s">
        <v>3005</v>
      </c>
      <c r="F306" s="1850" t="s">
        <v>2779</v>
      </c>
      <c r="G306" s="1850" t="s">
        <v>3006</v>
      </c>
      <c r="H306" s="1850" t="s">
        <v>28</v>
      </c>
      <c r="I306" s="1850" t="s">
        <v>857</v>
      </c>
    </row>
    <row r="307" ht="11.25" customHeight="1">
      <c r="A307" s="1850" t="s">
        <v>2251</v>
      </c>
      <c r="B307" s="1850" t="s">
        <v>16</v>
      </c>
      <c r="C307" s="1850" t="s">
        <v>3007</v>
      </c>
      <c r="D307" s="1850" t="s">
        <v>3008</v>
      </c>
      <c r="E307" s="1850" t="s">
        <v>3009</v>
      </c>
      <c r="F307" s="1850" t="s">
        <v>2317</v>
      </c>
      <c r="G307" s="1850" t="s">
        <v>28</v>
      </c>
      <c r="H307" s="1850" t="s">
        <v>28</v>
      </c>
      <c r="I307" s="1850" t="s">
        <v>857</v>
      </c>
    </row>
    <row r="308" ht="11.25" customHeight="1">
      <c r="A308" s="1850" t="s">
        <v>2251</v>
      </c>
      <c r="B308" s="1850" t="s">
        <v>16</v>
      </c>
      <c r="C308" s="1850" t="s">
        <v>2678</v>
      </c>
      <c r="D308" s="1850" t="s">
        <v>2679</v>
      </c>
      <c r="E308" s="1850" t="s">
        <v>2680</v>
      </c>
      <c r="F308" s="1850" t="s">
        <v>2284</v>
      </c>
      <c r="G308" s="1850" t="s">
        <v>28</v>
      </c>
      <c r="H308" s="1850" t="s">
        <v>28</v>
      </c>
      <c r="I308" s="1850" t="s">
        <v>857</v>
      </c>
    </row>
    <row r="309" ht="11.25" customHeight="1">
      <c r="A309" s="1850" t="s">
        <v>2251</v>
      </c>
      <c r="B309" s="1850" t="s">
        <v>16</v>
      </c>
      <c r="C309" s="1850" t="s">
        <v>28</v>
      </c>
      <c r="D309" s="1850" t="s">
        <v>2252</v>
      </c>
      <c r="E309" s="1850" t="s">
        <v>2253</v>
      </c>
      <c r="F309" s="1850" t="s">
        <v>2254</v>
      </c>
      <c r="G309" s="1850" t="s">
        <v>28</v>
      </c>
      <c r="H309" s="1850" t="s">
        <v>28</v>
      </c>
      <c r="I309" s="1850" t="s">
        <v>910</v>
      </c>
    </row>
    <row r="310" ht="11.25" customHeight="1">
      <c r="A310" s="1850" t="s">
        <v>2251</v>
      </c>
      <c r="B310" s="1850" t="s">
        <v>16</v>
      </c>
      <c r="C310" s="1850" t="s">
        <v>2255</v>
      </c>
      <c r="D310" s="1850" t="s">
        <v>2256</v>
      </c>
      <c r="E310" s="1850" t="s">
        <v>2257</v>
      </c>
      <c r="F310" s="1850" t="s">
        <v>2258</v>
      </c>
      <c r="G310" s="1850" t="s">
        <v>28</v>
      </c>
      <c r="H310" s="1850" t="s">
        <v>28</v>
      </c>
      <c r="I310" s="1850" t="s">
        <v>910</v>
      </c>
    </row>
    <row r="311" ht="11.25" customHeight="1">
      <c r="A311" s="1850" t="s">
        <v>2251</v>
      </c>
      <c r="B311" s="1850" t="s">
        <v>16</v>
      </c>
      <c r="C311" s="1850" t="s">
        <v>2268</v>
      </c>
      <c r="D311" s="1850" t="s">
        <v>2269</v>
      </c>
      <c r="E311" s="1850" t="s">
        <v>2270</v>
      </c>
      <c r="F311" s="1850" t="s">
        <v>2271</v>
      </c>
      <c r="G311" s="1850" t="s">
        <v>28</v>
      </c>
      <c r="H311" s="1850" t="s">
        <v>28</v>
      </c>
      <c r="I311" s="1850" t="s">
        <v>910</v>
      </c>
    </row>
    <row r="312" ht="11.25" customHeight="1">
      <c r="A312" s="1850" t="s">
        <v>2251</v>
      </c>
      <c r="B312" s="1850" t="s">
        <v>16</v>
      </c>
      <c r="C312" s="1850" t="s">
        <v>2272</v>
      </c>
      <c r="D312" s="1850" t="s">
        <v>46</v>
      </c>
      <c r="E312" s="1850" t="s">
        <v>49</v>
      </c>
      <c r="F312" s="1850" t="s">
        <v>2273</v>
      </c>
      <c r="G312" s="1850" t="s">
        <v>2274</v>
      </c>
      <c r="H312" s="1850" t="s">
        <v>28</v>
      </c>
      <c r="I312" s="1850" t="s">
        <v>910</v>
      </c>
    </row>
    <row r="313" ht="11.25" customHeight="1">
      <c r="A313" s="1850" t="s">
        <v>2251</v>
      </c>
      <c r="B313" s="1850" t="s">
        <v>16</v>
      </c>
      <c r="C313" s="1850" t="s">
        <v>2281</v>
      </c>
      <c r="D313" s="1850" t="s">
        <v>2282</v>
      </c>
      <c r="E313" s="1850" t="s">
        <v>2283</v>
      </c>
      <c r="F313" s="1850" t="s">
        <v>2284</v>
      </c>
      <c r="G313" s="1850" t="s">
        <v>28</v>
      </c>
      <c r="H313" s="1850" t="s">
        <v>28</v>
      </c>
      <c r="I313" s="1850" t="s">
        <v>910</v>
      </c>
    </row>
    <row r="314" ht="11.25" customHeight="1">
      <c r="A314" s="1850" t="s">
        <v>2251</v>
      </c>
      <c r="B314" s="1850" t="s">
        <v>16</v>
      </c>
      <c r="C314" s="1850" t="s">
        <v>2293</v>
      </c>
      <c r="D314" s="1850" t="s">
        <v>2294</v>
      </c>
      <c r="E314" s="1850" t="s">
        <v>2295</v>
      </c>
      <c r="F314" s="1850" t="s">
        <v>2296</v>
      </c>
      <c r="G314" s="1850" t="s">
        <v>28</v>
      </c>
      <c r="H314" s="1850" t="s">
        <v>28</v>
      </c>
      <c r="I314" s="1850" t="s">
        <v>910</v>
      </c>
    </row>
    <row r="315" ht="11.25" customHeight="1">
      <c r="A315" s="1850" t="s">
        <v>2251</v>
      </c>
      <c r="B315" s="1850" t="s">
        <v>16</v>
      </c>
      <c r="C315" s="1850" t="s">
        <v>2703</v>
      </c>
      <c r="D315" s="1850" t="s">
        <v>2704</v>
      </c>
      <c r="E315" s="1850" t="s">
        <v>2705</v>
      </c>
      <c r="F315" s="1850" t="s">
        <v>2500</v>
      </c>
      <c r="G315" s="1850" t="s">
        <v>2706</v>
      </c>
      <c r="H315" s="1850" t="s">
        <v>28</v>
      </c>
      <c r="I315" s="1850" t="s">
        <v>910</v>
      </c>
    </row>
    <row r="316" ht="11.25" customHeight="1">
      <c r="A316" s="1850" t="s">
        <v>2251</v>
      </c>
      <c r="B316" s="1850" t="s">
        <v>16</v>
      </c>
      <c r="C316" s="1850" t="s">
        <v>3010</v>
      </c>
      <c r="D316" s="1850" t="s">
        <v>3011</v>
      </c>
      <c r="E316" s="1850" t="s">
        <v>3012</v>
      </c>
      <c r="F316" s="1850" t="s">
        <v>2254</v>
      </c>
      <c r="G316" s="1850" t="s">
        <v>28</v>
      </c>
      <c r="H316" s="1850" t="s">
        <v>28</v>
      </c>
      <c r="I316" s="1850" t="s">
        <v>910</v>
      </c>
    </row>
    <row r="317" ht="11.25" customHeight="1">
      <c r="A317" s="1850" t="s">
        <v>2251</v>
      </c>
      <c r="B317" s="1850" t="s">
        <v>16</v>
      </c>
      <c r="C317" s="1850" t="s">
        <v>2302</v>
      </c>
      <c r="D317" s="1850" t="s">
        <v>2303</v>
      </c>
      <c r="E317" s="1850" t="s">
        <v>2304</v>
      </c>
      <c r="F317" s="1850" t="s">
        <v>2262</v>
      </c>
      <c r="G317" s="1850" t="s">
        <v>28</v>
      </c>
      <c r="H317" s="1850" t="s">
        <v>28</v>
      </c>
      <c r="I317" s="1850" t="s">
        <v>910</v>
      </c>
    </row>
    <row r="318" ht="11.25" customHeight="1">
      <c r="A318" s="1850" t="s">
        <v>2251</v>
      </c>
      <c r="B318" s="1850" t="s">
        <v>16</v>
      </c>
      <c r="C318" s="1850" t="s">
        <v>2305</v>
      </c>
      <c r="D318" s="1850" t="s">
        <v>2306</v>
      </c>
      <c r="E318" s="1850" t="s">
        <v>2307</v>
      </c>
      <c r="F318" s="1850" t="s">
        <v>2308</v>
      </c>
      <c r="G318" s="1850" t="s">
        <v>28</v>
      </c>
      <c r="H318" s="1850" t="s">
        <v>28</v>
      </c>
      <c r="I318" s="1850" t="s">
        <v>910</v>
      </c>
    </row>
    <row r="319" ht="11.25" customHeight="1">
      <c r="A319" s="1850" t="s">
        <v>2251</v>
      </c>
      <c r="B319" s="1850" t="s">
        <v>16</v>
      </c>
      <c r="C319" s="1850" t="s">
        <v>3013</v>
      </c>
      <c r="D319" s="1850" t="s">
        <v>3014</v>
      </c>
      <c r="E319" s="1850" t="s">
        <v>3015</v>
      </c>
      <c r="F319" s="1850" t="s">
        <v>2258</v>
      </c>
      <c r="G319" s="1850" t="s">
        <v>3016</v>
      </c>
      <c r="H319" s="1850" t="s">
        <v>28</v>
      </c>
      <c r="I319" s="1850" t="s">
        <v>910</v>
      </c>
    </row>
    <row r="320" ht="11.25" customHeight="1">
      <c r="A320" s="1850" t="s">
        <v>2251</v>
      </c>
      <c r="B320" s="1850" t="s">
        <v>16</v>
      </c>
      <c r="C320" s="1850" t="s">
        <v>2707</v>
      </c>
      <c r="D320" s="1850" t="s">
        <v>2708</v>
      </c>
      <c r="E320" s="1850" t="s">
        <v>2709</v>
      </c>
      <c r="F320" s="1850" t="s">
        <v>2284</v>
      </c>
      <c r="G320" s="1850" t="s">
        <v>2710</v>
      </c>
      <c r="H320" s="1850" t="s">
        <v>28</v>
      </c>
      <c r="I320" s="1850" t="s">
        <v>910</v>
      </c>
    </row>
    <row r="321" ht="11.25" customHeight="1">
      <c r="A321" s="1850" t="s">
        <v>2251</v>
      </c>
      <c r="B321" s="1850" t="s">
        <v>16</v>
      </c>
      <c r="C321" s="1850" t="s">
        <v>2711</v>
      </c>
      <c r="D321" s="1850" t="s">
        <v>2712</v>
      </c>
      <c r="E321" s="1850" t="s">
        <v>2713</v>
      </c>
      <c r="F321" s="1850" t="s">
        <v>2262</v>
      </c>
      <c r="G321" s="1850" t="s">
        <v>28</v>
      </c>
      <c r="H321" s="1850" t="s">
        <v>28</v>
      </c>
      <c r="I321" s="1850" t="s">
        <v>910</v>
      </c>
    </row>
    <row r="322" ht="11.25" customHeight="1">
      <c r="A322" s="1850" t="s">
        <v>2251</v>
      </c>
      <c r="B322" s="1850" t="s">
        <v>16</v>
      </c>
      <c r="C322" s="1850" t="s">
        <v>2322</v>
      </c>
      <c r="D322" s="1850" t="s">
        <v>2323</v>
      </c>
      <c r="E322" s="1850" t="s">
        <v>2324</v>
      </c>
      <c r="F322" s="1850" t="s">
        <v>2325</v>
      </c>
      <c r="G322" s="1850" t="s">
        <v>28</v>
      </c>
      <c r="H322" s="1850" t="s">
        <v>28</v>
      </c>
      <c r="I322" s="1850" t="s">
        <v>910</v>
      </c>
    </row>
    <row r="323" ht="11.25" customHeight="1">
      <c r="A323" s="1850" t="s">
        <v>2251</v>
      </c>
      <c r="B323" s="1850" t="s">
        <v>16</v>
      </c>
      <c r="C323" s="1850" t="s">
        <v>2714</v>
      </c>
      <c r="D323" s="1850" t="s">
        <v>2715</v>
      </c>
      <c r="E323" s="1850" t="s">
        <v>2716</v>
      </c>
      <c r="F323" s="1850" t="s">
        <v>2677</v>
      </c>
      <c r="G323" s="1850" t="s">
        <v>2717</v>
      </c>
      <c r="H323" s="1850" t="s">
        <v>28</v>
      </c>
      <c r="I323" s="1850" t="s">
        <v>910</v>
      </c>
    </row>
    <row r="324" ht="11.25" customHeight="1">
      <c r="A324" s="1850" t="s">
        <v>2251</v>
      </c>
      <c r="B324" s="1850" t="s">
        <v>16</v>
      </c>
      <c r="C324" s="1850" t="s">
        <v>2334</v>
      </c>
      <c r="D324" s="1850" t="s">
        <v>2335</v>
      </c>
      <c r="E324" s="1850" t="s">
        <v>2336</v>
      </c>
      <c r="F324" s="1850" t="s">
        <v>2254</v>
      </c>
      <c r="G324" s="1850" t="s">
        <v>2337</v>
      </c>
      <c r="H324" s="1850" t="s">
        <v>28</v>
      </c>
      <c r="I324" s="1850" t="s">
        <v>910</v>
      </c>
    </row>
    <row r="325" ht="11.25" customHeight="1">
      <c r="A325" s="1850" t="s">
        <v>2251</v>
      </c>
      <c r="B325" s="1850" t="s">
        <v>16</v>
      </c>
      <c r="C325" s="1850" t="s">
        <v>2718</v>
      </c>
      <c r="D325" s="1850" t="s">
        <v>2719</v>
      </c>
      <c r="E325" s="1850" t="s">
        <v>2720</v>
      </c>
      <c r="F325" s="1850" t="s">
        <v>2721</v>
      </c>
      <c r="G325" s="1850" t="s">
        <v>28</v>
      </c>
      <c r="H325" s="1850" t="s">
        <v>28</v>
      </c>
      <c r="I325" s="1850" t="s">
        <v>910</v>
      </c>
    </row>
    <row r="326" ht="11.25" customHeight="1">
      <c r="A326" s="1850" t="s">
        <v>2251</v>
      </c>
      <c r="B326" s="1850" t="s">
        <v>16</v>
      </c>
      <c r="C326" s="1850" t="s">
        <v>2356</v>
      </c>
      <c r="D326" s="1850" t="s">
        <v>2357</v>
      </c>
      <c r="E326" s="1850" t="s">
        <v>2354</v>
      </c>
      <c r="F326" s="1850" t="s">
        <v>2358</v>
      </c>
      <c r="G326" s="1850" t="s">
        <v>28</v>
      </c>
      <c r="H326" s="1850" t="s">
        <v>28</v>
      </c>
      <c r="I326" s="1850" t="s">
        <v>910</v>
      </c>
    </row>
    <row r="327" ht="11.25" customHeight="1">
      <c r="A327" s="1850" t="s">
        <v>2251</v>
      </c>
      <c r="B327" s="1850" t="s">
        <v>16</v>
      </c>
      <c r="C327" s="1850" t="s">
        <v>2722</v>
      </c>
      <c r="D327" s="1850" t="s">
        <v>2723</v>
      </c>
      <c r="E327" s="1850" t="s">
        <v>2724</v>
      </c>
      <c r="F327" s="1850" t="s">
        <v>2393</v>
      </c>
      <c r="G327" s="1850" t="s">
        <v>28</v>
      </c>
      <c r="H327" s="1850" t="s">
        <v>2725</v>
      </c>
      <c r="I327" s="1850" t="s">
        <v>910</v>
      </c>
    </row>
    <row r="328" ht="11.25" customHeight="1">
      <c r="A328" s="1850" t="s">
        <v>2251</v>
      </c>
      <c r="B328" s="1850" t="s">
        <v>16</v>
      </c>
      <c r="C328" s="1850" t="s">
        <v>2729</v>
      </c>
      <c r="D328" s="1850" t="s">
        <v>2730</v>
      </c>
      <c r="E328" s="1850" t="s">
        <v>2731</v>
      </c>
      <c r="F328" s="1850" t="s">
        <v>578</v>
      </c>
      <c r="G328" s="1850" t="s">
        <v>28</v>
      </c>
      <c r="H328" s="1850" t="s">
        <v>28</v>
      </c>
      <c r="I328" s="1850" t="s">
        <v>910</v>
      </c>
    </row>
    <row r="329" ht="11.25" customHeight="1">
      <c r="A329" s="1850" t="s">
        <v>2251</v>
      </c>
      <c r="B329" s="1850" t="s">
        <v>16</v>
      </c>
      <c r="C329" s="1850" t="s">
        <v>2735</v>
      </c>
      <c r="D329" s="1850" t="s">
        <v>2405</v>
      </c>
      <c r="E329" s="1850" t="s">
        <v>2406</v>
      </c>
      <c r="F329" s="1850" t="s">
        <v>2736</v>
      </c>
      <c r="G329" s="1850" t="s">
        <v>28</v>
      </c>
      <c r="H329" s="1850" t="s">
        <v>28</v>
      </c>
      <c r="I329" s="1850" t="s">
        <v>910</v>
      </c>
    </row>
    <row r="330" ht="11.25" customHeight="1">
      <c r="A330" s="1850" t="s">
        <v>2251</v>
      </c>
      <c r="B330" s="1850" t="s">
        <v>16</v>
      </c>
      <c r="C330" s="1850" t="s">
        <v>2684</v>
      </c>
      <c r="D330" s="1850" t="s">
        <v>2405</v>
      </c>
      <c r="E330" s="1850" t="s">
        <v>2406</v>
      </c>
      <c r="F330" s="1850" t="s">
        <v>2685</v>
      </c>
      <c r="G330" s="1850" t="s">
        <v>28</v>
      </c>
      <c r="H330" s="1850" t="s">
        <v>28</v>
      </c>
      <c r="I330" s="1850" t="s">
        <v>910</v>
      </c>
    </row>
    <row r="331" ht="11.25" customHeight="1">
      <c r="A331" s="1850" t="s">
        <v>2251</v>
      </c>
      <c r="B331" s="1850" t="s">
        <v>16</v>
      </c>
      <c r="C331" s="1850" t="s">
        <v>2686</v>
      </c>
      <c r="D331" s="1850" t="s">
        <v>2405</v>
      </c>
      <c r="E331" s="1850" t="s">
        <v>2406</v>
      </c>
      <c r="F331" s="1850" t="s">
        <v>2687</v>
      </c>
      <c r="G331" s="1850" t="s">
        <v>28</v>
      </c>
      <c r="H331" s="1850" t="s">
        <v>28</v>
      </c>
      <c r="I331" s="1850" t="s">
        <v>910</v>
      </c>
    </row>
    <row r="332" ht="11.25" customHeight="1">
      <c r="A332" s="1850" t="s">
        <v>2251</v>
      </c>
      <c r="B332" s="1850" t="s">
        <v>16</v>
      </c>
      <c r="C332" s="1850" t="s">
        <v>2688</v>
      </c>
      <c r="D332" s="1850" t="s">
        <v>2405</v>
      </c>
      <c r="E332" s="1850" t="s">
        <v>2406</v>
      </c>
      <c r="F332" s="1850" t="s">
        <v>2689</v>
      </c>
      <c r="G332" s="1850" t="s">
        <v>28</v>
      </c>
      <c r="H332" s="1850" t="s">
        <v>28</v>
      </c>
      <c r="I332" s="1850" t="s">
        <v>910</v>
      </c>
    </row>
    <row r="333" ht="11.25" customHeight="1">
      <c r="A333" s="1850" t="s">
        <v>2251</v>
      </c>
      <c r="B333" s="1850" t="s">
        <v>16</v>
      </c>
      <c r="C333" s="1850" t="s">
        <v>2737</v>
      </c>
      <c r="D333" s="1850" t="s">
        <v>2405</v>
      </c>
      <c r="E333" s="1850" t="s">
        <v>2406</v>
      </c>
      <c r="F333" s="1850" t="s">
        <v>2738</v>
      </c>
      <c r="G333" s="1850" t="s">
        <v>28</v>
      </c>
      <c r="H333" s="1850" t="s">
        <v>28</v>
      </c>
      <c r="I333" s="1850" t="s">
        <v>910</v>
      </c>
    </row>
    <row r="334" ht="11.25" customHeight="1">
      <c r="A334" s="1850" t="s">
        <v>2251</v>
      </c>
      <c r="B334" s="1850" t="s">
        <v>16</v>
      </c>
      <c r="C334" s="1850" t="s">
        <v>2690</v>
      </c>
      <c r="D334" s="1850" t="s">
        <v>2405</v>
      </c>
      <c r="E334" s="1850" t="s">
        <v>2406</v>
      </c>
      <c r="F334" s="1850" t="s">
        <v>2691</v>
      </c>
      <c r="G334" s="1850" t="s">
        <v>28</v>
      </c>
      <c r="H334" s="1850" t="s">
        <v>28</v>
      </c>
      <c r="I334" s="1850" t="s">
        <v>910</v>
      </c>
    </row>
    <row r="335" ht="11.25" customHeight="1">
      <c r="A335" s="1850" t="s">
        <v>2251</v>
      </c>
      <c r="B335" s="1850" t="s">
        <v>16</v>
      </c>
      <c r="C335" s="1850" t="s">
        <v>2692</v>
      </c>
      <c r="D335" s="1850" t="s">
        <v>2405</v>
      </c>
      <c r="E335" s="1850" t="s">
        <v>2406</v>
      </c>
      <c r="F335" s="1850" t="s">
        <v>2693</v>
      </c>
      <c r="G335" s="1850" t="s">
        <v>28</v>
      </c>
      <c r="H335" s="1850" t="s">
        <v>28</v>
      </c>
      <c r="I335" s="1850" t="s">
        <v>910</v>
      </c>
    </row>
    <row r="336" ht="11.25" customHeight="1">
      <c r="A336" s="1850" t="s">
        <v>2251</v>
      </c>
      <c r="B336" s="1850" t="s">
        <v>16</v>
      </c>
      <c r="C336" s="1850" t="s">
        <v>2694</v>
      </c>
      <c r="D336" s="1850" t="s">
        <v>2405</v>
      </c>
      <c r="E336" s="1850" t="s">
        <v>2406</v>
      </c>
      <c r="F336" s="1850" t="s">
        <v>2695</v>
      </c>
      <c r="G336" s="1850" t="s">
        <v>28</v>
      </c>
      <c r="H336" s="1850" t="s">
        <v>28</v>
      </c>
      <c r="I336" s="1850" t="s">
        <v>910</v>
      </c>
    </row>
    <row r="337" ht="11.25" customHeight="1">
      <c r="A337" s="1850" t="s">
        <v>2251</v>
      </c>
      <c r="B337" s="1850" t="s">
        <v>16</v>
      </c>
      <c r="C337" s="1850" t="s">
        <v>2696</v>
      </c>
      <c r="D337" s="1850" t="s">
        <v>2405</v>
      </c>
      <c r="E337" s="1850" t="s">
        <v>2406</v>
      </c>
      <c r="F337" s="1850" t="s">
        <v>2697</v>
      </c>
      <c r="G337" s="1850" t="s">
        <v>28</v>
      </c>
      <c r="H337" s="1850" t="s">
        <v>28</v>
      </c>
      <c r="I337" s="1850" t="s">
        <v>910</v>
      </c>
    </row>
    <row r="338" ht="11.25" customHeight="1">
      <c r="A338" s="1850" t="s">
        <v>2251</v>
      </c>
      <c r="B338" s="1850" t="s">
        <v>16</v>
      </c>
      <c r="C338" s="1850" t="s">
        <v>2698</v>
      </c>
      <c r="D338" s="1850" t="s">
        <v>2405</v>
      </c>
      <c r="E338" s="1850" t="s">
        <v>2406</v>
      </c>
      <c r="F338" s="1850" t="s">
        <v>2699</v>
      </c>
      <c r="G338" s="1850" t="s">
        <v>28</v>
      </c>
      <c r="H338" s="1850" t="s">
        <v>28</v>
      </c>
      <c r="I338" s="1850" t="s">
        <v>910</v>
      </c>
    </row>
    <row r="339" ht="11.25" customHeight="1">
      <c r="A339" s="1850" t="s">
        <v>2251</v>
      </c>
      <c r="B339" s="1850" t="s">
        <v>16</v>
      </c>
      <c r="C339" s="1850" t="s">
        <v>2404</v>
      </c>
      <c r="D339" s="1850" t="s">
        <v>2405</v>
      </c>
      <c r="E339" s="1850" t="s">
        <v>2406</v>
      </c>
      <c r="F339" s="1850" t="s">
        <v>2403</v>
      </c>
      <c r="G339" s="1850" t="s">
        <v>28</v>
      </c>
      <c r="H339" s="1850" t="s">
        <v>28</v>
      </c>
      <c r="I339" s="1850" t="s">
        <v>910</v>
      </c>
    </row>
    <row r="340" ht="11.25" customHeight="1">
      <c r="A340" s="1850" t="s">
        <v>2251</v>
      </c>
      <c r="B340" s="1850" t="s">
        <v>16</v>
      </c>
      <c r="C340" s="1850" t="s">
        <v>2739</v>
      </c>
      <c r="D340" s="1850" t="s">
        <v>2740</v>
      </c>
      <c r="E340" s="1850" t="s">
        <v>2741</v>
      </c>
      <c r="F340" s="1850" t="s">
        <v>2284</v>
      </c>
      <c r="G340" s="1850" t="s">
        <v>28</v>
      </c>
      <c r="H340" s="1850" t="s">
        <v>28</v>
      </c>
      <c r="I340" s="1850" t="s">
        <v>910</v>
      </c>
    </row>
    <row r="341" ht="11.25" customHeight="1">
      <c r="A341" s="1850" t="s">
        <v>2251</v>
      </c>
      <c r="B341" s="1850" t="s">
        <v>16</v>
      </c>
      <c r="C341" s="1850" t="s">
        <v>2742</v>
      </c>
      <c r="D341" s="1850" t="s">
        <v>2740</v>
      </c>
      <c r="E341" s="1850" t="s">
        <v>2741</v>
      </c>
      <c r="F341" s="1850" t="s">
        <v>2743</v>
      </c>
      <c r="G341" s="1850" t="s">
        <v>28</v>
      </c>
      <c r="H341" s="1850" t="s">
        <v>28</v>
      </c>
      <c r="I341" s="1850" t="s">
        <v>910</v>
      </c>
    </row>
    <row r="342" ht="11.25" customHeight="1">
      <c r="A342" s="1850" t="s">
        <v>2251</v>
      </c>
      <c r="B342" s="1850" t="s">
        <v>16</v>
      </c>
      <c r="C342" s="1850" t="s">
        <v>2744</v>
      </c>
      <c r="D342" s="1850" t="s">
        <v>2701</v>
      </c>
      <c r="E342" s="1850" t="s">
        <v>2406</v>
      </c>
      <c r="F342" s="1850" t="s">
        <v>2745</v>
      </c>
      <c r="G342" s="1850" t="s">
        <v>28</v>
      </c>
      <c r="H342" s="1850" t="s">
        <v>28</v>
      </c>
      <c r="I342" s="1850" t="s">
        <v>910</v>
      </c>
    </row>
    <row r="343" ht="11.25" customHeight="1">
      <c r="A343" s="1850" t="s">
        <v>2251</v>
      </c>
      <c r="B343" s="1850" t="s">
        <v>16</v>
      </c>
      <c r="C343" s="1850" t="s">
        <v>2700</v>
      </c>
      <c r="D343" s="1850" t="s">
        <v>2701</v>
      </c>
      <c r="E343" s="1850" t="s">
        <v>2406</v>
      </c>
      <c r="F343" s="1850" t="s">
        <v>2702</v>
      </c>
      <c r="G343" s="1850" t="s">
        <v>28</v>
      </c>
      <c r="H343" s="1850" t="s">
        <v>28</v>
      </c>
      <c r="I343" s="1850" t="s">
        <v>910</v>
      </c>
    </row>
    <row r="344" ht="11.25" customHeight="1">
      <c r="A344" s="1850" t="s">
        <v>2251</v>
      </c>
      <c r="B344" s="1850" t="s">
        <v>16</v>
      </c>
      <c r="C344" s="1850" t="s">
        <v>3017</v>
      </c>
      <c r="D344" s="1850" t="s">
        <v>3018</v>
      </c>
      <c r="E344" s="1850" t="s">
        <v>3019</v>
      </c>
      <c r="F344" s="1850" t="s">
        <v>2517</v>
      </c>
      <c r="G344" s="1850" t="s">
        <v>3020</v>
      </c>
      <c r="H344" s="1850" t="s">
        <v>28</v>
      </c>
      <c r="I344" s="1850" t="s">
        <v>910</v>
      </c>
    </row>
    <row r="345" ht="11.25" customHeight="1">
      <c r="A345" s="1850" t="s">
        <v>2251</v>
      </c>
      <c r="B345" s="1850" t="s">
        <v>16</v>
      </c>
      <c r="C345" s="1850" t="s">
        <v>2749</v>
      </c>
      <c r="D345" s="1850" t="s">
        <v>2750</v>
      </c>
      <c r="E345" s="1850" t="s">
        <v>2751</v>
      </c>
      <c r="F345" s="1850" t="s">
        <v>2296</v>
      </c>
      <c r="G345" s="1850" t="s">
        <v>2752</v>
      </c>
      <c r="H345" s="1850" t="s">
        <v>28</v>
      </c>
      <c r="I345" s="1850" t="s">
        <v>910</v>
      </c>
    </row>
    <row r="346" ht="11.25" customHeight="1">
      <c r="A346" s="1850" t="s">
        <v>2251</v>
      </c>
      <c r="B346" s="1850" t="s">
        <v>16</v>
      </c>
      <c r="C346" s="1850" t="s">
        <v>2753</v>
      </c>
      <c r="D346" s="1850" t="s">
        <v>2754</v>
      </c>
      <c r="E346" s="1850" t="s">
        <v>2755</v>
      </c>
      <c r="F346" s="1850" t="s">
        <v>2487</v>
      </c>
      <c r="G346" s="1850" t="s">
        <v>28</v>
      </c>
      <c r="H346" s="1850" t="s">
        <v>28</v>
      </c>
      <c r="I346" s="1850" t="s">
        <v>910</v>
      </c>
    </row>
    <row r="347" ht="11.25" customHeight="1">
      <c r="A347" s="1850" t="s">
        <v>2251</v>
      </c>
      <c r="B347" s="1850" t="s">
        <v>16</v>
      </c>
      <c r="C347" s="1850" t="s">
        <v>2756</v>
      </c>
      <c r="D347" s="1850" t="s">
        <v>2757</v>
      </c>
      <c r="E347" s="1850" t="s">
        <v>2758</v>
      </c>
      <c r="F347" s="1850" t="s">
        <v>2595</v>
      </c>
      <c r="G347" s="1850" t="s">
        <v>28</v>
      </c>
      <c r="H347" s="1850" t="s">
        <v>28</v>
      </c>
      <c r="I347" s="1850" t="s">
        <v>910</v>
      </c>
    </row>
    <row r="348" ht="11.25" customHeight="1">
      <c r="A348" s="1850" t="s">
        <v>2251</v>
      </c>
      <c r="B348" s="1850" t="s">
        <v>16</v>
      </c>
      <c r="C348" s="1850" t="s">
        <v>2759</v>
      </c>
      <c r="D348" s="1850" t="s">
        <v>2760</v>
      </c>
      <c r="E348" s="1850" t="s">
        <v>2761</v>
      </c>
      <c r="F348" s="1850" t="s">
        <v>2317</v>
      </c>
      <c r="G348" s="1850" t="s">
        <v>28</v>
      </c>
      <c r="H348" s="1850" t="s">
        <v>28</v>
      </c>
      <c r="I348" s="1850" t="s">
        <v>910</v>
      </c>
    </row>
    <row r="349" ht="11.25" customHeight="1">
      <c r="A349" s="1850" t="s">
        <v>2251</v>
      </c>
      <c r="B349" s="1850" t="s">
        <v>16</v>
      </c>
      <c r="C349" s="1850" t="s">
        <v>2762</v>
      </c>
      <c r="D349" s="1850" t="s">
        <v>2763</v>
      </c>
      <c r="E349" s="1850" t="s">
        <v>2764</v>
      </c>
      <c r="F349" s="1850" t="s">
        <v>2414</v>
      </c>
      <c r="G349" s="1850" t="s">
        <v>28</v>
      </c>
      <c r="H349" s="1850" t="s">
        <v>28</v>
      </c>
      <c r="I349" s="1850" t="s">
        <v>910</v>
      </c>
    </row>
    <row r="350" ht="11.25" customHeight="1">
      <c r="A350" s="1850" t="s">
        <v>2251</v>
      </c>
      <c r="B350" s="1850" t="s">
        <v>16</v>
      </c>
      <c r="C350" s="1850" t="s">
        <v>2769</v>
      </c>
      <c r="D350" s="1850" t="s">
        <v>2770</v>
      </c>
      <c r="E350" s="1850" t="s">
        <v>2771</v>
      </c>
      <c r="F350" s="1850" t="s">
        <v>2317</v>
      </c>
      <c r="G350" s="1850" t="s">
        <v>28</v>
      </c>
      <c r="H350" s="1850" t="s">
        <v>28</v>
      </c>
      <c r="I350" s="1850" t="s">
        <v>910</v>
      </c>
    </row>
    <row r="351" ht="11.25" customHeight="1">
      <c r="A351" s="1850" t="s">
        <v>2251</v>
      </c>
      <c r="B351" s="1850" t="s">
        <v>16</v>
      </c>
      <c r="C351" s="1850" t="s">
        <v>2411</v>
      </c>
      <c r="D351" s="1850" t="s">
        <v>2412</v>
      </c>
      <c r="E351" s="1850" t="s">
        <v>2413</v>
      </c>
      <c r="F351" s="1850" t="s">
        <v>2414</v>
      </c>
      <c r="G351" s="1850" t="s">
        <v>28</v>
      </c>
      <c r="H351" s="1850" t="s">
        <v>28</v>
      </c>
      <c r="I351" s="1850" t="s">
        <v>910</v>
      </c>
    </row>
    <row r="352" ht="11.25" customHeight="1">
      <c r="A352" s="1850" t="s">
        <v>2251</v>
      </c>
      <c r="B352" s="1850" t="s">
        <v>16</v>
      </c>
      <c r="C352" s="1850" t="s">
        <v>2772</v>
      </c>
      <c r="D352" s="1850" t="s">
        <v>2773</v>
      </c>
      <c r="E352" s="1850" t="s">
        <v>2774</v>
      </c>
      <c r="F352" s="1850" t="s">
        <v>2431</v>
      </c>
      <c r="G352" s="1850" t="s">
        <v>2775</v>
      </c>
      <c r="H352" s="1850" t="s">
        <v>28</v>
      </c>
      <c r="I352" s="1850" t="s">
        <v>910</v>
      </c>
    </row>
    <row r="353" ht="11.25" customHeight="1">
      <c r="A353" s="1850" t="s">
        <v>2251</v>
      </c>
      <c r="B353" s="1850" t="s">
        <v>16</v>
      </c>
      <c r="C353" s="1850" t="s">
        <v>2776</v>
      </c>
      <c r="D353" s="1850" t="s">
        <v>2777</v>
      </c>
      <c r="E353" s="1850" t="s">
        <v>2778</v>
      </c>
      <c r="F353" s="1850" t="s">
        <v>2779</v>
      </c>
      <c r="G353" s="1850" t="s">
        <v>28</v>
      </c>
      <c r="H353" s="1850" t="s">
        <v>28</v>
      </c>
      <c r="I353" s="1850" t="s">
        <v>910</v>
      </c>
    </row>
    <row r="354" ht="11.25" customHeight="1">
      <c r="A354" s="1850" t="s">
        <v>2251</v>
      </c>
      <c r="B354" s="1850" t="s">
        <v>16</v>
      </c>
      <c r="C354" s="1850" t="s">
        <v>2780</v>
      </c>
      <c r="D354" s="1850" t="s">
        <v>2781</v>
      </c>
      <c r="E354" s="1850" t="s">
        <v>2782</v>
      </c>
      <c r="F354" s="1850" t="s">
        <v>2296</v>
      </c>
      <c r="G354" s="1850" t="s">
        <v>2783</v>
      </c>
      <c r="H354" s="1850" t="s">
        <v>28</v>
      </c>
      <c r="I354" s="1850" t="s">
        <v>910</v>
      </c>
    </row>
    <row r="355" ht="11.25" customHeight="1">
      <c r="A355" s="1850" t="s">
        <v>2251</v>
      </c>
      <c r="B355" s="1850" t="s">
        <v>16</v>
      </c>
      <c r="C355" s="1850" t="s">
        <v>2784</v>
      </c>
      <c r="D355" s="1850" t="s">
        <v>2785</v>
      </c>
      <c r="E355" s="1850" t="s">
        <v>2786</v>
      </c>
      <c r="F355" s="1850" t="s">
        <v>2296</v>
      </c>
      <c r="G355" s="1850" t="s">
        <v>2787</v>
      </c>
      <c r="H355" s="1850" t="s">
        <v>28</v>
      </c>
      <c r="I355" s="1850" t="s">
        <v>910</v>
      </c>
    </row>
    <row r="356" ht="11.25" customHeight="1">
      <c r="A356" s="1850" t="s">
        <v>2251</v>
      </c>
      <c r="B356" s="1850" t="s">
        <v>16</v>
      </c>
      <c r="C356" s="1850" t="s">
        <v>2418</v>
      </c>
      <c r="D356" s="1850" t="s">
        <v>2419</v>
      </c>
      <c r="E356" s="1850" t="s">
        <v>2420</v>
      </c>
      <c r="F356" s="1850" t="s">
        <v>2421</v>
      </c>
      <c r="G356" s="1850" t="s">
        <v>28</v>
      </c>
      <c r="H356" s="1850" t="s">
        <v>28</v>
      </c>
      <c r="I356" s="1850" t="s">
        <v>910</v>
      </c>
    </row>
    <row r="357" ht="11.25" customHeight="1">
      <c r="A357" s="1850" t="s">
        <v>2251</v>
      </c>
      <c r="B357" s="1850" t="s">
        <v>16</v>
      </c>
      <c r="C357" s="1850" t="s">
        <v>3021</v>
      </c>
      <c r="D357" s="1850" t="s">
        <v>3022</v>
      </c>
      <c r="E357" s="1850" t="s">
        <v>3023</v>
      </c>
      <c r="F357" s="1850" t="s">
        <v>2431</v>
      </c>
      <c r="G357" s="1850" t="s">
        <v>28</v>
      </c>
      <c r="H357" s="1850" t="s">
        <v>28</v>
      </c>
      <c r="I357" s="1850" t="s">
        <v>910</v>
      </c>
    </row>
    <row r="358" ht="11.25" customHeight="1">
      <c r="A358" s="1850" t="s">
        <v>2251</v>
      </c>
      <c r="B358" s="1850" t="s">
        <v>16</v>
      </c>
      <c r="C358" s="1850" t="s">
        <v>2422</v>
      </c>
      <c r="D358" s="1850" t="s">
        <v>2423</v>
      </c>
      <c r="E358" s="1850" t="s">
        <v>2424</v>
      </c>
      <c r="F358" s="1850" t="s">
        <v>2292</v>
      </c>
      <c r="G358" s="1850" t="s">
        <v>28</v>
      </c>
      <c r="H358" s="1850" t="s">
        <v>28</v>
      </c>
      <c r="I358" s="1850" t="s">
        <v>910</v>
      </c>
    </row>
    <row r="359" ht="11.25" customHeight="1">
      <c r="A359" s="1850" t="s">
        <v>2251</v>
      </c>
      <c r="B359" s="1850" t="s">
        <v>16</v>
      </c>
      <c r="C359" s="1850" t="s">
        <v>2425</v>
      </c>
      <c r="D359" s="1850" t="s">
        <v>2426</v>
      </c>
      <c r="E359" s="1850" t="s">
        <v>2427</v>
      </c>
      <c r="F359" s="1850" t="s">
        <v>2292</v>
      </c>
      <c r="G359" s="1850" t="s">
        <v>28</v>
      </c>
      <c r="H359" s="1850" t="s">
        <v>28</v>
      </c>
      <c r="I359" s="1850" t="s">
        <v>910</v>
      </c>
    </row>
    <row r="360" ht="11.25" customHeight="1">
      <c r="A360" s="1850" t="s">
        <v>2251</v>
      </c>
      <c r="B360" s="1850" t="s">
        <v>16</v>
      </c>
      <c r="C360" s="1850" t="s">
        <v>2428</v>
      </c>
      <c r="D360" s="1850" t="s">
        <v>2429</v>
      </c>
      <c r="E360" s="1850" t="s">
        <v>2430</v>
      </c>
      <c r="F360" s="1850" t="s">
        <v>2431</v>
      </c>
      <c r="G360" s="1850" t="s">
        <v>28</v>
      </c>
      <c r="H360" s="1850" t="s">
        <v>28</v>
      </c>
      <c r="I360" s="1850" t="s">
        <v>910</v>
      </c>
    </row>
    <row r="361" ht="11.25" customHeight="1">
      <c r="A361" s="1850" t="s">
        <v>2251</v>
      </c>
      <c r="B361" s="1850" t="s">
        <v>16</v>
      </c>
      <c r="C361" s="1850" t="s">
        <v>2788</v>
      </c>
      <c r="D361" s="1850" t="s">
        <v>2789</v>
      </c>
      <c r="E361" s="1850" t="s">
        <v>2790</v>
      </c>
      <c r="F361" s="1850" t="s">
        <v>2362</v>
      </c>
      <c r="G361" s="1850" t="s">
        <v>28</v>
      </c>
      <c r="H361" s="1850" t="s">
        <v>28</v>
      </c>
      <c r="I361" s="1850" t="s">
        <v>910</v>
      </c>
    </row>
    <row r="362" ht="11.25" customHeight="1">
      <c r="A362" s="1850" t="s">
        <v>2251</v>
      </c>
      <c r="B362" s="1850" t="s">
        <v>16</v>
      </c>
      <c r="C362" s="1850" t="s">
        <v>2791</v>
      </c>
      <c r="D362" s="1850" t="s">
        <v>2792</v>
      </c>
      <c r="E362" s="1850" t="s">
        <v>2793</v>
      </c>
      <c r="F362" s="1850" t="s">
        <v>2325</v>
      </c>
      <c r="G362" s="1850" t="s">
        <v>2794</v>
      </c>
      <c r="H362" s="1850" t="s">
        <v>28</v>
      </c>
      <c r="I362" s="1850" t="s">
        <v>910</v>
      </c>
    </row>
    <row r="363" ht="11.25" customHeight="1">
      <c r="A363" s="1850" t="s">
        <v>2251</v>
      </c>
      <c r="B363" s="1850" t="s">
        <v>16</v>
      </c>
      <c r="C363" s="1850" t="s">
        <v>2795</v>
      </c>
      <c r="D363" s="1850" t="s">
        <v>2796</v>
      </c>
      <c r="E363" s="1850" t="s">
        <v>2797</v>
      </c>
      <c r="F363" s="1850" t="s">
        <v>2385</v>
      </c>
      <c r="G363" s="1850" t="s">
        <v>2798</v>
      </c>
      <c r="H363" s="1850" t="s">
        <v>28</v>
      </c>
      <c r="I363" s="1850" t="s">
        <v>910</v>
      </c>
    </row>
    <row r="364" ht="11.25" customHeight="1">
      <c r="A364" s="1850" t="s">
        <v>2251</v>
      </c>
      <c r="B364" s="1850" t="s">
        <v>16</v>
      </c>
      <c r="C364" s="1850" t="s">
        <v>2432</v>
      </c>
      <c r="D364" s="1850" t="s">
        <v>2433</v>
      </c>
      <c r="E364" s="1850" t="s">
        <v>2434</v>
      </c>
      <c r="F364" s="1850" t="s">
        <v>2296</v>
      </c>
      <c r="G364" s="1850" t="s">
        <v>28</v>
      </c>
      <c r="H364" s="1850" t="s">
        <v>28</v>
      </c>
      <c r="I364" s="1850" t="s">
        <v>910</v>
      </c>
    </row>
    <row r="365" ht="11.25" customHeight="1">
      <c r="A365" s="1850" t="s">
        <v>2251</v>
      </c>
      <c r="B365" s="1850" t="s">
        <v>16</v>
      </c>
      <c r="C365" s="1850" t="s">
        <v>2799</v>
      </c>
      <c r="D365" s="1850" t="s">
        <v>2800</v>
      </c>
      <c r="E365" s="1850" t="s">
        <v>2801</v>
      </c>
      <c r="F365" s="1850" t="s">
        <v>2768</v>
      </c>
      <c r="G365" s="1850" t="s">
        <v>28</v>
      </c>
      <c r="H365" s="1850" t="s">
        <v>28</v>
      </c>
      <c r="I365" s="1850" t="s">
        <v>910</v>
      </c>
    </row>
    <row r="366" ht="11.25" customHeight="1">
      <c r="A366" s="1850" t="s">
        <v>2251</v>
      </c>
      <c r="B366" s="1850" t="s">
        <v>16</v>
      </c>
      <c r="C366" s="1850" t="s">
        <v>2435</v>
      </c>
      <c r="D366" s="1850" t="s">
        <v>2436</v>
      </c>
      <c r="E366" s="1850" t="s">
        <v>2437</v>
      </c>
      <c r="F366" s="1850" t="s">
        <v>2421</v>
      </c>
      <c r="G366" s="1850" t="s">
        <v>28</v>
      </c>
      <c r="H366" s="1850" t="s">
        <v>28</v>
      </c>
      <c r="I366" s="1850" t="s">
        <v>910</v>
      </c>
    </row>
    <row r="367" ht="11.25" customHeight="1">
      <c r="A367" s="1850" t="s">
        <v>2251</v>
      </c>
      <c r="B367" s="1850" t="s">
        <v>16</v>
      </c>
      <c r="C367" s="1850" t="s">
        <v>2802</v>
      </c>
      <c r="D367" s="1850" t="s">
        <v>2803</v>
      </c>
      <c r="E367" s="1850" t="s">
        <v>2804</v>
      </c>
      <c r="F367" s="1850" t="s">
        <v>2325</v>
      </c>
      <c r="G367" s="1850" t="s">
        <v>28</v>
      </c>
      <c r="H367" s="1850" t="s">
        <v>28</v>
      </c>
      <c r="I367" s="1850" t="s">
        <v>910</v>
      </c>
    </row>
    <row r="368" ht="11.25" customHeight="1">
      <c r="A368" s="1850" t="s">
        <v>2251</v>
      </c>
      <c r="B368" s="1850" t="s">
        <v>16</v>
      </c>
      <c r="C368" s="1850" t="s">
        <v>2805</v>
      </c>
      <c r="D368" s="1850" t="s">
        <v>2806</v>
      </c>
      <c r="E368" s="1850" t="s">
        <v>2807</v>
      </c>
      <c r="F368" s="1850" t="s">
        <v>2677</v>
      </c>
      <c r="G368" s="1850" t="s">
        <v>28</v>
      </c>
      <c r="H368" s="1850" t="s">
        <v>28</v>
      </c>
      <c r="I368" s="1850" t="s">
        <v>910</v>
      </c>
    </row>
    <row r="369" ht="11.25" customHeight="1">
      <c r="A369" s="1850" t="s">
        <v>2251</v>
      </c>
      <c r="B369" s="1850" t="s">
        <v>16</v>
      </c>
      <c r="C369" s="1850" t="s">
        <v>2808</v>
      </c>
      <c r="D369" s="1850" t="s">
        <v>2809</v>
      </c>
      <c r="E369" s="1850" t="s">
        <v>2810</v>
      </c>
      <c r="F369" s="1850" t="s">
        <v>2258</v>
      </c>
      <c r="G369" s="1850" t="s">
        <v>28</v>
      </c>
      <c r="H369" s="1850" t="s">
        <v>28</v>
      </c>
      <c r="I369" s="1850" t="s">
        <v>910</v>
      </c>
    </row>
    <row r="370" ht="11.25" customHeight="1">
      <c r="A370" s="1850" t="s">
        <v>2251</v>
      </c>
      <c r="B370" s="1850" t="s">
        <v>16</v>
      </c>
      <c r="C370" s="1850" t="s">
        <v>2438</v>
      </c>
      <c r="D370" s="1850" t="s">
        <v>2439</v>
      </c>
      <c r="E370" s="1850" t="s">
        <v>2440</v>
      </c>
      <c r="F370" s="1850" t="s">
        <v>2441</v>
      </c>
      <c r="G370" s="1850" t="s">
        <v>28</v>
      </c>
      <c r="H370" s="1850" t="s">
        <v>28</v>
      </c>
      <c r="I370" s="1850" t="s">
        <v>910</v>
      </c>
    </row>
    <row r="371" ht="11.25" customHeight="1">
      <c r="A371" s="1850" t="s">
        <v>2251</v>
      </c>
      <c r="B371" s="1850" t="s">
        <v>16</v>
      </c>
      <c r="C371" s="1850" t="s">
        <v>2811</v>
      </c>
      <c r="D371" s="1850" t="s">
        <v>2812</v>
      </c>
      <c r="E371" s="1850" t="s">
        <v>2813</v>
      </c>
      <c r="F371" s="1850" t="s">
        <v>2677</v>
      </c>
      <c r="G371" s="1850" t="s">
        <v>28</v>
      </c>
      <c r="H371" s="1850" t="s">
        <v>28</v>
      </c>
      <c r="I371" s="1850" t="s">
        <v>910</v>
      </c>
    </row>
    <row r="372" ht="11.25" customHeight="1">
      <c r="A372" s="1850" t="s">
        <v>2251</v>
      </c>
      <c r="B372" s="1850" t="s">
        <v>16</v>
      </c>
      <c r="C372" s="1850" t="s">
        <v>2442</v>
      </c>
      <c r="D372" s="1850" t="s">
        <v>2443</v>
      </c>
      <c r="E372" s="1850" t="s">
        <v>2444</v>
      </c>
      <c r="F372" s="1850" t="s">
        <v>2403</v>
      </c>
      <c r="G372" s="1850" t="s">
        <v>28</v>
      </c>
      <c r="H372" s="1850" t="s">
        <v>28</v>
      </c>
      <c r="I372" s="1850" t="s">
        <v>910</v>
      </c>
    </row>
    <row r="373" ht="11.25" customHeight="1">
      <c r="A373" s="1850" t="s">
        <v>2251</v>
      </c>
      <c r="B373" s="1850" t="s">
        <v>16</v>
      </c>
      <c r="C373" s="1850" t="s">
        <v>2452</v>
      </c>
      <c r="D373" s="1850" t="s">
        <v>2453</v>
      </c>
      <c r="E373" s="1850" t="s">
        <v>2454</v>
      </c>
      <c r="F373" s="1850" t="s">
        <v>2455</v>
      </c>
      <c r="G373" s="1850" t="s">
        <v>28</v>
      </c>
      <c r="H373" s="1850" t="s">
        <v>28</v>
      </c>
      <c r="I373" s="1850" t="s">
        <v>910</v>
      </c>
    </row>
    <row r="374" ht="11.25" customHeight="1">
      <c r="A374" s="1850" t="s">
        <v>2251</v>
      </c>
      <c r="B374" s="1850" t="s">
        <v>16</v>
      </c>
      <c r="C374" s="1850" t="s">
        <v>3024</v>
      </c>
      <c r="D374" s="1850" t="s">
        <v>3025</v>
      </c>
      <c r="E374" s="1850" t="s">
        <v>3026</v>
      </c>
      <c r="F374" s="1850" t="s">
        <v>2317</v>
      </c>
      <c r="G374" s="1850" t="s">
        <v>28</v>
      </c>
      <c r="H374" s="1850" t="s">
        <v>28</v>
      </c>
      <c r="I374" s="1850" t="s">
        <v>910</v>
      </c>
    </row>
    <row r="375" ht="11.25" customHeight="1">
      <c r="A375" s="1850" t="s">
        <v>2251</v>
      </c>
      <c r="B375" s="1850" t="s">
        <v>16</v>
      </c>
      <c r="C375" s="1850" t="s">
        <v>2469</v>
      </c>
      <c r="D375" s="1850" t="s">
        <v>2470</v>
      </c>
      <c r="E375" s="1850" t="s">
        <v>2471</v>
      </c>
      <c r="F375" s="1850" t="s">
        <v>2292</v>
      </c>
      <c r="G375" s="1850" t="s">
        <v>28</v>
      </c>
      <c r="H375" s="1850" t="s">
        <v>28</v>
      </c>
      <c r="I375" s="1850" t="s">
        <v>910</v>
      </c>
    </row>
    <row r="376" ht="11.25" customHeight="1">
      <c r="A376" s="1850" t="s">
        <v>2251</v>
      </c>
      <c r="B376" s="1850" t="s">
        <v>16</v>
      </c>
      <c r="C376" s="1850" t="s">
        <v>2820</v>
      </c>
      <c r="D376" s="1850" t="s">
        <v>2821</v>
      </c>
      <c r="E376" s="1850" t="s">
        <v>2822</v>
      </c>
      <c r="F376" s="1850" t="s">
        <v>2296</v>
      </c>
      <c r="G376" s="1850" t="s">
        <v>2823</v>
      </c>
      <c r="H376" s="1850" t="s">
        <v>28</v>
      </c>
      <c r="I376" s="1850" t="s">
        <v>910</v>
      </c>
    </row>
    <row r="377" ht="11.25" customHeight="1">
      <c r="A377" s="1850" t="s">
        <v>2251</v>
      </c>
      <c r="B377" s="1850" t="s">
        <v>16</v>
      </c>
      <c r="C377" s="1850" t="s">
        <v>2824</v>
      </c>
      <c r="D377" s="1850" t="s">
        <v>2825</v>
      </c>
      <c r="E377" s="1850" t="s">
        <v>2826</v>
      </c>
      <c r="F377" s="1850" t="s">
        <v>2308</v>
      </c>
      <c r="G377" s="1850" t="s">
        <v>2827</v>
      </c>
      <c r="H377" s="1850" t="s">
        <v>28</v>
      </c>
      <c r="I377" s="1850" t="s">
        <v>910</v>
      </c>
    </row>
    <row r="378" ht="11.25" customHeight="1">
      <c r="A378" s="1850" t="s">
        <v>2251</v>
      </c>
      <c r="B378" s="1850" t="s">
        <v>16</v>
      </c>
      <c r="C378" s="1850" t="s">
        <v>2828</v>
      </c>
      <c r="D378" s="1850" t="s">
        <v>2829</v>
      </c>
      <c r="E378" s="1850" t="s">
        <v>2830</v>
      </c>
      <c r="F378" s="1850" t="s">
        <v>2266</v>
      </c>
      <c r="G378" s="1850" t="s">
        <v>2831</v>
      </c>
      <c r="H378" s="1850" t="s">
        <v>28</v>
      </c>
      <c r="I378" s="1850" t="s">
        <v>910</v>
      </c>
    </row>
    <row r="379" ht="11.25" customHeight="1">
      <c r="A379" s="1850" t="s">
        <v>2251</v>
      </c>
      <c r="B379" s="1850" t="s">
        <v>16</v>
      </c>
      <c r="C379" s="1850" t="s">
        <v>2832</v>
      </c>
      <c r="D379" s="1850" t="s">
        <v>2833</v>
      </c>
      <c r="E379" s="1850" t="s">
        <v>2834</v>
      </c>
      <c r="F379" s="1850" t="s">
        <v>2835</v>
      </c>
      <c r="G379" s="1850" t="s">
        <v>28</v>
      </c>
      <c r="H379" s="1850" t="s">
        <v>28</v>
      </c>
      <c r="I379" s="1850" t="s">
        <v>910</v>
      </c>
    </row>
    <row r="380" ht="11.25" customHeight="1">
      <c r="A380" s="1850" t="s">
        <v>2251</v>
      </c>
      <c r="B380" s="1850" t="s">
        <v>16</v>
      </c>
      <c r="C380" s="1850" t="s">
        <v>2840</v>
      </c>
      <c r="D380" s="1850" t="s">
        <v>2841</v>
      </c>
      <c r="E380" s="1850" t="s">
        <v>2842</v>
      </c>
      <c r="F380" s="1850" t="s">
        <v>2284</v>
      </c>
      <c r="G380" s="1850" t="s">
        <v>28</v>
      </c>
      <c r="H380" s="1850" t="s">
        <v>28</v>
      </c>
      <c r="I380" s="1850" t="s">
        <v>910</v>
      </c>
    </row>
    <row r="381" ht="11.25" customHeight="1">
      <c r="A381" s="1850" t="s">
        <v>2251</v>
      </c>
      <c r="B381" s="1850" t="s">
        <v>16</v>
      </c>
      <c r="C381" s="1850" t="s">
        <v>2843</v>
      </c>
      <c r="D381" s="1850" t="s">
        <v>2844</v>
      </c>
      <c r="E381" s="1850" t="s">
        <v>2845</v>
      </c>
      <c r="F381" s="1850" t="s">
        <v>2846</v>
      </c>
      <c r="G381" s="1850" t="s">
        <v>28</v>
      </c>
      <c r="H381" s="1850" t="s">
        <v>28</v>
      </c>
      <c r="I381" s="1850" t="s">
        <v>910</v>
      </c>
    </row>
    <row r="382" ht="11.25" customHeight="1">
      <c r="A382" s="1850" t="s">
        <v>2251</v>
      </c>
      <c r="B382" s="1850" t="s">
        <v>16</v>
      </c>
      <c r="C382" s="1850" t="s">
        <v>2847</v>
      </c>
      <c r="D382" s="1850" t="s">
        <v>2848</v>
      </c>
      <c r="E382" s="1850" t="s">
        <v>2849</v>
      </c>
      <c r="F382" s="1850" t="s">
        <v>2651</v>
      </c>
      <c r="G382" s="1850" t="s">
        <v>28</v>
      </c>
      <c r="H382" s="1850" t="s">
        <v>28</v>
      </c>
      <c r="I382" s="1850" t="s">
        <v>910</v>
      </c>
    </row>
    <row r="383" ht="11.25" customHeight="1">
      <c r="A383" s="1850" t="s">
        <v>2251</v>
      </c>
      <c r="B383" s="1850" t="s">
        <v>16</v>
      </c>
      <c r="C383" s="1850" t="s">
        <v>3027</v>
      </c>
      <c r="D383" s="1850" t="s">
        <v>3028</v>
      </c>
      <c r="E383" s="1850" t="s">
        <v>3029</v>
      </c>
      <c r="F383" s="1850" t="s">
        <v>2262</v>
      </c>
      <c r="G383" s="1850" t="s">
        <v>2839</v>
      </c>
      <c r="H383" s="1850" t="s">
        <v>28</v>
      </c>
      <c r="I383" s="1850" t="s">
        <v>910</v>
      </c>
    </row>
    <row r="384" ht="11.25" customHeight="1">
      <c r="A384" s="1850" t="s">
        <v>2251</v>
      </c>
      <c r="B384" s="1850" t="s">
        <v>16</v>
      </c>
      <c r="C384" s="1850" t="s">
        <v>3030</v>
      </c>
      <c r="D384" s="1850" t="s">
        <v>3028</v>
      </c>
      <c r="E384" s="1850" t="s">
        <v>3031</v>
      </c>
      <c r="F384" s="1850" t="s">
        <v>2677</v>
      </c>
      <c r="G384" s="1850" t="s">
        <v>2853</v>
      </c>
      <c r="H384" s="1850" t="s">
        <v>28</v>
      </c>
      <c r="I384" s="1850" t="s">
        <v>910</v>
      </c>
    </row>
    <row r="385" ht="11.25" customHeight="1">
      <c r="A385" s="1850" t="s">
        <v>2251</v>
      </c>
      <c r="B385" s="1850" t="s">
        <v>16</v>
      </c>
      <c r="C385" s="1850" t="s">
        <v>2484</v>
      </c>
      <c r="D385" s="1850" t="s">
        <v>2485</v>
      </c>
      <c r="E385" s="1850" t="s">
        <v>2486</v>
      </c>
      <c r="F385" s="1850" t="s">
        <v>2487</v>
      </c>
      <c r="G385" s="1850" t="s">
        <v>2488</v>
      </c>
      <c r="H385" s="1850" t="s">
        <v>28</v>
      </c>
      <c r="I385" s="1850" t="s">
        <v>910</v>
      </c>
    </row>
    <row r="386" ht="11.25" customHeight="1">
      <c r="A386" s="1850" t="s">
        <v>2251</v>
      </c>
      <c r="B386" s="1850" t="s">
        <v>16</v>
      </c>
      <c r="C386" s="1850" t="s">
        <v>2854</v>
      </c>
      <c r="D386" s="1850" t="s">
        <v>2855</v>
      </c>
      <c r="E386" s="1850" t="s">
        <v>2856</v>
      </c>
      <c r="F386" s="1850" t="s">
        <v>2296</v>
      </c>
      <c r="G386" s="1850" t="s">
        <v>28</v>
      </c>
      <c r="H386" s="1850" t="s">
        <v>28</v>
      </c>
      <c r="I386" s="1850" t="s">
        <v>910</v>
      </c>
    </row>
    <row r="387" ht="11.25" customHeight="1">
      <c r="A387" s="1850" t="s">
        <v>2251</v>
      </c>
      <c r="B387" s="1850" t="s">
        <v>16</v>
      </c>
      <c r="C387" s="1850" t="s">
        <v>3032</v>
      </c>
      <c r="D387" s="1850" t="s">
        <v>3033</v>
      </c>
      <c r="E387" s="1850" t="s">
        <v>3034</v>
      </c>
      <c r="F387" s="1850" t="s">
        <v>2258</v>
      </c>
      <c r="G387" s="1850" t="s">
        <v>28</v>
      </c>
      <c r="H387" s="1850" t="s">
        <v>28</v>
      </c>
      <c r="I387" s="1850" t="s">
        <v>910</v>
      </c>
    </row>
    <row r="388" ht="11.25" customHeight="1">
      <c r="A388" s="1850" t="s">
        <v>2251</v>
      </c>
      <c r="B388" s="1850" t="s">
        <v>16</v>
      </c>
      <c r="C388" s="1850" t="s">
        <v>2860</v>
      </c>
      <c r="D388" s="1850" t="s">
        <v>2861</v>
      </c>
      <c r="E388" s="1850" t="s">
        <v>2862</v>
      </c>
      <c r="F388" s="1850" t="s">
        <v>2254</v>
      </c>
      <c r="G388" s="1850" t="s">
        <v>28</v>
      </c>
      <c r="H388" s="1850" t="s">
        <v>28</v>
      </c>
      <c r="I388" s="1850" t="s">
        <v>910</v>
      </c>
    </row>
    <row r="389" ht="11.25" customHeight="1">
      <c r="A389" s="1850" t="s">
        <v>2251</v>
      </c>
      <c r="B389" s="1850" t="s">
        <v>16</v>
      </c>
      <c r="C389" s="1850" t="s">
        <v>2863</v>
      </c>
      <c r="D389" s="1850" t="s">
        <v>2864</v>
      </c>
      <c r="E389" s="1850" t="s">
        <v>2865</v>
      </c>
      <c r="F389" s="1850" t="s">
        <v>2258</v>
      </c>
      <c r="G389" s="1850" t="s">
        <v>28</v>
      </c>
      <c r="H389" s="1850" t="s">
        <v>28</v>
      </c>
      <c r="I389" s="1850" t="s">
        <v>910</v>
      </c>
    </row>
    <row r="390" ht="11.25" customHeight="1">
      <c r="A390" s="1850" t="s">
        <v>2251</v>
      </c>
      <c r="B390" s="1850" t="s">
        <v>16</v>
      </c>
      <c r="C390" s="1850" t="s">
        <v>2501</v>
      </c>
      <c r="D390" s="1850" t="s">
        <v>2502</v>
      </c>
      <c r="E390" s="1850" t="s">
        <v>2503</v>
      </c>
      <c r="F390" s="1850" t="s">
        <v>2487</v>
      </c>
      <c r="G390" s="1850" t="s">
        <v>28</v>
      </c>
      <c r="H390" s="1850" t="s">
        <v>28</v>
      </c>
      <c r="I390" s="1850" t="s">
        <v>910</v>
      </c>
    </row>
    <row r="391" ht="11.25" customHeight="1">
      <c r="A391" s="1850" t="s">
        <v>2251</v>
      </c>
      <c r="B391" s="1850" t="s">
        <v>16</v>
      </c>
      <c r="C391" s="1850" t="s">
        <v>2507</v>
      </c>
      <c r="D391" s="1850" t="s">
        <v>2508</v>
      </c>
      <c r="E391" s="1850" t="s">
        <v>2509</v>
      </c>
      <c r="F391" s="1850" t="s">
        <v>2487</v>
      </c>
      <c r="G391" s="1850" t="s">
        <v>28</v>
      </c>
      <c r="H391" s="1850" t="s">
        <v>28</v>
      </c>
      <c r="I391" s="1850" t="s">
        <v>910</v>
      </c>
    </row>
    <row r="392" ht="11.25" customHeight="1">
      <c r="A392" s="1850" t="s">
        <v>2251</v>
      </c>
      <c r="B392" s="1850" t="s">
        <v>16</v>
      </c>
      <c r="C392" s="1850" t="s">
        <v>2866</v>
      </c>
      <c r="D392" s="1850" t="s">
        <v>2867</v>
      </c>
      <c r="E392" s="1850" t="s">
        <v>2868</v>
      </c>
      <c r="F392" s="1850" t="s">
        <v>2487</v>
      </c>
      <c r="G392" s="1850" t="s">
        <v>28</v>
      </c>
      <c r="H392" s="1850" t="s">
        <v>28</v>
      </c>
      <c r="I392" s="1850" t="s">
        <v>910</v>
      </c>
    </row>
    <row r="393" ht="11.25" customHeight="1">
      <c r="A393" s="1850" t="s">
        <v>2251</v>
      </c>
      <c r="B393" s="1850" t="s">
        <v>16</v>
      </c>
      <c r="C393" s="1850" t="s">
        <v>2869</v>
      </c>
      <c r="D393" s="1850" t="s">
        <v>2870</v>
      </c>
      <c r="E393" s="1850" t="s">
        <v>2871</v>
      </c>
      <c r="F393" s="1850" t="s">
        <v>2441</v>
      </c>
      <c r="G393" s="1850" t="s">
        <v>2872</v>
      </c>
      <c r="H393" s="1850" t="s">
        <v>28</v>
      </c>
      <c r="I393" s="1850" t="s">
        <v>910</v>
      </c>
    </row>
    <row r="394" ht="11.25" customHeight="1">
      <c r="A394" s="1850" t="s">
        <v>2251</v>
      </c>
      <c r="B394" s="1850" t="s">
        <v>16</v>
      </c>
      <c r="C394" s="1850" t="s">
        <v>2873</v>
      </c>
      <c r="D394" s="1850" t="s">
        <v>2874</v>
      </c>
      <c r="E394" s="1850" t="s">
        <v>2875</v>
      </c>
      <c r="F394" s="1850" t="s">
        <v>2258</v>
      </c>
      <c r="G394" s="1850" t="s">
        <v>2876</v>
      </c>
      <c r="H394" s="1850" t="s">
        <v>28</v>
      </c>
      <c r="I394" s="1850" t="s">
        <v>910</v>
      </c>
    </row>
    <row r="395" ht="11.25" customHeight="1">
      <c r="A395" s="1850" t="s">
        <v>2251</v>
      </c>
      <c r="B395" s="1850" t="s">
        <v>16</v>
      </c>
      <c r="C395" s="1850" t="s">
        <v>2877</v>
      </c>
      <c r="D395" s="1850" t="s">
        <v>2878</v>
      </c>
      <c r="E395" s="1850" t="s">
        <v>2879</v>
      </c>
      <c r="F395" s="1850" t="s">
        <v>2393</v>
      </c>
      <c r="G395" s="1850" t="s">
        <v>28</v>
      </c>
      <c r="H395" s="1850" t="s">
        <v>28</v>
      </c>
      <c r="I395" s="1850" t="s">
        <v>910</v>
      </c>
    </row>
    <row r="396" ht="11.25" customHeight="1">
      <c r="A396" s="1850" t="s">
        <v>2251</v>
      </c>
      <c r="B396" s="1850" t="s">
        <v>16</v>
      </c>
      <c r="C396" s="1850" t="s">
        <v>2880</v>
      </c>
      <c r="D396" s="1850" t="s">
        <v>2881</v>
      </c>
      <c r="E396" s="1850" t="s">
        <v>2882</v>
      </c>
      <c r="F396" s="1850" t="s">
        <v>2677</v>
      </c>
      <c r="G396" s="1850" t="s">
        <v>2883</v>
      </c>
      <c r="H396" s="1850" t="s">
        <v>28</v>
      </c>
      <c r="I396" s="1850" t="s">
        <v>910</v>
      </c>
    </row>
    <row r="397" ht="11.25" customHeight="1">
      <c r="A397" s="1850" t="s">
        <v>2251</v>
      </c>
      <c r="B397" s="1850" t="s">
        <v>16</v>
      </c>
      <c r="C397" s="1850" t="s">
        <v>2884</v>
      </c>
      <c r="D397" s="1850" t="s">
        <v>2885</v>
      </c>
      <c r="E397" s="1850" t="s">
        <v>2886</v>
      </c>
      <c r="F397" s="1850" t="s">
        <v>2317</v>
      </c>
      <c r="G397" s="1850" t="s">
        <v>2887</v>
      </c>
      <c r="H397" s="1850" t="s">
        <v>28</v>
      </c>
      <c r="I397" s="1850" t="s">
        <v>910</v>
      </c>
    </row>
    <row r="398" ht="11.25" customHeight="1">
      <c r="A398" s="1850" t="s">
        <v>2251</v>
      </c>
      <c r="B398" s="1850" t="s">
        <v>16</v>
      </c>
      <c r="C398" s="1850" t="s">
        <v>3035</v>
      </c>
      <c r="D398" s="1850" t="s">
        <v>3036</v>
      </c>
      <c r="E398" s="1850" t="s">
        <v>3037</v>
      </c>
      <c r="F398" s="1850" t="s">
        <v>2254</v>
      </c>
      <c r="G398" s="1850" t="s">
        <v>28</v>
      </c>
      <c r="H398" s="1850" t="s">
        <v>3038</v>
      </c>
      <c r="I398" s="1850" t="s">
        <v>910</v>
      </c>
    </row>
    <row r="399" ht="11.25" customHeight="1">
      <c r="A399" s="1850" t="s">
        <v>2251</v>
      </c>
      <c r="B399" s="1850" t="s">
        <v>16</v>
      </c>
      <c r="C399" s="1850" t="s">
        <v>2519</v>
      </c>
      <c r="D399" s="1850" t="s">
        <v>2520</v>
      </c>
      <c r="E399" s="1850" t="s">
        <v>2521</v>
      </c>
      <c r="F399" s="1850" t="s">
        <v>2487</v>
      </c>
      <c r="G399" s="1850" t="s">
        <v>28</v>
      </c>
      <c r="H399" s="1850" t="s">
        <v>28</v>
      </c>
      <c r="I399" s="1850" t="s">
        <v>910</v>
      </c>
    </row>
    <row r="400" ht="11.25" customHeight="1">
      <c r="A400" s="1850" t="s">
        <v>2251</v>
      </c>
      <c r="B400" s="1850" t="s">
        <v>16</v>
      </c>
      <c r="C400" s="1850" t="s">
        <v>2892</v>
      </c>
      <c r="D400" s="1850" t="s">
        <v>2893</v>
      </c>
      <c r="E400" s="1850" t="s">
        <v>2894</v>
      </c>
      <c r="F400" s="1850" t="s">
        <v>2441</v>
      </c>
      <c r="G400" s="1850" t="s">
        <v>28</v>
      </c>
      <c r="H400" s="1850" t="s">
        <v>28</v>
      </c>
      <c r="I400" s="1850" t="s">
        <v>910</v>
      </c>
    </row>
    <row r="401" ht="11.25" customHeight="1">
      <c r="A401" s="1850" t="s">
        <v>2251</v>
      </c>
      <c r="B401" s="1850" t="s">
        <v>16</v>
      </c>
      <c r="C401" s="1850" t="s">
        <v>2895</v>
      </c>
      <c r="D401" s="1850" t="s">
        <v>2896</v>
      </c>
      <c r="E401" s="1850" t="s">
        <v>2897</v>
      </c>
      <c r="F401" s="1850" t="s">
        <v>2308</v>
      </c>
      <c r="G401" s="1850" t="s">
        <v>2898</v>
      </c>
      <c r="H401" s="1850" t="s">
        <v>28</v>
      </c>
      <c r="I401" s="1850" t="s">
        <v>910</v>
      </c>
    </row>
    <row r="402" ht="11.25" customHeight="1">
      <c r="A402" s="1850" t="s">
        <v>2251</v>
      </c>
      <c r="B402" s="1850" t="s">
        <v>16</v>
      </c>
      <c r="C402" s="1850" t="s">
        <v>2532</v>
      </c>
      <c r="D402" s="1850" t="s">
        <v>2533</v>
      </c>
      <c r="E402" s="1850" t="s">
        <v>2534</v>
      </c>
      <c r="F402" s="1850" t="s">
        <v>2296</v>
      </c>
      <c r="G402" s="1850" t="s">
        <v>28</v>
      </c>
      <c r="H402" s="1850" t="s">
        <v>28</v>
      </c>
      <c r="I402" s="1850" t="s">
        <v>910</v>
      </c>
    </row>
    <row r="403" ht="11.25" customHeight="1">
      <c r="A403" s="1850" t="s">
        <v>2251</v>
      </c>
      <c r="B403" s="1850" t="s">
        <v>16</v>
      </c>
      <c r="C403" s="1850" t="s">
        <v>2550</v>
      </c>
      <c r="D403" s="1850" t="s">
        <v>2551</v>
      </c>
      <c r="E403" s="1850" t="s">
        <v>2552</v>
      </c>
      <c r="F403" s="1850" t="s">
        <v>2462</v>
      </c>
      <c r="G403" s="1850" t="s">
        <v>2553</v>
      </c>
      <c r="H403" s="1850" t="s">
        <v>28</v>
      </c>
      <c r="I403" s="1850" t="s">
        <v>910</v>
      </c>
    </row>
    <row r="404" ht="11.25" customHeight="1">
      <c r="A404" s="1850" t="s">
        <v>2251</v>
      </c>
      <c r="B404" s="1850" t="s">
        <v>16</v>
      </c>
      <c r="C404" s="1850" t="s">
        <v>2899</v>
      </c>
      <c r="D404" s="1850" t="s">
        <v>2900</v>
      </c>
      <c r="E404" s="1850" t="s">
        <v>2901</v>
      </c>
      <c r="F404" s="1850" t="s">
        <v>2448</v>
      </c>
      <c r="G404" s="1850" t="s">
        <v>28</v>
      </c>
      <c r="H404" s="1850" t="s">
        <v>28</v>
      </c>
      <c r="I404" s="1850" t="s">
        <v>910</v>
      </c>
    </row>
    <row r="405" ht="11.25" customHeight="1">
      <c r="A405" s="1850" t="s">
        <v>2251</v>
      </c>
      <c r="B405" s="1850" t="s">
        <v>16</v>
      </c>
      <c r="C405" s="1850" t="s">
        <v>2902</v>
      </c>
      <c r="D405" s="1850" t="s">
        <v>2903</v>
      </c>
      <c r="E405" s="1850" t="s">
        <v>2904</v>
      </c>
      <c r="F405" s="1850" t="s">
        <v>2393</v>
      </c>
      <c r="G405" s="1850" t="s">
        <v>28</v>
      </c>
      <c r="H405" s="1850" t="s">
        <v>28</v>
      </c>
      <c r="I405" s="1850" t="s">
        <v>910</v>
      </c>
    </row>
    <row r="406" ht="11.25" customHeight="1">
      <c r="A406" s="1850" t="s">
        <v>2251</v>
      </c>
      <c r="B406" s="1850" t="s">
        <v>16</v>
      </c>
      <c r="C406" s="1850" t="s">
        <v>2905</v>
      </c>
      <c r="D406" s="1850" t="s">
        <v>2906</v>
      </c>
      <c r="E406" s="1850" t="s">
        <v>2907</v>
      </c>
      <c r="F406" s="1850" t="s">
        <v>2908</v>
      </c>
      <c r="G406" s="1850" t="s">
        <v>28</v>
      </c>
      <c r="H406" s="1850" t="s">
        <v>28</v>
      </c>
      <c r="I406" s="1850" t="s">
        <v>910</v>
      </c>
    </row>
    <row r="407" ht="11.25" customHeight="1">
      <c r="A407" s="1850" t="s">
        <v>2251</v>
      </c>
      <c r="B407" s="1850" t="s">
        <v>16</v>
      </c>
      <c r="C407" s="1850" t="s">
        <v>2909</v>
      </c>
      <c r="D407" s="1850" t="s">
        <v>2910</v>
      </c>
      <c r="E407" s="1850" t="s">
        <v>2911</v>
      </c>
      <c r="F407" s="1850" t="s">
        <v>2462</v>
      </c>
      <c r="G407" s="1850" t="s">
        <v>28</v>
      </c>
      <c r="H407" s="1850" t="s">
        <v>28</v>
      </c>
      <c r="I407" s="1850" t="s">
        <v>910</v>
      </c>
    </row>
    <row r="408" ht="11.25" customHeight="1">
      <c r="A408" s="1850" t="s">
        <v>2251</v>
      </c>
      <c r="B408" s="1850" t="s">
        <v>16</v>
      </c>
      <c r="C408" s="1850" t="s">
        <v>2912</v>
      </c>
      <c r="D408" s="1850" t="s">
        <v>2913</v>
      </c>
      <c r="E408" s="1850" t="s">
        <v>2914</v>
      </c>
      <c r="F408" s="1850" t="s">
        <v>2284</v>
      </c>
      <c r="G408" s="1850" t="s">
        <v>28</v>
      </c>
      <c r="H408" s="1850" t="s">
        <v>28</v>
      </c>
      <c r="I408" s="1850" t="s">
        <v>910</v>
      </c>
    </row>
    <row r="409" ht="11.25" customHeight="1">
      <c r="A409" s="1850" t="s">
        <v>2251</v>
      </c>
      <c r="B409" s="1850" t="s">
        <v>16</v>
      </c>
      <c r="C409" s="1850" t="s">
        <v>2569</v>
      </c>
      <c r="D409" s="1850" t="s">
        <v>2570</v>
      </c>
      <c r="E409" s="1850" t="s">
        <v>2571</v>
      </c>
      <c r="F409" s="1850" t="s">
        <v>2441</v>
      </c>
      <c r="G409" s="1850" t="s">
        <v>2318</v>
      </c>
      <c r="H409" s="1850" t="s">
        <v>28</v>
      </c>
      <c r="I409" s="1850" t="s">
        <v>910</v>
      </c>
    </row>
    <row r="410" ht="11.25" customHeight="1">
      <c r="A410" s="1850" t="s">
        <v>2251</v>
      </c>
      <c r="B410" s="1850" t="s">
        <v>16</v>
      </c>
      <c r="C410" s="1850" t="s">
        <v>3039</v>
      </c>
      <c r="D410" s="1850" t="s">
        <v>3040</v>
      </c>
      <c r="E410" s="1850" t="s">
        <v>3041</v>
      </c>
      <c r="F410" s="1850" t="s">
        <v>2266</v>
      </c>
      <c r="G410" s="1850" t="s">
        <v>3042</v>
      </c>
      <c r="H410" s="1850" t="s">
        <v>28</v>
      </c>
      <c r="I410" s="1850" t="s">
        <v>910</v>
      </c>
    </row>
    <row r="411" ht="11.25" customHeight="1">
      <c r="A411" s="1850" t="s">
        <v>2251</v>
      </c>
      <c r="B411" s="1850" t="s">
        <v>16</v>
      </c>
      <c r="C411" s="1850" t="s">
        <v>2915</v>
      </c>
      <c r="D411" s="1850" t="s">
        <v>2916</v>
      </c>
      <c r="E411" s="1850" t="s">
        <v>2917</v>
      </c>
      <c r="F411" s="1850" t="s">
        <v>2441</v>
      </c>
      <c r="G411" s="1850" t="s">
        <v>28</v>
      </c>
      <c r="H411" s="1850" t="s">
        <v>28</v>
      </c>
      <c r="I411" s="1850" t="s">
        <v>910</v>
      </c>
    </row>
    <row r="412" ht="11.25" customHeight="1">
      <c r="A412" s="1850" t="s">
        <v>2251</v>
      </c>
      <c r="B412" s="1850" t="s">
        <v>16</v>
      </c>
      <c r="C412" s="1850" t="s">
        <v>2592</v>
      </c>
      <c r="D412" s="1850" t="s">
        <v>2593</v>
      </c>
      <c r="E412" s="1850" t="s">
        <v>2594</v>
      </c>
      <c r="F412" s="1850" t="s">
        <v>2595</v>
      </c>
      <c r="G412" s="1850" t="s">
        <v>28</v>
      </c>
      <c r="H412" s="1850" t="s">
        <v>28</v>
      </c>
      <c r="I412" s="1850" t="s">
        <v>910</v>
      </c>
    </row>
    <row r="413" ht="11.25" customHeight="1">
      <c r="A413" s="1850" t="s">
        <v>2251</v>
      </c>
      <c r="B413" s="1850" t="s">
        <v>16</v>
      </c>
      <c r="C413" s="1850" t="s">
        <v>2921</v>
      </c>
      <c r="D413" s="1850" t="s">
        <v>2922</v>
      </c>
      <c r="E413" s="1850" t="s">
        <v>2923</v>
      </c>
      <c r="F413" s="1850" t="s">
        <v>2284</v>
      </c>
      <c r="G413" s="1850" t="s">
        <v>28</v>
      </c>
      <c r="H413" s="1850" t="s">
        <v>2924</v>
      </c>
      <c r="I413" s="1850" t="s">
        <v>910</v>
      </c>
    </row>
    <row r="414" ht="11.25" customHeight="1">
      <c r="A414" s="1850" t="s">
        <v>2251</v>
      </c>
      <c r="B414" s="1850" t="s">
        <v>16</v>
      </c>
      <c r="C414" s="1850" t="s">
        <v>2925</v>
      </c>
      <c r="D414" s="1850" t="s">
        <v>2926</v>
      </c>
      <c r="E414" s="1850" t="s">
        <v>2927</v>
      </c>
      <c r="F414" s="1850" t="s">
        <v>2487</v>
      </c>
      <c r="G414" s="1850" t="s">
        <v>28</v>
      </c>
      <c r="H414" s="1850" t="s">
        <v>28</v>
      </c>
      <c r="I414" s="1850" t="s">
        <v>910</v>
      </c>
    </row>
    <row r="415" ht="11.25" customHeight="1">
      <c r="A415" s="1850" t="s">
        <v>2251</v>
      </c>
      <c r="B415" s="1850" t="s">
        <v>16</v>
      </c>
      <c r="C415" s="1850" t="s">
        <v>2935</v>
      </c>
      <c r="D415" s="1850" t="s">
        <v>2936</v>
      </c>
      <c r="E415" s="1850" t="s">
        <v>2937</v>
      </c>
      <c r="F415" s="1850" t="s">
        <v>2362</v>
      </c>
      <c r="G415" s="1850" t="s">
        <v>28</v>
      </c>
      <c r="H415" s="1850" t="s">
        <v>28</v>
      </c>
      <c r="I415" s="1850" t="s">
        <v>910</v>
      </c>
    </row>
    <row r="416" ht="11.25" customHeight="1">
      <c r="A416" s="1850" t="s">
        <v>2251</v>
      </c>
      <c r="B416" s="1850" t="s">
        <v>16</v>
      </c>
      <c r="C416" s="1850" t="s">
        <v>2938</v>
      </c>
      <c r="D416" s="1850" t="s">
        <v>2939</v>
      </c>
      <c r="E416" s="1850" t="s">
        <v>2940</v>
      </c>
      <c r="F416" s="1850" t="s">
        <v>2254</v>
      </c>
      <c r="G416" s="1850" t="s">
        <v>28</v>
      </c>
      <c r="H416" s="1850" t="s">
        <v>28</v>
      </c>
      <c r="I416" s="1850" t="s">
        <v>910</v>
      </c>
    </row>
    <row r="417" ht="11.25" customHeight="1">
      <c r="A417" s="1850" t="s">
        <v>2251</v>
      </c>
      <c r="B417" s="1850" t="s">
        <v>16</v>
      </c>
      <c r="C417" s="1850" t="s">
        <v>2944</v>
      </c>
      <c r="D417" s="1850" t="s">
        <v>2945</v>
      </c>
      <c r="E417" s="1850" t="s">
        <v>2946</v>
      </c>
      <c r="F417" s="1850" t="s">
        <v>2308</v>
      </c>
      <c r="G417" s="1850" t="s">
        <v>2947</v>
      </c>
      <c r="H417" s="1850" t="s">
        <v>28</v>
      </c>
      <c r="I417" s="1850" t="s">
        <v>910</v>
      </c>
    </row>
    <row r="418" ht="11.25" customHeight="1">
      <c r="A418" s="1850" t="s">
        <v>2251</v>
      </c>
      <c r="B418" s="1850" t="s">
        <v>16</v>
      </c>
      <c r="C418" s="1850" t="s">
        <v>2948</v>
      </c>
      <c r="D418" s="1850" t="s">
        <v>2949</v>
      </c>
      <c r="E418" s="1850" t="s">
        <v>2253</v>
      </c>
      <c r="F418" s="1850" t="s">
        <v>2254</v>
      </c>
      <c r="G418" s="1850" t="s">
        <v>28</v>
      </c>
      <c r="H418" s="1850" t="s">
        <v>28</v>
      </c>
      <c r="I418" s="1850" t="s">
        <v>910</v>
      </c>
    </row>
    <row r="419" ht="11.25" customHeight="1">
      <c r="A419" s="1850" t="s">
        <v>2251</v>
      </c>
      <c r="B419" s="1850" t="s">
        <v>16</v>
      </c>
      <c r="C419" s="1850" t="s">
        <v>2950</v>
      </c>
      <c r="D419" s="1850" t="s">
        <v>2951</v>
      </c>
      <c r="E419" s="1850" t="s">
        <v>2952</v>
      </c>
      <c r="F419" s="1850" t="s">
        <v>2258</v>
      </c>
      <c r="G419" s="1850" t="s">
        <v>28</v>
      </c>
      <c r="H419" s="1850" t="s">
        <v>28</v>
      </c>
      <c r="I419" s="1850" t="s">
        <v>910</v>
      </c>
    </row>
    <row r="420" ht="11.25" customHeight="1">
      <c r="A420" s="1850" t="s">
        <v>2251</v>
      </c>
      <c r="B420" s="1850" t="s">
        <v>16</v>
      </c>
      <c r="C420" s="1850" t="s">
        <v>2953</v>
      </c>
      <c r="D420" s="1850" t="s">
        <v>2954</v>
      </c>
      <c r="E420" s="1850" t="s">
        <v>2955</v>
      </c>
      <c r="F420" s="1850" t="s">
        <v>2258</v>
      </c>
      <c r="G420" s="1850" t="s">
        <v>28</v>
      </c>
      <c r="H420" s="1850" t="s">
        <v>28</v>
      </c>
      <c r="I420" s="1850" t="s">
        <v>910</v>
      </c>
    </row>
    <row r="421" ht="11.25" customHeight="1">
      <c r="A421" s="1850" t="s">
        <v>2251</v>
      </c>
      <c r="B421" s="1850" t="s">
        <v>16</v>
      </c>
      <c r="C421" s="1850" t="s">
        <v>2599</v>
      </c>
      <c r="D421" s="1850" t="s">
        <v>2600</v>
      </c>
      <c r="E421" s="1850" t="s">
        <v>2601</v>
      </c>
      <c r="F421" s="1850" t="s">
        <v>2271</v>
      </c>
      <c r="G421" s="1850" t="s">
        <v>28</v>
      </c>
      <c r="H421" s="1850" t="s">
        <v>28</v>
      </c>
      <c r="I421" s="1850" t="s">
        <v>910</v>
      </c>
    </row>
    <row r="422" ht="11.25" customHeight="1">
      <c r="A422" s="1850" t="s">
        <v>2251</v>
      </c>
      <c r="B422" s="1850" t="s">
        <v>16</v>
      </c>
      <c r="C422" s="1850" t="s">
        <v>2610</v>
      </c>
      <c r="D422" s="1850" t="s">
        <v>2611</v>
      </c>
      <c r="E422" s="1850" t="s">
        <v>2612</v>
      </c>
      <c r="F422" s="1850" t="s">
        <v>2581</v>
      </c>
      <c r="G422" s="1850" t="s">
        <v>2613</v>
      </c>
      <c r="H422" s="1850" t="s">
        <v>28</v>
      </c>
      <c r="I422" s="1850" t="s">
        <v>910</v>
      </c>
    </row>
    <row r="423" ht="11.25" customHeight="1">
      <c r="A423" s="1850" t="s">
        <v>2251</v>
      </c>
      <c r="B423" s="1850" t="s">
        <v>16</v>
      </c>
      <c r="C423" s="1850" t="s">
        <v>2614</v>
      </c>
      <c r="D423" s="1850" t="s">
        <v>2615</v>
      </c>
      <c r="E423" s="1850" t="s">
        <v>2616</v>
      </c>
      <c r="F423" s="1850" t="s">
        <v>2308</v>
      </c>
      <c r="G423" s="1850" t="s">
        <v>2617</v>
      </c>
      <c r="H423" s="1850" t="s">
        <v>28</v>
      </c>
      <c r="I423" s="1850" t="s">
        <v>910</v>
      </c>
    </row>
    <row r="424" ht="11.25" customHeight="1">
      <c r="A424" s="1850" t="s">
        <v>2251</v>
      </c>
      <c r="B424" s="1850" t="s">
        <v>16</v>
      </c>
      <c r="C424" s="1850" t="s">
        <v>2962</v>
      </c>
      <c r="D424" s="1850" t="s">
        <v>2963</v>
      </c>
      <c r="E424" s="1850" t="s">
        <v>2964</v>
      </c>
      <c r="F424" s="1850" t="s">
        <v>2965</v>
      </c>
      <c r="G424" s="1850" t="s">
        <v>28</v>
      </c>
      <c r="H424" s="1850" t="s">
        <v>28</v>
      </c>
      <c r="I424" s="1850" t="s">
        <v>910</v>
      </c>
    </row>
    <row r="425" ht="11.25" customHeight="1">
      <c r="A425" s="1850" t="s">
        <v>2251</v>
      </c>
      <c r="B425" s="1850" t="s">
        <v>16</v>
      </c>
      <c r="C425" s="1850" t="s">
        <v>2966</v>
      </c>
      <c r="D425" s="1850" t="s">
        <v>2967</v>
      </c>
      <c r="E425" s="1850" t="s">
        <v>2968</v>
      </c>
      <c r="F425" s="1850" t="s">
        <v>2393</v>
      </c>
      <c r="G425" s="1850" t="s">
        <v>28</v>
      </c>
      <c r="H425" s="1850" t="s">
        <v>28</v>
      </c>
      <c r="I425" s="1850" t="s">
        <v>910</v>
      </c>
    </row>
    <row r="426" ht="11.25" customHeight="1">
      <c r="A426" s="1850" t="s">
        <v>2251</v>
      </c>
      <c r="B426" s="1850" t="s">
        <v>16</v>
      </c>
      <c r="C426" s="1850" t="s">
        <v>2628</v>
      </c>
      <c r="D426" s="1850" t="s">
        <v>2629</v>
      </c>
      <c r="E426" s="1850" t="s">
        <v>2630</v>
      </c>
      <c r="F426" s="1850" t="s">
        <v>2462</v>
      </c>
      <c r="G426" s="1850" t="s">
        <v>28</v>
      </c>
      <c r="H426" s="1850" t="s">
        <v>28</v>
      </c>
      <c r="I426" s="1850" t="s">
        <v>910</v>
      </c>
    </row>
    <row r="427" ht="11.25" customHeight="1">
      <c r="A427" s="1850" t="s">
        <v>2251</v>
      </c>
      <c r="B427" s="1850" t="s">
        <v>16</v>
      </c>
      <c r="C427" s="1850" t="s">
        <v>2631</v>
      </c>
      <c r="D427" s="1850" t="s">
        <v>2632</v>
      </c>
      <c r="E427" s="1850" t="s">
        <v>2633</v>
      </c>
      <c r="F427" s="1850" t="s">
        <v>2634</v>
      </c>
      <c r="G427" s="1850" t="s">
        <v>2635</v>
      </c>
      <c r="H427" s="1850" t="s">
        <v>28</v>
      </c>
      <c r="I427" s="1850" t="s">
        <v>910</v>
      </c>
    </row>
    <row r="428" ht="11.25" customHeight="1">
      <c r="A428" s="1850" t="s">
        <v>2251</v>
      </c>
      <c r="B428" s="1850" t="s">
        <v>16</v>
      </c>
      <c r="C428" s="1850" t="s">
        <v>2636</v>
      </c>
      <c r="D428" s="1850" t="s">
        <v>2637</v>
      </c>
      <c r="E428" s="1850" t="s">
        <v>2638</v>
      </c>
      <c r="F428" s="1850" t="s">
        <v>2462</v>
      </c>
      <c r="G428" s="1850" t="s">
        <v>28</v>
      </c>
      <c r="H428" s="1850" t="s">
        <v>28</v>
      </c>
      <c r="I428" s="1850" t="s">
        <v>910</v>
      </c>
    </row>
    <row r="429" ht="11.25" customHeight="1">
      <c r="A429" s="1850" t="s">
        <v>2251</v>
      </c>
      <c r="B429" s="1850" t="s">
        <v>16</v>
      </c>
      <c r="C429" s="1850" t="s">
        <v>2642</v>
      </c>
      <c r="D429" s="1850" t="s">
        <v>2643</v>
      </c>
      <c r="E429" s="1850" t="s">
        <v>2644</v>
      </c>
      <c r="F429" s="1850" t="s">
        <v>2393</v>
      </c>
      <c r="G429" s="1850" t="s">
        <v>28</v>
      </c>
      <c r="H429" s="1850" t="s">
        <v>28</v>
      </c>
      <c r="I429" s="1850" t="s">
        <v>910</v>
      </c>
    </row>
    <row r="430" ht="11.25" customHeight="1">
      <c r="A430" s="1850" t="s">
        <v>2251</v>
      </c>
      <c r="B430" s="1850" t="s">
        <v>16</v>
      </c>
      <c r="C430" s="1850" t="s">
        <v>2969</v>
      </c>
      <c r="D430" s="1850" t="s">
        <v>2970</v>
      </c>
      <c r="E430" s="1850" t="s">
        <v>2971</v>
      </c>
      <c r="F430" s="1850" t="s">
        <v>2779</v>
      </c>
      <c r="G430" s="1850" t="s">
        <v>28</v>
      </c>
      <c r="H430" s="1850" t="s">
        <v>28</v>
      </c>
      <c r="I430" s="1850" t="s">
        <v>910</v>
      </c>
    </row>
    <row r="431" ht="11.25" customHeight="1">
      <c r="A431" s="1850" t="s">
        <v>2251</v>
      </c>
      <c r="B431" s="1850" t="s">
        <v>16</v>
      </c>
      <c r="C431" s="1850" t="s">
        <v>2972</v>
      </c>
      <c r="D431" s="1850" t="s">
        <v>2973</v>
      </c>
      <c r="E431" s="1850" t="s">
        <v>2974</v>
      </c>
      <c r="F431" s="1850" t="s">
        <v>2779</v>
      </c>
      <c r="G431" s="1850" t="s">
        <v>28</v>
      </c>
      <c r="H431" s="1850" t="s">
        <v>28</v>
      </c>
      <c r="I431" s="1850" t="s">
        <v>910</v>
      </c>
    </row>
    <row r="432" ht="11.25" customHeight="1">
      <c r="A432" s="1850" t="s">
        <v>2251</v>
      </c>
      <c r="B432" s="1850" t="s">
        <v>16</v>
      </c>
      <c r="C432" s="1850" t="s">
        <v>2975</v>
      </c>
      <c r="D432" s="1850" t="s">
        <v>2976</v>
      </c>
      <c r="E432" s="1850" t="s">
        <v>2977</v>
      </c>
      <c r="F432" s="1850" t="s">
        <v>2284</v>
      </c>
      <c r="G432" s="1850" t="s">
        <v>28</v>
      </c>
      <c r="H432" s="1850" t="s">
        <v>28</v>
      </c>
      <c r="I432" s="1850" t="s">
        <v>910</v>
      </c>
    </row>
    <row r="433" ht="11.25" customHeight="1">
      <c r="A433" s="1850" t="s">
        <v>2251</v>
      </c>
      <c r="B433" s="1850" t="s">
        <v>16</v>
      </c>
      <c r="C433" s="1850" t="s">
        <v>2645</v>
      </c>
      <c r="D433" s="1850" t="s">
        <v>2646</v>
      </c>
      <c r="E433" s="1850" t="s">
        <v>2647</v>
      </c>
      <c r="F433" s="1850" t="s">
        <v>2262</v>
      </c>
      <c r="G433" s="1850" t="s">
        <v>28</v>
      </c>
      <c r="H433" s="1850" t="s">
        <v>28</v>
      </c>
      <c r="I433" s="1850" t="s">
        <v>910</v>
      </c>
    </row>
    <row r="434" ht="11.25" customHeight="1">
      <c r="A434" s="1850" t="s">
        <v>2251</v>
      </c>
      <c r="B434" s="1850" t="s">
        <v>16</v>
      </c>
      <c r="C434" s="1850" t="s">
        <v>2648</v>
      </c>
      <c r="D434" s="1850" t="s">
        <v>2649</v>
      </c>
      <c r="E434" s="1850" t="s">
        <v>2650</v>
      </c>
      <c r="F434" s="1850" t="s">
        <v>2651</v>
      </c>
      <c r="G434" s="1850" t="s">
        <v>28</v>
      </c>
      <c r="H434" s="1850" t="s">
        <v>28</v>
      </c>
      <c r="I434" s="1850" t="s">
        <v>910</v>
      </c>
    </row>
    <row r="435" ht="11.25" customHeight="1">
      <c r="A435" s="1850" t="s">
        <v>2251</v>
      </c>
      <c r="B435" s="1850" t="s">
        <v>16</v>
      </c>
      <c r="C435" s="1850" t="s">
        <v>2987</v>
      </c>
      <c r="D435" s="1850" t="s">
        <v>2988</v>
      </c>
      <c r="E435" s="1850" t="s">
        <v>2989</v>
      </c>
      <c r="F435" s="1850" t="s">
        <v>2835</v>
      </c>
      <c r="G435" s="1850" t="s">
        <v>2990</v>
      </c>
      <c r="H435" s="1850" t="s">
        <v>28</v>
      </c>
      <c r="I435" s="1850" t="s">
        <v>910</v>
      </c>
    </row>
    <row r="436" ht="11.25" customHeight="1">
      <c r="A436" s="1850" t="s">
        <v>2251</v>
      </c>
      <c r="B436" s="1850" t="s">
        <v>16</v>
      </c>
      <c r="C436" s="1850" t="s">
        <v>2991</v>
      </c>
      <c r="D436" s="1850" t="s">
        <v>2992</v>
      </c>
      <c r="E436" s="1850" t="s">
        <v>2993</v>
      </c>
      <c r="F436" s="1850" t="s">
        <v>2362</v>
      </c>
      <c r="G436" s="1850" t="s">
        <v>28</v>
      </c>
      <c r="H436" s="1850" t="s">
        <v>28</v>
      </c>
      <c r="I436" s="1850" t="s">
        <v>910</v>
      </c>
    </row>
    <row r="437" ht="11.25" customHeight="1">
      <c r="A437" s="1850" t="s">
        <v>2251</v>
      </c>
      <c r="B437" s="1850" t="s">
        <v>16</v>
      </c>
      <c r="C437" s="1850" t="s">
        <v>2994</v>
      </c>
      <c r="D437" s="1850" t="s">
        <v>2995</v>
      </c>
      <c r="E437" s="1850" t="s">
        <v>2996</v>
      </c>
      <c r="F437" s="1850" t="s">
        <v>2385</v>
      </c>
      <c r="G437" s="1850" t="s">
        <v>28</v>
      </c>
      <c r="H437" s="1850" t="s">
        <v>28</v>
      </c>
      <c r="I437" s="1850" t="s">
        <v>910</v>
      </c>
    </row>
    <row r="438" ht="11.25" customHeight="1">
      <c r="A438" s="1850" t="s">
        <v>2251</v>
      </c>
      <c r="B438" s="1850" t="s">
        <v>16</v>
      </c>
      <c r="C438" s="1850" t="s">
        <v>3003</v>
      </c>
      <c r="D438" s="1850" t="s">
        <v>3004</v>
      </c>
      <c r="E438" s="1850" t="s">
        <v>3005</v>
      </c>
      <c r="F438" s="1850" t="s">
        <v>2779</v>
      </c>
      <c r="G438" s="1850" t="s">
        <v>3006</v>
      </c>
      <c r="H438" s="1850" t="s">
        <v>28</v>
      </c>
      <c r="I438" s="1850" t="s">
        <v>910</v>
      </c>
    </row>
    <row r="439" ht="11.25" customHeight="1">
      <c r="A439" s="1850" t="s">
        <v>2251</v>
      </c>
      <c r="B439" s="1850" t="s">
        <v>16</v>
      </c>
      <c r="C439" s="1850" t="s">
        <v>3007</v>
      </c>
      <c r="D439" s="1850" t="s">
        <v>3008</v>
      </c>
      <c r="E439" s="1850" t="s">
        <v>3009</v>
      </c>
      <c r="F439" s="1850" t="s">
        <v>2317</v>
      </c>
      <c r="G439" s="1850" t="s">
        <v>28</v>
      </c>
      <c r="H439" s="1850" t="s">
        <v>28</v>
      </c>
      <c r="I439" s="1850" t="s">
        <v>910</v>
      </c>
    </row>
    <row r="440" ht="11.25" customHeight="1">
      <c r="A440" s="1850" t="s">
        <v>2251</v>
      </c>
      <c r="B440" s="1850" t="s">
        <v>16</v>
      </c>
      <c r="C440" s="1850" t="s">
        <v>2678</v>
      </c>
      <c r="D440" s="1850" t="s">
        <v>2679</v>
      </c>
      <c r="E440" s="1850" t="s">
        <v>2680</v>
      </c>
      <c r="F440" s="1850" t="s">
        <v>2284</v>
      </c>
      <c r="G440" s="1850" t="s">
        <v>28</v>
      </c>
      <c r="H440" s="1850" t="s">
        <v>28</v>
      </c>
      <c r="I440" s="1850" t="s">
        <v>910</v>
      </c>
    </row>
    <row r="441" ht="11.25" customHeight="1">
      <c r="A441" s="1850" t="s">
        <v>2251</v>
      </c>
      <c r="B441" s="1850" t="s">
        <v>16</v>
      </c>
      <c r="C441" s="1850" t="s">
        <v>28</v>
      </c>
      <c r="D441" s="1850" t="s">
        <v>2252</v>
      </c>
      <c r="E441" s="1850" t="s">
        <v>2253</v>
      </c>
      <c r="F441" s="1850" t="s">
        <v>2254</v>
      </c>
      <c r="G441" s="1850" t="s">
        <v>28</v>
      </c>
      <c r="H441" s="1850" t="s">
        <v>28</v>
      </c>
      <c r="I441" s="1850" t="s">
        <v>1625</v>
      </c>
    </row>
    <row r="442" ht="11.25" customHeight="1">
      <c r="A442" s="1850" t="s">
        <v>2251</v>
      </c>
      <c r="B442" s="1850" t="s">
        <v>16</v>
      </c>
      <c r="C442" s="1850" t="s">
        <v>3043</v>
      </c>
      <c r="D442" s="1850" t="s">
        <v>3044</v>
      </c>
      <c r="E442" s="1850" t="s">
        <v>3045</v>
      </c>
      <c r="F442" s="1850" t="s">
        <v>578</v>
      </c>
      <c r="G442" s="1850" t="s">
        <v>3046</v>
      </c>
      <c r="H442" s="1850" t="s">
        <v>28</v>
      </c>
      <c r="I442" s="1850" t="s">
        <v>1625</v>
      </c>
    </row>
    <row r="443" ht="11.25" customHeight="1">
      <c r="A443" s="1850" t="s">
        <v>2251</v>
      </c>
      <c r="B443" s="1850" t="s">
        <v>16</v>
      </c>
      <c r="C443" s="1850" t="s">
        <v>2400</v>
      </c>
      <c r="D443" s="1850" t="s">
        <v>2401</v>
      </c>
      <c r="E443" s="1850" t="s">
        <v>2402</v>
      </c>
      <c r="F443" s="1850" t="s">
        <v>2403</v>
      </c>
      <c r="G443" s="1850" t="s">
        <v>28</v>
      </c>
      <c r="H443" s="1850" t="s">
        <v>28</v>
      </c>
      <c r="I443" s="1850" t="s">
        <v>1625</v>
      </c>
    </row>
    <row r="444" ht="11.25" customHeight="1">
      <c r="A444" s="1850" t="s">
        <v>2251</v>
      </c>
      <c r="B444" s="1850" t="s">
        <v>16</v>
      </c>
      <c r="C444" s="1850" t="s">
        <v>2753</v>
      </c>
      <c r="D444" s="1850" t="s">
        <v>2754</v>
      </c>
      <c r="E444" s="1850" t="s">
        <v>2755</v>
      </c>
      <c r="F444" s="1850" t="s">
        <v>2487</v>
      </c>
      <c r="G444" s="1850" t="s">
        <v>28</v>
      </c>
      <c r="H444" s="1850" t="s">
        <v>28</v>
      </c>
      <c r="I444" s="1850" t="s">
        <v>1625</v>
      </c>
    </row>
    <row r="445" ht="11.25" customHeight="1">
      <c r="A445" s="1850" t="s">
        <v>2251</v>
      </c>
      <c r="B445" s="1850" t="s">
        <v>16</v>
      </c>
      <c r="C445" s="1850" t="s">
        <v>3047</v>
      </c>
      <c r="D445" s="1850" t="s">
        <v>3048</v>
      </c>
      <c r="E445" s="1850" t="s">
        <v>3049</v>
      </c>
      <c r="F445" s="1850" t="s">
        <v>2500</v>
      </c>
      <c r="G445" s="1850" t="s">
        <v>3050</v>
      </c>
      <c r="H445" s="1850" t="s">
        <v>28</v>
      </c>
      <c r="I445" s="1850" t="s">
        <v>1625</v>
      </c>
    </row>
    <row r="446" ht="11.25" customHeight="1">
      <c r="A446" s="1850" t="s">
        <v>2251</v>
      </c>
      <c r="B446" s="1850" t="s">
        <v>16</v>
      </c>
      <c r="C446" s="1850" t="s">
        <v>2415</v>
      </c>
      <c r="D446" s="1850" t="s">
        <v>2416</v>
      </c>
      <c r="E446" s="1850" t="s">
        <v>2417</v>
      </c>
      <c r="F446" s="1850" t="s">
        <v>2284</v>
      </c>
      <c r="G446" s="1850" t="s">
        <v>28</v>
      </c>
      <c r="H446" s="1850" t="s">
        <v>28</v>
      </c>
      <c r="I446" s="1850" t="s">
        <v>1625</v>
      </c>
    </row>
    <row r="447" ht="11.25" customHeight="1">
      <c r="A447" s="1850" t="s">
        <v>2251</v>
      </c>
      <c r="B447" s="1850" t="s">
        <v>16</v>
      </c>
      <c r="C447" s="1850" t="s">
        <v>3051</v>
      </c>
      <c r="D447" s="1850" t="s">
        <v>3052</v>
      </c>
      <c r="E447" s="1850" t="s">
        <v>3053</v>
      </c>
      <c r="F447" s="1850" t="s">
        <v>2385</v>
      </c>
      <c r="G447" s="1850" t="s">
        <v>28</v>
      </c>
      <c r="H447" s="1850" t="s">
        <v>28</v>
      </c>
      <c r="I447" s="1850" t="s">
        <v>1625</v>
      </c>
    </row>
    <row r="448" ht="11.25" customHeight="1">
      <c r="A448" s="1850" t="s">
        <v>2251</v>
      </c>
      <c r="B448" s="1850" t="s">
        <v>16</v>
      </c>
      <c r="C448" s="1850" t="s">
        <v>2422</v>
      </c>
      <c r="D448" s="1850" t="s">
        <v>2423</v>
      </c>
      <c r="E448" s="1850" t="s">
        <v>2424</v>
      </c>
      <c r="F448" s="1850" t="s">
        <v>2292</v>
      </c>
      <c r="G448" s="1850" t="s">
        <v>28</v>
      </c>
      <c r="H448" s="1850" t="s">
        <v>28</v>
      </c>
      <c r="I448" s="1850" t="s">
        <v>1625</v>
      </c>
    </row>
    <row r="449" ht="11.25" customHeight="1">
      <c r="A449" s="1850" t="s">
        <v>2251</v>
      </c>
      <c r="B449" s="1850" t="s">
        <v>16</v>
      </c>
      <c r="C449" s="1850" t="s">
        <v>2425</v>
      </c>
      <c r="D449" s="1850" t="s">
        <v>2426</v>
      </c>
      <c r="E449" s="1850" t="s">
        <v>2427</v>
      </c>
      <c r="F449" s="1850" t="s">
        <v>2292</v>
      </c>
      <c r="G449" s="1850" t="s">
        <v>28</v>
      </c>
      <c r="H449" s="1850" t="s">
        <v>28</v>
      </c>
      <c r="I449" s="1850" t="s">
        <v>1625</v>
      </c>
    </row>
    <row r="450" ht="11.25" customHeight="1">
      <c r="A450" s="1850" t="s">
        <v>2251</v>
      </c>
      <c r="B450" s="1850" t="s">
        <v>16</v>
      </c>
      <c r="C450" s="1850" t="s">
        <v>3054</v>
      </c>
      <c r="D450" s="1850" t="s">
        <v>3055</v>
      </c>
      <c r="E450" s="1850" t="s">
        <v>3056</v>
      </c>
      <c r="F450" s="1850" t="s">
        <v>2431</v>
      </c>
      <c r="G450" s="1850" t="s">
        <v>3057</v>
      </c>
      <c r="H450" s="1850" t="s">
        <v>28</v>
      </c>
      <c r="I450" s="1850" t="s">
        <v>1625</v>
      </c>
    </row>
    <row r="451" ht="11.25" customHeight="1">
      <c r="A451" s="1850" t="s">
        <v>2251</v>
      </c>
      <c r="B451" s="1850" t="s">
        <v>16</v>
      </c>
      <c r="C451" s="1850" t="s">
        <v>3058</v>
      </c>
      <c r="D451" s="1850" t="s">
        <v>3059</v>
      </c>
      <c r="E451" s="1850" t="s">
        <v>3060</v>
      </c>
      <c r="F451" s="1850" t="s">
        <v>2414</v>
      </c>
      <c r="G451" s="1850" t="s">
        <v>28</v>
      </c>
      <c r="H451" s="1850" t="s">
        <v>28</v>
      </c>
      <c r="I451" s="1850" t="s">
        <v>1625</v>
      </c>
    </row>
    <row r="452" ht="11.25" customHeight="1">
      <c r="A452" s="1850" t="s">
        <v>2251</v>
      </c>
      <c r="B452" s="1850" t="s">
        <v>16</v>
      </c>
      <c r="C452" s="1850" t="s">
        <v>3061</v>
      </c>
      <c r="D452" s="1850" t="s">
        <v>3062</v>
      </c>
      <c r="E452" s="1850" t="s">
        <v>3063</v>
      </c>
      <c r="F452" s="1850" t="s">
        <v>2296</v>
      </c>
      <c r="G452" s="1850" t="s">
        <v>28</v>
      </c>
      <c r="H452" s="1850" t="s">
        <v>28</v>
      </c>
      <c r="I452" s="1850" t="s">
        <v>1625</v>
      </c>
    </row>
    <row r="453" ht="11.25" customHeight="1">
      <c r="A453" s="1850" t="s">
        <v>2251</v>
      </c>
      <c r="B453" s="1850" t="s">
        <v>16</v>
      </c>
      <c r="C453" s="1850" t="s">
        <v>3064</v>
      </c>
      <c r="D453" s="1850" t="s">
        <v>3065</v>
      </c>
      <c r="E453" s="1850" t="s">
        <v>3066</v>
      </c>
      <c r="F453" s="1850" t="s">
        <v>2254</v>
      </c>
      <c r="G453" s="1850" t="s">
        <v>3067</v>
      </c>
      <c r="H453" s="1850" t="s">
        <v>28</v>
      </c>
      <c r="I453" s="1850" t="s">
        <v>1625</v>
      </c>
    </row>
    <row r="454" ht="11.25" customHeight="1">
      <c r="A454" s="1850" t="s">
        <v>2251</v>
      </c>
      <c r="B454" s="1850" t="s">
        <v>16</v>
      </c>
      <c r="C454" s="1850" t="s">
        <v>3068</v>
      </c>
      <c r="D454" s="1850" t="s">
        <v>3069</v>
      </c>
      <c r="E454" s="1850" t="s">
        <v>3070</v>
      </c>
      <c r="F454" s="1850" t="s">
        <v>2455</v>
      </c>
      <c r="G454" s="1850" t="s">
        <v>3071</v>
      </c>
      <c r="H454" s="1850" t="s">
        <v>28</v>
      </c>
      <c r="I454" s="1850" t="s">
        <v>1625</v>
      </c>
    </row>
    <row r="455" ht="11.25" customHeight="1">
      <c r="A455" s="1850" t="s">
        <v>2251</v>
      </c>
      <c r="B455" s="1850" t="s">
        <v>16</v>
      </c>
      <c r="C455" s="1850" t="s">
        <v>3072</v>
      </c>
      <c r="D455" s="1850" t="s">
        <v>3073</v>
      </c>
      <c r="E455" s="1850" t="s">
        <v>3074</v>
      </c>
      <c r="F455" s="1850" t="s">
        <v>2500</v>
      </c>
      <c r="G455" s="1850" t="s">
        <v>3075</v>
      </c>
      <c r="H455" s="1850" t="s">
        <v>28</v>
      </c>
      <c r="I455" s="1850" t="s">
        <v>1625</v>
      </c>
    </row>
    <row r="456" ht="11.25" customHeight="1">
      <c r="A456" s="1850" t="s">
        <v>2251</v>
      </c>
      <c r="B456" s="1850" t="s">
        <v>16</v>
      </c>
      <c r="C456" s="1850" t="s">
        <v>3076</v>
      </c>
      <c r="D456" s="1850" t="s">
        <v>3077</v>
      </c>
      <c r="E456" s="1850" t="s">
        <v>3078</v>
      </c>
      <c r="F456" s="1850" t="s">
        <v>2528</v>
      </c>
      <c r="G456" s="1850" t="s">
        <v>3079</v>
      </c>
      <c r="H456" s="1850" t="s">
        <v>28</v>
      </c>
      <c r="I456" s="1850" t="s">
        <v>1625</v>
      </c>
    </row>
    <row r="457" ht="11.25" customHeight="1">
      <c r="A457" s="1850" t="s">
        <v>2251</v>
      </c>
      <c r="B457" s="1850" t="s">
        <v>16</v>
      </c>
      <c r="C457" s="1850" t="s">
        <v>3080</v>
      </c>
      <c r="D457" s="1850" t="s">
        <v>3081</v>
      </c>
      <c r="E457" s="1850" t="s">
        <v>3082</v>
      </c>
      <c r="F457" s="1850" t="s">
        <v>2595</v>
      </c>
      <c r="G457" s="1850" t="s">
        <v>3083</v>
      </c>
      <c r="H457" s="1850" t="s">
        <v>28</v>
      </c>
      <c r="I457" s="1850" t="s">
        <v>1625</v>
      </c>
    </row>
    <row r="458" ht="11.25" customHeight="1">
      <c r="A458" s="1850" t="s">
        <v>2251</v>
      </c>
      <c r="B458" s="1850" t="s">
        <v>16</v>
      </c>
      <c r="C458" s="1850" t="s">
        <v>3084</v>
      </c>
      <c r="D458" s="1850" t="s">
        <v>3085</v>
      </c>
      <c r="E458" s="1850" t="s">
        <v>3086</v>
      </c>
      <c r="F458" s="1850" t="s">
        <v>2768</v>
      </c>
      <c r="G458" s="1850" t="s">
        <v>3087</v>
      </c>
      <c r="H458" s="1850" t="s">
        <v>28</v>
      </c>
      <c r="I458" s="1850" t="s">
        <v>1625</v>
      </c>
    </row>
    <row r="459" ht="11.25" customHeight="1">
      <c r="A459" s="1850" t="s">
        <v>2251</v>
      </c>
      <c r="B459" s="1850" t="s">
        <v>16</v>
      </c>
      <c r="C459" s="1850" t="s">
        <v>2866</v>
      </c>
      <c r="D459" s="1850" t="s">
        <v>2867</v>
      </c>
      <c r="E459" s="1850" t="s">
        <v>2868</v>
      </c>
      <c r="F459" s="1850" t="s">
        <v>2487</v>
      </c>
      <c r="G459" s="1850" t="s">
        <v>28</v>
      </c>
      <c r="H459" s="1850" t="s">
        <v>28</v>
      </c>
      <c r="I459" s="1850" t="s">
        <v>1625</v>
      </c>
    </row>
    <row r="460" ht="11.25" customHeight="1">
      <c r="A460" s="1850" t="s">
        <v>2251</v>
      </c>
      <c r="B460" s="1850" t="s">
        <v>16</v>
      </c>
      <c r="C460" s="1850" t="s">
        <v>3088</v>
      </c>
      <c r="D460" s="1850" t="s">
        <v>3089</v>
      </c>
      <c r="E460" s="1850" t="s">
        <v>3090</v>
      </c>
      <c r="F460" s="1850" t="s">
        <v>2677</v>
      </c>
      <c r="G460" s="1850" t="s">
        <v>3091</v>
      </c>
      <c r="H460" s="1850" t="s">
        <v>28</v>
      </c>
      <c r="I460" s="1850" t="s">
        <v>1625</v>
      </c>
    </row>
    <row r="461" ht="11.25" customHeight="1">
      <c r="A461" s="1850" t="s">
        <v>2251</v>
      </c>
      <c r="B461" s="1850" t="s">
        <v>16</v>
      </c>
      <c r="C461" s="1850" t="s">
        <v>3092</v>
      </c>
      <c r="D461" s="1850" t="s">
        <v>3093</v>
      </c>
      <c r="E461" s="1850" t="s">
        <v>3094</v>
      </c>
      <c r="F461" s="1850" t="s">
        <v>2317</v>
      </c>
      <c r="G461" s="1850" t="s">
        <v>28</v>
      </c>
      <c r="H461" s="1850" t="s">
        <v>28</v>
      </c>
      <c r="I461" s="1850" t="s">
        <v>1625</v>
      </c>
    </row>
    <row r="462" ht="11.25" customHeight="1">
      <c r="A462" s="1850" t="s">
        <v>2251</v>
      </c>
      <c r="B462" s="1850" t="s">
        <v>16</v>
      </c>
      <c r="C462" s="1850" t="s">
        <v>3095</v>
      </c>
      <c r="D462" s="1850" t="s">
        <v>3096</v>
      </c>
      <c r="E462" s="1850" t="s">
        <v>3097</v>
      </c>
      <c r="F462" s="1850" t="s">
        <v>2258</v>
      </c>
      <c r="G462" s="1850" t="s">
        <v>3098</v>
      </c>
      <c r="H462" s="1850" t="s">
        <v>28</v>
      </c>
      <c r="I462" s="1850" t="s">
        <v>1625</v>
      </c>
    </row>
    <row r="463" ht="11.25" customHeight="1">
      <c r="A463" s="1850" t="s">
        <v>2251</v>
      </c>
      <c r="B463" s="1850" t="s">
        <v>16</v>
      </c>
      <c r="C463" s="1850" t="s">
        <v>3099</v>
      </c>
      <c r="D463" s="1850" t="s">
        <v>3100</v>
      </c>
      <c r="E463" s="1850" t="s">
        <v>3101</v>
      </c>
      <c r="F463" s="1850" t="s">
        <v>2266</v>
      </c>
      <c r="G463" s="1850" t="s">
        <v>28</v>
      </c>
      <c r="H463" s="1850" t="s">
        <v>28</v>
      </c>
      <c r="I463" s="1850" t="s">
        <v>1625</v>
      </c>
    </row>
    <row r="464" ht="11.25" customHeight="1">
      <c r="A464" s="1850" t="s">
        <v>2251</v>
      </c>
      <c r="B464" s="1850" t="s">
        <v>16</v>
      </c>
      <c r="C464" s="1850" t="s">
        <v>3102</v>
      </c>
      <c r="D464" s="1850" t="s">
        <v>3103</v>
      </c>
      <c r="E464" s="1850" t="s">
        <v>3104</v>
      </c>
      <c r="F464" s="1850" t="s">
        <v>2414</v>
      </c>
      <c r="G464" s="1850" t="s">
        <v>3105</v>
      </c>
      <c r="H464" s="1850" t="s">
        <v>28</v>
      </c>
      <c r="I464" s="1850" t="s">
        <v>1625</v>
      </c>
    </row>
    <row r="465" ht="11.25" customHeight="1">
      <c r="A465" s="1850" t="s">
        <v>2251</v>
      </c>
      <c r="B465" s="1850" t="s">
        <v>16</v>
      </c>
      <c r="C465" s="1850" t="s">
        <v>3106</v>
      </c>
      <c r="D465" s="1850" t="s">
        <v>3107</v>
      </c>
      <c r="E465" s="1850" t="s">
        <v>3108</v>
      </c>
      <c r="F465" s="1850" t="s">
        <v>2517</v>
      </c>
      <c r="G465" s="1850" t="s">
        <v>28</v>
      </c>
      <c r="H465" s="1850" t="s">
        <v>28</v>
      </c>
      <c r="I465" s="1850" t="s">
        <v>1625</v>
      </c>
    </row>
    <row r="466" ht="11.25" customHeight="1">
      <c r="A466" s="1850" t="s">
        <v>2251</v>
      </c>
      <c r="B466" s="1850" t="s">
        <v>16</v>
      </c>
      <c r="C466" s="1850" t="s">
        <v>3109</v>
      </c>
      <c r="D466" s="1850" t="s">
        <v>3110</v>
      </c>
      <c r="E466" s="1850" t="s">
        <v>3111</v>
      </c>
      <c r="F466" s="1850" t="s">
        <v>2258</v>
      </c>
      <c r="G466" s="1850" t="s">
        <v>3112</v>
      </c>
      <c r="H466" s="1850" t="s">
        <v>28</v>
      </c>
      <c r="I466" s="1850" t="s">
        <v>1625</v>
      </c>
    </row>
    <row r="467" ht="11.25" customHeight="1">
      <c r="A467" s="1850" t="s">
        <v>2251</v>
      </c>
      <c r="B467" s="1850" t="s">
        <v>16</v>
      </c>
      <c r="C467" s="1850" t="s">
        <v>3113</v>
      </c>
      <c r="D467" s="1850" t="s">
        <v>3114</v>
      </c>
      <c r="E467" s="1850" t="s">
        <v>3115</v>
      </c>
      <c r="F467" s="1850" t="s">
        <v>2254</v>
      </c>
      <c r="G467" s="1850" t="s">
        <v>3116</v>
      </c>
      <c r="H467" s="1850" t="s">
        <v>28</v>
      </c>
      <c r="I467" s="1850" t="s">
        <v>1625</v>
      </c>
    </row>
    <row r="468" ht="11.25" customHeight="1">
      <c r="A468" s="1850" t="s">
        <v>2251</v>
      </c>
      <c r="B468" s="1850" t="s">
        <v>16</v>
      </c>
      <c r="C468" s="1850" t="s">
        <v>3117</v>
      </c>
      <c r="D468" s="1850" t="s">
        <v>3118</v>
      </c>
      <c r="E468" s="1850" t="s">
        <v>3119</v>
      </c>
      <c r="F468" s="1850" t="s">
        <v>2362</v>
      </c>
      <c r="G468" s="1850" t="s">
        <v>28</v>
      </c>
      <c r="H468" s="1850" t="s">
        <v>28</v>
      </c>
      <c r="I468" s="1850" t="s">
        <v>1625</v>
      </c>
    </row>
    <row r="469" ht="11.25" customHeight="1">
      <c r="A469" s="1850" t="s">
        <v>2251</v>
      </c>
      <c r="B469" s="1850" t="s">
        <v>16</v>
      </c>
      <c r="C469" s="1850" t="s">
        <v>3120</v>
      </c>
      <c r="D469" s="1850" t="s">
        <v>3121</v>
      </c>
      <c r="E469" s="1850" t="s">
        <v>3122</v>
      </c>
      <c r="F469" s="1850" t="s">
        <v>2317</v>
      </c>
      <c r="G469" s="1850" t="s">
        <v>28</v>
      </c>
      <c r="H469" s="1850" t="s">
        <v>28</v>
      </c>
      <c r="I469" s="1850" t="s">
        <v>1625</v>
      </c>
    </row>
    <row r="470" ht="11.25" customHeight="1">
      <c r="A470" s="1850" t="s">
        <v>2251</v>
      </c>
      <c r="B470" s="1850" t="s">
        <v>16</v>
      </c>
      <c r="C470" s="1850" t="s">
        <v>3123</v>
      </c>
      <c r="D470" s="1850" t="s">
        <v>3124</v>
      </c>
      <c r="E470" s="1850" t="s">
        <v>3125</v>
      </c>
      <c r="F470" s="1850" t="s">
        <v>2284</v>
      </c>
      <c r="G470" s="1850" t="s">
        <v>3126</v>
      </c>
      <c r="H470" s="1850" t="s">
        <v>28</v>
      </c>
      <c r="I470" s="1850" t="s">
        <v>1625</v>
      </c>
    </row>
    <row r="471" ht="11.25" customHeight="1">
      <c r="A471" s="1850" t="s">
        <v>2251</v>
      </c>
      <c r="B471" s="1850" t="s">
        <v>16</v>
      </c>
      <c r="C471" s="1850" t="s">
        <v>2915</v>
      </c>
      <c r="D471" s="1850" t="s">
        <v>2916</v>
      </c>
      <c r="E471" s="1850" t="s">
        <v>2917</v>
      </c>
      <c r="F471" s="1850" t="s">
        <v>2441</v>
      </c>
      <c r="G471" s="1850" t="s">
        <v>28</v>
      </c>
      <c r="H471" s="1850" t="s">
        <v>28</v>
      </c>
      <c r="I471" s="1850" t="s">
        <v>1625</v>
      </c>
    </row>
    <row r="472" ht="11.25" customHeight="1">
      <c r="A472" s="1850" t="s">
        <v>2251</v>
      </c>
      <c r="B472" s="1850" t="s">
        <v>16</v>
      </c>
      <c r="C472" s="1850" t="s">
        <v>3127</v>
      </c>
      <c r="D472" s="1850" t="s">
        <v>3128</v>
      </c>
      <c r="E472" s="1850" t="s">
        <v>3129</v>
      </c>
      <c r="F472" s="1850" t="s">
        <v>2254</v>
      </c>
      <c r="G472" s="1850" t="s">
        <v>3130</v>
      </c>
      <c r="H472" s="1850" t="s">
        <v>28</v>
      </c>
      <c r="I472" s="1850" t="s">
        <v>1625</v>
      </c>
    </row>
    <row r="473" ht="11.25" customHeight="1">
      <c r="A473" s="1850" t="s">
        <v>2251</v>
      </c>
      <c r="B473" s="1850" t="s">
        <v>16</v>
      </c>
      <c r="C473" s="1850" t="s">
        <v>3131</v>
      </c>
      <c r="D473" s="1850" t="s">
        <v>3132</v>
      </c>
      <c r="E473" s="1850" t="s">
        <v>3133</v>
      </c>
      <c r="F473" s="1850" t="s">
        <v>2462</v>
      </c>
      <c r="G473" s="1850" t="s">
        <v>3134</v>
      </c>
      <c r="H473" s="1850" t="s">
        <v>28</v>
      </c>
      <c r="I473" s="1850" t="s">
        <v>1625</v>
      </c>
    </row>
    <row r="474" ht="11.25" customHeight="1">
      <c r="A474" s="1850" t="s">
        <v>2251</v>
      </c>
      <c r="B474" s="1850" t="s">
        <v>16</v>
      </c>
      <c r="C474" s="1850" t="s">
        <v>3135</v>
      </c>
      <c r="D474" s="1850" t="s">
        <v>3136</v>
      </c>
      <c r="E474" s="1850" t="s">
        <v>3137</v>
      </c>
      <c r="F474" s="1850" t="s">
        <v>2500</v>
      </c>
      <c r="G474" s="1850" t="s">
        <v>3138</v>
      </c>
      <c r="H474" s="1850" t="s">
        <v>28</v>
      </c>
      <c r="I474" s="1850" t="s">
        <v>1625</v>
      </c>
    </row>
    <row r="475" ht="11.25" customHeight="1">
      <c r="A475" s="1850" t="s">
        <v>2251</v>
      </c>
      <c r="B475" s="1850" t="s">
        <v>16</v>
      </c>
      <c r="C475" s="1850" t="s">
        <v>3139</v>
      </c>
      <c r="D475" s="1850" t="s">
        <v>3140</v>
      </c>
      <c r="E475" s="1850" t="s">
        <v>3141</v>
      </c>
      <c r="F475" s="1850" t="s">
        <v>2528</v>
      </c>
      <c r="G475" s="1850" t="s">
        <v>3142</v>
      </c>
      <c r="H475" s="1850" t="s">
        <v>28</v>
      </c>
      <c r="I475" s="1850" t="s">
        <v>1625</v>
      </c>
    </row>
    <row r="476" ht="11.25" customHeight="1">
      <c r="A476" s="1850" t="s">
        <v>2251</v>
      </c>
      <c r="B476" s="1850" t="s">
        <v>16</v>
      </c>
      <c r="C476" s="1850" t="s">
        <v>3143</v>
      </c>
      <c r="D476" s="1850" t="s">
        <v>3144</v>
      </c>
      <c r="E476" s="1850" t="s">
        <v>3145</v>
      </c>
      <c r="F476" s="1850" t="s">
        <v>2393</v>
      </c>
      <c r="G476" s="1850" t="s">
        <v>3146</v>
      </c>
      <c r="H476" s="1850" t="s">
        <v>28</v>
      </c>
      <c r="I476" s="1850" t="s">
        <v>1625</v>
      </c>
    </row>
    <row r="477" ht="11.25" customHeight="1">
      <c r="A477" s="1850" t="s">
        <v>2251</v>
      </c>
      <c r="B477" s="1850" t="s">
        <v>16</v>
      </c>
      <c r="C477" s="1850" t="s">
        <v>3147</v>
      </c>
      <c r="D477" s="1850" t="s">
        <v>3148</v>
      </c>
      <c r="E477" s="1850" t="s">
        <v>3149</v>
      </c>
      <c r="F477" s="1850" t="s">
        <v>2455</v>
      </c>
      <c r="G477" s="1850" t="s">
        <v>3150</v>
      </c>
      <c r="H477" s="1850" t="s">
        <v>28</v>
      </c>
      <c r="I477" s="1850" t="s">
        <v>1625</v>
      </c>
    </row>
    <row r="478" ht="11.25" customHeight="1">
      <c r="A478" s="1850" t="s">
        <v>2251</v>
      </c>
      <c r="B478" s="1850" t="s">
        <v>16</v>
      </c>
      <c r="C478" s="1850" t="s">
        <v>3151</v>
      </c>
      <c r="D478" s="1850" t="s">
        <v>3152</v>
      </c>
      <c r="E478" s="1850" t="s">
        <v>3153</v>
      </c>
      <c r="F478" s="1850" t="s">
        <v>2308</v>
      </c>
      <c r="G478" s="1850" t="s">
        <v>3154</v>
      </c>
      <c r="H478" s="1850" t="s">
        <v>28</v>
      </c>
      <c r="I478" s="1850" t="s">
        <v>1625</v>
      </c>
    </row>
    <row r="479" ht="11.25" customHeight="1">
      <c r="A479" s="1850" t="s">
        <v>2251</v>
      </c>
      <c r="B479" s="1850" t="s">
        <v>16</v>
      </c>
      <c r="C479" s="1850" t="s">
        <v>3155</v>
      </c>
      <c r="D479" s="1850" t="s">
        <v>3156</v>
      </c>
      <c r="E479" s="1850" t="s">
        <v>3157</v>
      </c>
      <c r="F479" s="1850" t="s">
        <v>2528</v>
      </c>
      <c r="G479" s="1850" t="s">
        <v>28</v>
      </c>
      <c r="H479" s="1850" t="s">
        <v>28</v>
      </c>
      <c r="I479" s="1850" t="s">
        <v>1625</v>
      </c>
    </row>
    <row r="480" ht="11.25" customHeight="1">
      <c r="A480" s="1850" t="s">
        <v>2251</v>
      </c>
      <c r="B480" s="1850" t="s">
        <v>16</v>
      </c>
      <c r="C480" s="1850" t="s">
        <v>3158</v>
      </c>
      <c r="D480" s="1850" t="s">
        <v>3159</v>
      </c>
      <c r="E480" s="1850" t="s">
        <v>3160</v>
      </c>
      <c r="F480" s="1850" t="s">
        <v>2455</v>
      </c>
      <c r="G480" s="1850" t="s">
        <v>3161</v>
      </c>
      <c r="H480" s="1850" t="s">
        <v>28</v>
      </c>
      <c r="I480" s="1850" t="s">
        <v>1625</v>
      </c>
    </row>
    <row r="481" ht="11.25" customHeight="1">
      <c r="A481" s="1850" t="s">
        <v>2251</v>
      </c>
      <c r="B481" s="1850" t="s">
        <v>16</v>
      </c>
      <c r="C481" s="1850" t="s">
        <v>3162</v>
      </c>
      <c r="D481" s="1850" t="s">
        <v>3163</v>
      </c>
      <c r="E481" s="1850" t="s">
        <v>3164</v>
      </c>
      <c r="F481" s="1850" t="s">
        <v>2296</v>
      </c>
      <c r="G481" s="1850" t="s">
        <v>3165</v>
      </c>
      <c r="H481" s="1850" t="s">
        <v>28</v>
      </c>
      <c r="I481" s="1850" t="s">
        <v>1625</v>
      </c>
    </row>
    <row r="482" ht="11.25" customHeight="1">
      <c r="A482" s="1850" t="s">
        <v>2251</v>
      </c>
      <c r="B482" s="1850" t="s">
        <v>16</v>
      </c>
      <c r="C482" s="1850" t="s">
        <v>3166</v>
      </c>
      <c r="D482" s="1850" t="s">
        <v>3167</v>
      </c>
      <c r="E482" s="1850" t="s">
        <v>3168</v>
      </c>
      <c r="F482" s="1850" t="s">
        <v>2258</v>
      </c>
      <c r="G482" s="1850" t="s">
        <v>3169</v>
      </c>
      <c r="H482" s="1850" t="s">
        <v>28</v>
      </c>
      <c r="I482" s="1850" t="s">
        <v>1625</v>
      </c>
    </row>
    <row r="483" ht="11.25" customHeight="1">
      <c r="A483" s="1850" t="s">
        <v>2251</v>
      </c>
      <c r="B483" s="1850" t="s">
        <v>16</v>
      </c>
      <c r="C483" s="1850" t="s">
        <v>3170</v>
      </c>
      <c r="D483" s="1850" t="s">
        <v>3171</v>
      </c>
      <c r="E483" s="1850" t="s">
        <v>3172</v>
      </c>
      <c r="F483" s="1850" t="s">
        <v>2258</v>
      </c>
      <c r="G483" s="1850" t="s">
        <v>3173</v>
      </c>
      <c r="H483" s="1850" t="s">
        <v>28</v>
      </c>
      <c r="I483" s="1850" t="s">
        <v>1625</v>
      </c>
    </row>
    <row r="484" ht="11.25" customHeight="1">
      <c r="A484" s="1850" t="s">
        <v>2251</v>
      </c>
      <c r="B484" s="1850" t="s">
        <v>16</v>
      </c>
      <c r="C484" s="1850" t="s">
        <v>3174</v>
      </c>
      <c r="D484" s="1850" t="s">
        <v>3175</v>
      </c>
      <c r="E484" s="1850" t="s">
        <v>3176</v>
      </c>
      <c r="F484" s="1850" t="s">
        <v>2385</v>
      </c>
      <c r="G484" s="1850" t="s">
        <v>3177</v>
      </c>
      <c r="H484" s="1850" t="s">
        <v>28</v>
      </c>
      <c r="I484" s="1850" t="s">
        <v>1625</v>
      </c>
    </row>
    <row r="485" ht="11.25" customHeight="1">
      <c r="A485" s="1850" t="s">
        <v>2251</v>
      </c>
      <c r="B485" s="1850" t="s">
        <v>16</v>
      </c>
      <c r="C485" s="1850" t="s">
        <v>3178</v>
      </c>
      <c r="D485" s="1850" t="s">
        <v>3179</v>
      </c>
      <c r="E485" s="1850" t="s">
        <v>3180</v>
      </c>
      <c r="F485" s="1850" t="s">
        <v>2965</v>
      </c>
      <c r="G485" s="1850" t="s">
        <v>3181</v>
      </c>
      <c r="H485" s="1850" t="s">
        <v>28</v>
      </c>
      <c r="I485" s="1850" t="s">
        <v>1625</v>
      </c>
    </row>
    <row r="486" ht="11.25" customHeight="1">
      <c r="A486" s="1850" t="s">
        <v>2251</v>
      </c>
      <c r="B486" s="1850" t="s">
        <v>16</v>
      </c>
      <c r="C486" s="1850" t="s">
        <v>3182</v>
      </c>
      <c r="D486" s="1850" t="s">
        <v>3183</v>
      </c>
      <c r="E486" s="1850" t="s">
        <v>3184</v>
      </c>
      <c r="F486" s="1850" t="s">
        <v>2317</v>
      </c>
      <c r="G486" s="1850" t="s">
        <v>28</v>
      </c>
      <c r="H486" s="1850" t="s">
        <v>28</v>
      </c>
      <c r="I486" s="1850" t="s">
        <v>1625</v>
      </c>
    </row>
    <row r="487" ht="11.25" customHeight="1">
      <c r="A487" s="1850" t="s">
        <v>2251</v>
      </c>
      <c r="B487" s="1850" t="s">
        <v>16</v>
      </c>
      <c r="C487" s="1850" t="s">
        <v>3185</v>
      </c>
      <c r="D487" s="1850" t="s">
        <v>3186</v>
      </c>
      <c r="E487" s="1850" t="s">
        <v>3187</v>
      </c>
      <c r="F487" s="1850" t="s">
        <v>2431</v>
      </c>
      <c r="G487" s="1850" t="s">
        <v>28</v>
      </c>
      <c r="H487" s="1850" t="s">
        <v>28</v>
      </c>
      <c r="I487" s="1850" t="s">
        <v>1625</v>
      </c>
    </row>
    <row r="488" ht="11.25" customHeight="1">
      <c r="A488" s="1850" t="s">
        <v>2251</v>
      </c>
      <c r="B488" s="1850" t="s">
        <v>16</v>
      </c>
      <c r="C488" s="1850" t="s">
        <v>3188</v>
      </c>
      <c r="D488" s="1850" t="s">
        <v>3189</v>
      </c>
      <c r="E488" s="1850" t="s">
        <v>3190</v>
      </c>
      <c r="F488" s="1850" t="s">
        <v>2258</v>
      </c>
      <c r="G488" s="1850" t="s">
        <v>28</v>
      </c>
      <c r="H488" s="1850" t="s">
        <v>28</v>
      </c>
      <c r="I488" s="1850" t="s">
        <v>1625</v>
      </c>
    </row>
    <row r="489" ht="11.25" customHeight="1">
      <c r="A489" s="1850" t="s">
        <v>2251</v>
      </c>
      <c r="B489" s="1850" t="s">
        <v>16</v>
      </c>
      <c r="C489" s="1850" t="s">
        <v>3191</v>
      </c>
      <c r="D489" s="1850" t="s">
        <v>3192</v>
      </c>
      <c r="E489" s="1850" t="s">
        <v>3193</v>
      </c>
      <c r="F489" s="1850" t="s">
        <v>2651</v>
      </c>
      <c r="G489" s="1850" t="s">
        <v>28</v>
      </c>
      <c r="H489" s="1850" t="s">
        <v>28</v>
      </c>
      <c r="I489" s="1850" t="s">
        <v>1625</v>
      </c>
    </row>
  </sheetData>
  <sheetProtection autoFilter="0" deleteColumns="1" deleteRows="1" formatColumns="0" formatRows="0" insertColumns="1" insertRows="1" sheet="1" sort="1"/>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0" width="9.140625"/>
  </cols>
  <sheetData>
    <row r="1" ht="11.25" customHeight="1">
      <c r="A1" s="373" t="s">
        <v>3194</v>
      </c>
      <c r="B1" s="64" t="s">
        <v>3195</v>
      </c>
      <c r="C1" s="64" t="s">
        <v>3196</v>
      </c>
      <c r="D1" s="64" t="s">
        <v>3197</v>
      </c>
      <c r="E1" t="s">
        <v>3198</v>
      </c>
      <c r="F1" t="s">
        <v>3199</v>
      </c>
      <c r="G1" t="s">
        <v>3200</v>
      </c>
    </row>
    <row r="2" ht="11.25" customHeight="1">
      <c r="A2" s="373" t="s">
        <v>16</v>
      </c>
      <c r="B2" t="s">
        <v>3201</v>
      </c>
      <c r="C2" t="s">
        <v>3202</v>
      </c>
      <c r="D2" t="s">
        <v>3201</v>
      </c>
      <c r="E2" t="s">
        <v>3202</v>
      </c>
      <c r="F2" t="s">
        <v>3203</v>
      </c>
      <c r="G2" t="s">
        <v>108</v>
      </c>
    </row>
    <row r="3" ht="11.25" customHeight="1">
      <c r="A3" s="373" t="s">
        <v>16</v>
      </c>
      <c r="B3" t="s">
        <v>3204</v>
      </c>
      <c r="C3" t="s">
        <v>3205</v>
      </c>
      <c r="D3" t="s">
        <v>3204</v>
      </c>
      <c r="E3" t="s">
        <v>3205</v>
      </c>
      <c r="F3" t="s">
        <v>3206</v>
      </c>
      <c r="G3" t="s">
        <v>109</v>
      </c>
    </row>
    <row r="4" ht="11.25" customHeight="1">
      <c r="A4" s="373" t="s">
        <v>16</v>
      </c>
      <c r="B4" t="s">
        <v>3207</v>
      </c>
      <c r="C4" t="s">
        <v>3208</v>
      </c>
      <c r="D4" t="s">
        <v>3207</v>
      </c>
      <c r="E4" t="s">
        <v>3208</v>
      </c>
      <c r="F4" t="s">
        <v>3206</v>
      </c>
      <c r="G4" t="s">
        <v>90</v>
      </c>
    </row>
    <row r="5" ht="11.25" customHeight="1">
      <c r="A5" s="373" t="s">
        <v>16</v>
      </c>
      <c r="B5" t="s">
        <v>99</v>
      </c>
      <c r="C5" t="s">
        <v>100</v>
      </c>
      <c r="D5" t="s">
        <v>99</v>
      </c>
      <c r="E5" t="s">
        <v>100</v>
      </c>
      <c r="F5" t="s">
        <v>3206</v>
      </c>
      <c r="G5" t="s">
        <v>91</v>
      </c>
    </row>
    <row r="6" ht="11.25" customHeight="1">
      <c r="A6" s="373" t="s">
        <v>16</v>
      </c>
      <c r="B6" t="s">
        <v>3209</v>
      </c>
      <c r="C6" t="s">
        <v>3210</v>
      </c>
      <c r="D6" t="s">
        <v>3209</v>
      </c>
      <c r="E6" t="s">
        <v>3210</v>
      </c>
      <c r="F6" t="s">
        <v>3206</v>
      </c>
      <c r="G6" t="s">
        <v>110</v>
      </c>
    </row>
    <row r="7" ht="11.25" customHeight="1">
      <c r="A7" s="373" t="s">
        <v>16</v>
      </c>
      <c r="B7" t="s">
        <v>3211</v>
      </c>
      <c r="C7" t="s">
        <v>3212</v>
      </c>
      <c r="D7" t="s">
        <v>3211</v>
      </c>
      <c r="E7" t="s">
        <v>3212</v>
      </c>
      <c r="F7" t="s">
        <v>3206</v>
      </c>
      <c r="G7" t="s">
        <v>92</v>
      </c>
    </row>
    <row r="8" ht="11.25" customHeight="1">
      <c r="A8" s="373" t="s">
        <v>16</v>
      </c>
      <c r="B8" t="s">
        <v>3213</v>
      </c>
      <c r="C8" t="s">
        <v>3214</v>
      </c>
      <c r="D8" t="s">
        <v>3213</v>
      </c>
      <c r="E8" t="s">
        <v>3214</v>
      </c>
      <c r="F8" t="s">
        <v>3206</v>
      </c>
      <c r="G8" t="s">
        <v>93</v>
      </c>
    </row>
    <row r="9" ht="11.25" customHeight="1">
      <c r="A9" s="373" t="s">
        <v>16</v>
      </c>
      <c r="B9" t="s">
        <v>3215</v>
      </c>
      <c r="C9" t="s">
        <v>3216</v>
      </c>
      <c r="D9" t="s">
        <v>3217</v>
      </c>
      <c r="E9" t="s">
        <v>3218</v>
      </c>
      <c r="F9" t="s">
        <v>3219</v>
      </c>
      <c r="G9" t="s">
        <v>111</v>
      </c>
    </row>
    <row r="10" ht="11.25" customHeight="1">
      <c r="A10" s="373" t="s">
        <v>16</v>
      </c>
      <c r="B10" t="s">
        <v>3215</v>
      </c>
      <c r="C10" t="s">
        <v>3216</v>
      </c>
      <c r="D10" t="s">
        <v>3215</v>
      </c>
      <c r="E10" t="s">
        <v>3216</v>
      </c>
      <c r="F10" t="s">
        <v>3220</v>
      </c>
      <c r="G10" t="s">
        <v>147</v>
      </c>
    </row>
    <row r="11" ht="11.25" customHeight="1">
      <c r="A11" s="373" t="s">
        <v>16</v>
      </c>
      <c r="B11" t="s">
        <v>3215</v>
      </c>
      <c r="C11" t="s">
        <v>3216</v>
      </c>
      <c r="D11" t="s">
        <v>3221</v>
      </c>
      <c r="E11" t="s">
        <v>3222</v>
      </c>
      <c r="F11" t="s">
        <v>3219</v>
      </c>
      <c r="G11" t="s">
        <v>148</v>
      </c>
    </row>
    <row r="12" ht="11.25" customHeight="1">
      <c r="A12" s="373" t="s">
        <v>16</v>
      </c>
      <c r="B12" t="s">
        <v>3215</v>
      </c>
      <c r="C12" t="s">
        <v>3216</v>
      </c>
      <c r="D12" t="s">
        <v>3223</v>
      </c>
      <c r="E12" t="s">
        <v>3224</v>
      </c>
      <c r="F12" t="s">
        <v>3225</v>
      </c>
      <c r="G12" t="s">
        <v>149</v>
      </c>
    </row>
    <row r="13" ht="11.25" customHeight="1">
      <c r="A13" s="373" t="s">
        <v>16</v>
      </c>
      <c r="B13" t="s">
        <v>3215</v>
      </c>
      <c r="C13" t="s">
        <v>3216</v>
      </c>
      <c r="D13" t="s">
        <v>3226</v>
      </c>
      <c r="E13" t="s">
        <v>3227</v>
      </c>
      <c r="F13" t="s">
        <v>3219</v>
      </c>
      <c r="G13" t="s">
        <v>150</v>
      </c>
    </row>
    <row r="14" ht="11.25" customHeight="1">
      <c r="A14" s="373" t="s">
        <v>16</v>
      </c>
      <c r="B14" t="s">
        <v>3215</v>
      </c>
      <c r="C14" t="s">
        <v>3216</v>
      </c>
      <c r="D14" t="s">
        <v>3228</v>
      </c>
      <c r="E14" t="s">
        <v>3229</v>
      </c>
      <c r="F14" t="s">
        <v>3219</v>
      </c>
      <c r="G14" t="s">
        <v>151</v>
      </c>
    </row>
    <row r="15" ht="11.25" customHeight="1">
      <c r="A15" s="373" t="s">
        <v>16</v>
      </c>
      <c r="B15" t="s">
        <v>3215</v>
      </c>
      <c r="C15" t="s">
        <v>3216</v>
      </c>
      <c r="D15" t="s">
        <v>3230</v>
      </c>
      <c r="E15" t="s">
        <v>3231</v>
      </c>
      <c r="F15" t="s">
        <v>3219</v>
      </c>
      <c r="G15" t="s">
        <v>152</v>
      </c>
    </row>
    <row r="16" ht="11.25" customHeight="1">
      <c r="A16" s="373" t="s">
        <v>16</v>
      </c>
      <c r="B16" t="s">
        <v>3215</v>
      </c>
      <c r="C16" t="s">
        <v>3216</v>
      </c>
      <c r="D16" t="s">
        <v>3232</v>
      </c>
      <c r="E16" t="s">
        <v>3233</v>
      </c>
      <c r="F16" t="s">
        <v>3219</v>
      </c>
      <c r="G16" t="s">
        <v>1468</v>
      </c>
    </row>
    <row r="17" ht="11.25" customHeight="1">
      <c r="A17" s="373" t="s">
        <v>16</v>
      </c>
      <c r="B17" t="s">
        <v>3234</v>
      </c>
      <c r="C17" t="s">
        <v>3235</v>
      </c>
      <c r="D17" t="s">
        <v>3234</v>
      </c>
      <c r="E17" t="s">
        <v>3235</v>
      </c>
      <c r="F17" t="s">
        <v>3203</v>
      </c>
      <c r="G17" t="s">
        <v>1474</v>
      </c>
    </row>
    <row r="18" ht="11.25" customHeight="1">
      <c r="A18" s="373" t="s">
        <v>16</v>
      </c>
      <c r="B18" t="s">
        <v>3236</v>
      </c>
      <c r="C18" t="s">
        <v>3237</v>
      </c>
      <c r="D18" t="s">
        <v>3238</v>
      </c>
      <c r="E18" t="s">
        <v>3239</v>
      </c>
      <c r="F18" t="s">
        <v>3219</v>
      </c>
      <c r="G18" t="s">
        <v>1486</v>
      </c>
    </row>
    <row r="19" ht="11.25" customHeight="1">
      <c r="A19" s="373" t="s">
        <v>16</v>
      </c>
      <c r="B19" t="s">
        <v>3236</v>
      </c>
      <c r="C19" t="s">
        <v>3237</v>
      </c>
      <c r="D19" t="s">
        <v>3240</v>
      </c>
      <c r="E19" t="s">
        <v>3241</v>
      </c>
      <c r="F19" t="s">
        <v>3242</v>
      </c>
      <c r="G19" t="s">
        <v>1500</v>
      </c>
    </row>
    <row r="20" ht="11.25" customHeight="1">
      <c r="A20" s="373" t="s">
        <v>16</v>
      </c>
      <c r="B20" t="s">
        <v>3236</v>
      </c>
      <c r="C20" t="s">
        <v>3237</v>
      </c>
      <c r="D20" t="s">
        <v>3236</v>
      </c>
      <c r="E20" t="s">
        <v>3237</v>
      </c>
      <c r="F20" t="s">
        <v>3220</v>
      </c>
      <c r="G20" t="s">
        <v>1512</v>
      </c>
    </row>
    <row r="21" ht="11.25" customHeight="1">
      <c r="A21" s="373" t="s">
        <v>16</v>
      </c>
      <c r="B21" t="s">
        <v>3236</v>
      </c>
      <c r="C21" t="s">
        <v>3237</v>
      </c>
      <c r="D21" t="s">
        <v>3243</v>
      </c>
      <c r="E21" t="s">
        <v>3244</v>
      </c>
      <c r="F21" t="s">
        <v>3242</v>
      </c>
      <c r="G21" t="s">
        <v>1521</v>
      </c>
    </row>
    <row r="22" ht="11.25" customHeight="1">
      <c r="A22" s="373" t="s">
        <v>16</v>
      </c>
      <c r="B22" t="s">
        <v>3236</v>
      </c>
      <c r="C22" t="s">
        <v>3237</v>
      </c>
      <c r="D22" t="s">
        <v>3245</v>
      </c>
      <c r="E22" t="s">
        <v>3246</v>
      </c>
      <c r="F22" t="s">
        <v>3219</v>
      </c>
      <c r="G22" t="s">
        <v>1537</v>
      </c>
    </row>
    <row r="23" ht="11.25" customHeight="1">
      <c r="A23" s="373" t="s">
        <v>16</v>
      </c>
      <c r="B23" t="s">
        <v>3236</v>
      </c>
      <c r="C23" t="s">
        <v>3237</v>
      </c>
      <c r="D23" t="s">
        <v>3247</v>
      </c>
      <c r="E23" t="s">
        <v>3248</v>
      </c>
      <c r="F23" t="s">
        <v>3225</v>
      </c>
      <c r="G23" t="s">
        <v>1544</v>
      </c>
    </row>
    <row r="24" ht="11.25" customHeight="1">
      <c r="A24" s="373" t="s">
        <v>16</v>
      </c>
      <c r="B24" t="s">
        <v>3236</v>
      </c>
      <c r="C24" t="s">
        <v>3237</v>
      </c>
      <c r="D24" t="s">
        <v>3249</v>
      </c>
      <c r="E24" t="s">
        <v>3250</v>
      </c>
      <c r="F24" t="s">
        <v>3219</v>
      </c>
      <c r="G24" t="s">
        <v>1552</v>
      </c>
    </row>
    <row r="25" ht="11.25" customHeight="1">
      <c r="A25" s="373" t="s">
        <v>16</v>
      </c>
      <c r="B25" t="s">
        <v>3236</v>
      </c>
      <c r="C25" t="s">
        <v>3237</v>
      </c>
      <c r="D25" t="s">
        <v>3251</v>
      </c>
      <c r="E25" t="s">
        <v>3252</v>
      </c>
      <c r="F25" t="s">
        <v>3219</v>
      </c>
      <c r="G25" t="s">
        <v>1559</v>
      </c>
    </row>
    <row r="26" ht="11.25" customHeight="1">
      <c r="A26" s="373" t="s">
        <v>16</v>
      </c>
      <c r="B26" t="s">
        <v>3253</v>
      </c>
      <c r="C26" t="s">
        <v>3254</v>
      </c>
      <c r="D26" t="s">
        <v>3253</v>
      </c>
      <c r="E26" t="s">
        <v>3254</v>
      </c>
      <c r="F26" t="s">
        <v>3203</v>
      </c>
      <c r="G26" t="s">
        <v>1563</v>
      </c>
    </row>
    <row r="27" ht="11.25" customHeight="1">
      <c r="A27" s="373" t="s">
        <v>16</v>
      </c>
      <c r="B27" t="s">
        <v>3255</v>
      </c>
      <c r="C27" t="s">
        <v>3256</v>
      </c>
      <c r="D27" t="s">
        <v>3257</v>
      </c>
      <c r="E27" t="s">
        <v>3258</v>
      </c>
      <c r="F27" t="s">
        <v>3242</v>
      </c>
      <c r="G27" t="s">
        <v>1568</v>
      </c>
    </row>
    <row r="28" ht="11.25" customHeight="1">
      <c r="A28" s="373" t="s">
        <v>16</v>
      </c>
      <c r="B28" t="s">
        <v>3255</v>
      </c>
      <c r="C28" t="s">
        <v>3256</v>
      </c>
      <c r="D28" t="s">
        <v>3259</v>
      </c>
      <c r="E28" t="s">
        <v>3260</v>
      </c>
      <c r="F28" t="s">
        <v>3219</v>
      </c>
      <c r="G28" t="s">
        <v>1576</v>
      </c>
    </row>
    <row r="29" ht="11.25" customHeight="1">
      <c r="A29" s="373" t="s">
        <v>16</v>
      </c>
      <c r="B29" t="s">
        <v>3255</v>
      </c>
      <c r="C29" t="s">
        <v>3256</v>
      </c>
      <c r="D29" t="s">
        <v>3261</v>
      </c>
      <c r="E29" t="s">
        <v>3262</v>
      </c>
      <c r="F29" t="s">
        <v>3219</v>
      </c>
      <c r="G29" t="s">
        <v>1578</v>
      </c>
    </row>
    <row r="30" ht="11.25" customHeight="1">
      <c r="A30" s="373" t="s">
        <v>16</v>
      </c>
      <c r="B30" t="s">
        <v>3255</v>
      </c>
      <c r="C30" t="s">
        <v>3256</v>
      </c>
      <c r="D30" t="s">
        <v>3263</v>
      </c>
      <c r="E30" t="s">
        <v>3264</v>
      </c>
      <c r="F30" t="s">
        <v>3219</v>
      </c>
      <c r="G30" t="s">
        <v>1581</v>
      </c>
    </row>
    <row r="31" ht="11.25" customHeight="1">
      <c r="A31" s="373" t="s">
        <v>16</v>
      </c>
      <c r="B31" t="s">
        <v>3255</v>
      </c>
      <c r="C31" t="s">
        <v>3256</v>
      </c>
      <c r="D31" t="s">
        <v>3265</v>
      </c>
      <c r="E31" t="s">
        <v>3266</v>
      </c>
      <c r="F31" t="s">
        <v>3219</v>
      </c>
      <c r="G31" t="s">
        <v>1587</v>
      </c>
    </row>
    <row r="32" ht="11.25" customHeight="1">
      <c r="A32" s="373" t="s">
        <v>16</v>
      </c>
      <c r="B32" t="s">
        <v>3255</v>
      </c>
      <c r="C32" t="s">
        <v>3256</v>
      </c>
      <c r="D32" t="s">
        <v>3255</v>
      </c>
      <c r="E32" t="s">
        <v>3256</v>
      </c>
      <c r="F32" t="s">
        <v>3220</v>
      </c>
      <c r="G32" t="s">
        <v>1589</v>
      </c>
    </row>
    <row r="33" ht="11.25" customHeight="1">
      <c r="A33" s="373" t="s">
        <v>16</v>
      </c>
      <c r="B33" t="s">
        <v>3255</v>
      </c>
      <c r="C33" t="s">
        <v>3256</v>
      </c>
      <c r="D33" t="s">
        <v>3267</v>
      </c>
      <c r="E33" t="s">
        <v>3268</v>
      </c>
      <c r="F33" t="s">
        <v>3219</v>
      </c>
      <c r="G33" t="s">
        <v>1591</v>
      </c>
    </row>
    <row r="34" ht="11.25" customHeight="1">
      <c r="A34" s="373" t="s">
        <v>16</v>
      </c>
      <c r="B34" t="s">
        <v>3255</v>
      </c>
      <c r="C34" t="s">
        <v>3256</v>
      </c>
      <c r="D34" t="s">
        <v>3269</v>
      </c>
      <c r="E34" t="s">
        <v>3270</v>
      </c>
      <c r="F34" t="s">
        <v>3219</v>
      </c>
      <c r="G34" t="s">
        <v>1593</v>
      </c>
    </row>
    <row r="35" ht="11.25" customHeight="1">
      <c r="A35" s="373" t="s">
        <v>16</v>
      </c>
      <c r="B35" t="s">
        <v>3255</v>
      </c>
      <c r="C35" t="s">
        <v>3256</v>
      </c>
      <c r="D35" t="s">
        <v>3271</v>
      </c>
      <c r="E35" t="s">
        <v>3272</v>
      </c>
      <c r="F35" t="s">
        <v>3219</v>
      </c>
      <c r="G35" t="s">
        <v>1598</v>
      </c>
    </row>
    <row r="36" ht="11.25" customHeight="1">
      <c r="A36" s="373" t="s">
        <v>16</v>
      </c>
      <c r="B36" t="s">
        <v>3255</v>
      </c>
      <c r="C36" t="s">
        <v>3256</v>
      </c>
      <c r="D36" t="s">
        <v>3273</v>
      </c>
      <c r="E36" t="s">
        <v>3274</v>
      </c>
      <c r="F36" t="s">
        <v>3219</v>
      </c>
      <c r="G36" t="s">
        <v>1603</v>
      </c>
    </row>
    <row r="37" ht="11.25" customHeight="1">
      <c r="A37" s="373" t="s">
        <v>16</v>
      </c>
      <c r="B37" t="s">
        <v>3255</v>
      </c>
      <c r="C37" t="s">
        <v>3256</v>
      </c>
      <c r="D37" t="s">
        <v>3275</v>
      </c>
      <c r="E37" t="s">
        <v>3276</v>
      </c>
      <c r="F37" t="s">
        <v>3219</v>
      </c>
      <c r="G37" t="s">
        <v>1607</v>
      </c>
    </row>
    <row r="38" ht="11.25" customHeight="1">
      <c r="A38" s="373" t="s">
        <v>16</v>
      </c>
      <c r="B38" t="s">
        <v>3277</v>
      </c>
      <c r="C38" t="s">
        <v>3278</v>
      </c>
      <c r="D38" t="s">
        <v>3277</v>
      </c>
      <c r="E38" t="s">
        <v>3278</v>
      </c>
      <c r="F38" t="s">
        <v>3203</v>
      </c>
      <c r="G38" t="s">
        <v>1615</v>
      </c>
    </row>
    <row r="39" ht="11.25" customHeight="1">
      <c r="A39" s="373" t="s">
        <v>16</v>
      </c>
      <c r="B39" t="s">
        <v>3279</v>
      </c>
      <c r="C39" t="s">
        <v>3280</v>
      </c>
      <c r="D39" t="s">
        <v>3279</v>
      </c>
      <c r="E39" t="s">
        <v>3280</v>
      </c>
      <c r="F39" t="s">
        <v>3206</v>
      </c>
      <c r="G39" t="s">
        <v>1621</v>
      </c>
    </row>
    <row r="40" ht="11.25" customHeight="1">
      <c r="A40" s="373" t="s">
        <v>16</v>
      </c>
      <c r="B40" t="s">
        <v>3281</v>
      </c>
      <c r="C40" t="s">
        <v>3282</v>
      </c>
      <c r="D40" t="s">
        <v>3281</v>
      </c>
      <c r="E40" t="s">
        <v>3282</v>
      </c>
      <c r="F40" t="s">
        <v>3203</v>
      </c>
      <c r="G40" t="s">
        <v>1626</v>
      </c>
    </row>
    <row r="41" ht="11.25" customHeight="1">
      <c r="A41" s="373" t="s">
        <v>16</v>
      </c>
      <c r="B41" t="s">
        <v>3283</v>
      </c>
      <c r="C41" t="s">
        <v>3284</v>
      </c>
      <c r="D41" t="s">
        <v>3285</v>
      </c>
      <c r="E41" t="s">
        <v>3286</v>
      </c>
      <c r="F41" t="s">
        <v>3219</v>
      </c>
      <c r="G41" t="s">
        <v>1630</v>
      </c>
    </row>
    <row r="42" ht="11.25" customHeight="1">
      <c r="A42" s="373" t="s">
        <v>16</v>
      </c>
      <c r="B42" t="s">
        <v>3283</v>
      </c>
      <c r="C42" t="s">
        <v>3284</v>
      </c>
      <c r="D42" t="s">
        <v>3287</v>
      </c>
      <c r="E42" t="s">
        <v>3288</v>
      </c>
      <c r="F42" t="s">
        <v>3219</v>
      </c>
      <c r="G42" t="s">
        <v>1633</v>
      </c>
    </row>
    <row r="43" ht="11.25" customHeight="1">
      <c r="A43" s="373" t="s">
        <v>16</v>
      </c>
      <c r="B43" t="s">
        <v>3283</v>
      </c>
      <c r="C43" t="s">
        <v>3284</v>
      </c>
      <c r="D43" t="s">
        <v>3289</v>
      </c>
      <c r="E43" t="s">
        <v>3290</v>
      </c>
      <c r="F43" t="s">
        <v>3219</v>
      </c>
      <c r="G43" t="s">
        <v>1640</v>
      </c>
    </row>
    <row r="44" ht="11.25" customHeight="1">
      <c r="A44" s="373" t="s">
        <v>16</v>
      </c>
      <c r="B44" t="s">
        <v>3283</v>
      </c>
      <c r="C44" t="s">
        <v>3284</v>
      </c>
      <c r="D44" t="s">
        <v>3283</v>
      </c>
      <c r="E44" t="s">
        <v>3284</v>
      </c>
      <c r="F44" t="s">
        <v>3220</v>
      </c>
      <c r="G44" t="s">
        <v>1649</v>
      </c>
    </row>
    <row r="45" ht="11.25" customHeight="1">
      <c r="A45" s="373" t="s">
        <v>16</v>
      </c>
      <c r="B45" t="s">
        <v>3283</v>
      </c>
      <c r="C45" t="s">
        <v>3284</v>
      </c>
      <c r="D45" t="s">
        <v>3291</v>
      </c>
      <c r="E45" t="s">
        <v>3292</v>
      </c>
      <c r="F45" t="s">
        <v>3219</v>
      </c>
      <c r="G45" t="s">
        <v>1654</v>
      </c>
    </row>
    <row r="46" ht="11.25" customHeight="1">
      <c r="A46" s="373" t="s">
        <v>16</v>
      </c>
      <c r="B46" t="s">
        <v>3283</v>
      </c>
      <c r="C46" t="s">
        <v>3284</v>
      </c>
      <c r="D46" t="s">
        <v>3293</v>
      </c>
      <c r="E46" t="s">
        <v>3294</v>
      </c>
      <c r="F46" t="s">
        <v>3242</v>
      </c>
      <c r="G46" t="s">
        <v>1658</v>
      </c>
    </row>
    <row r="47" ht="11.25" customHeight="1">
      <c r="A47" s="373" t="s">
        <v>16</v>
      </c>
      <c r="B47" t="s">
        <v>3283</v>
      </c>
      <c r="C47" t="s">
        <v>3284</v>
      </c>
      <c r="D47" t="s">
        <v>3295</v>
      </c>
      <c r="E47" t="s">
        <v>3296</v>
      </c>
      <c r="F47" t="s">
        <v>3219</v>
      </c>
      <c r="G47" t="s">
        <v>1664</v>
      </c>
    </row>
    <row r="48" ht="11.25" customHeight="1">
      <c r="A48" s="373" t="s">
        <v>16</v>
      </c>
      <c r="B48" t="s">
        <v>3283</v>
      </c>
      <c r="C48" t="s">
        <v>3284</v>
      </c>
      <c r="D48" t="s">
        <v>3297</v>
      </c>
      <c r="E48" t="s">
        <v>3298</v>
      </c>
      <c r="F48" t="s">
        <v>3219</v>
      </c>
      <c r="G48" t="s">
        <v>1668</v>
      </c>
    </row>
    <row r="49" ht="11.25" customHeight="1">
      <c r="A49" s="373" t="s">
        <v>16</v>
      </c>
      <c r="B49" t="s">
        <v>3299</v>
      </c>
      <c r="C49" t="s">
        <v>3300</v>
      </c>
      <c r="D49" t="s">
        <v>3299</v>
      </c>
      <c r="E49" t="s">
        <v>3300</v>
      </c>
      <c r="F49" t="s">
        <v>3220</v>
      </c>
      <c r="G49" t="s">
        <v>1671</v>
      </c>
    </row>
    <row r="50" ht="11.25" customHeight="1">
      <c r="A50" s="373" t="s">
        <v>16</v>
      </c>
      <c r="B50" t="s">
        <v>3299</v>
      </c>
      <c r="C50" t="s">
        <v>3300</v>
      </c>
      <c r="D50" t="s">
        <v>3301</v>
      </c>
      <c r="E50" t="s">
        <v>3302</v>
      </c>
      <c r="F50" t="s">
        <v>3219</v>
      </c>
      <c r="G50" t="s">
        <v>1674</v>
      </c>
    </row>
    <row r="51" ht="11.25" customHeight="1">
      <c r="A51" s="373" t="s">
        <v>16</v>
      </c>
      <c r="B51" t="s">
        <v>3299</v>
      </c>
      <c r="C51" t="s">
        <v>3300</v>
      </c>
      <c r="D51" t="s">
        <v>3303</v>
      </c>
      <c r="E51" t="s">
        <v>3304</v>
      </c>
      <c r="F51" t="s">
        <v>3219</v>
      </c>
      <c r="G51" t="s">
        <v>1679</v>
      </c>
    </row>
    <row r="52" ht="11.25" customHeight="1">
      <c r="A52" s="373" t="s">
        <v>16</v>
      </c>
      <c r="B52" t="s">
        <v>3299</v>
      </c>
      <c r="C52" t="s">
        <v>3300</v>
      </c>
      <c r="D52" t="s">
        <v>3305</v>
      </c>
      <c r="E52" t="s">
        <v>3306</v>
      </c>
      <c r="F52" t="s">
        <v>3219</v>
      </c>
      <c r="G52" t="s">
        <v>1683</v>
      </c>
    </row>
    <row r="53" ht="11.25" customHeight="1">
      <c r="A53" s="373" t="s">
        <v>16</v>
      </c>
      <c r="B53" t="s">
        <v>3307</v>
      </c>
      <c r="C53" t="s">
        <v>3308</v>
      </c>
      <c r="D53" t="s">
        <v>3307</v>
      </c>
      <c r="E53" t="s">
        <v>3308</v>
      </c>
      <c r="F53" t="s">
        <v>3206</v>
      </c>
      <c r="G53" t="s">
        <v>1685</v>
      </c>
    </row>
    <row r="54" ht="11.25" customHeight="1">
      <c r="A54" s="373" t="s">
        <v>16</v>
      </c>
      <c r="B54" t="s">
        <v>3309</v>
      </c>
      <c r="C54" t="s">
        <v>3310</v>
      </c>
      <c r="D54" t="s">
        <v>3309</v>
      </c>
      <c r="E54" t="s">
        <v>3310</v>
      </c>
      <c r="F54" t="s">
        <v>3203</v>
      </c>
      <c r="G54" t="s">
        <v>1688</v>
      </c>
    </row>
    <row r="55" ht="11.25" customHeight="1">
      <c r="A55" s="373" t="s">
        <v>16</v>
      </c>
      <c r="B55" t="s">
        <v>3311</v>
      </c>
      <c r="C55" t="s">
        <v>3312</v>
      </c>
      <c r="D55" t="s">
        <v>3311</v>
      </c>
      <c r="E55" t="s">
        <v>3312</v>
      </c>
      <c r="F55" t="s">
        <v>3203</v>
      </c>
      <c r="G55" t="s">
        <v>1692</v>
      </c>
    </row>
    <row r="56" ht="11.25" customHeight="1">
      <c r="A56" s="373" t="s">
        <v>16</v>
      </c>
      <c r="B56" t="s">
        <v>3313</v>
      </c>
      <c r="C56" t="s">
        <v>3314</v>
      </c>
      <c r="D56" t="s">
        <v>3313</v>
      </c>
      <c r="E56" t="s">
        <v>3314</v>
      </c>
      <c r="F56" t="s">
        <v>3206</v>
      </c>
      <c r="G56" t="s">
        <v>1695</v>
      </c>
    </row>
    <row r="57" ht="11.25" customHeight="1">
      <c r="A57" s="373" t="s">
        <v>16</v>
      </c>
      <c r="B57" t="s">
        <v>3315</v>
      </c>
      <c r="C57" t="s">
        <v>3316</v>
      </c>
      <c r="D57" t="s">
        <v>3315</v>
      </c>
      <c r="E57" t="s">
        <v>3316</v>
      </c>
      <c r="F57" t="s">
        <v>3203</v>
      </c>
      <c r="G57" t="s">
        <v>1698</v>
      </c>
    </row>
    <row r="58" ht="11.25" customHeight="1">
      <c r="A58" s="373" t="s">
        <v>16</v>
      </c>
      <c r="B58" t="s">
        <v>3317</v>
      </c>
      <c r="C58" t="s">
        <v>3318</v>
      </c>
      <c r="D58" t="s">
        <v>3319</v>
      </c>
      <c r="E58" t="s">
        <v>3320</v>
      </c>
      <c r="F58" t="s">
        <v>3219</v>
      </c>
      <c r="G58" t="s">
        <v>1701</v>
      </c>
    </row>
    <row r="59" ht="11.25" customHeight="1">
      <c r="A59" s="373" t="s">
        <v>16</v>
      </c>
      <c r="B59" t="s">
        <v>3317</v>
      </c>
      <c r="C59" t="s">
        <v>3318</v>
      </c>
      <c r="D59" t="s">
        <v>3321</v>
      </c>
      <c r="E59" t="s">
        <v>3322</v>
      </c>
      <c r="F59" t="s">
        <v>3219</v>
      </c>
      <c r="G59" t="s">
        <v>1705</v>
      </c>
    </row>
    <row r="60" ht="11.25" customHeight="1">
      <c r="A60" s="373" t="s">
        <v>16</v>
      </c>
      <c r="B60" t="s">
        <v>3317</v>
      </c>
      <c r="C60" t="s">
        <v>3318</v>
      </c>
      <c r="D60" t="s">
        <v>3323</v>
      </c>
      <c r="E60" t="s">
        <v>3324</v>
      </c>
      <c r="F60" t="s">
        <v>3219</v>
      </c>
      <c r="G60" t="s">
        <v>1708</v>
      </c>
    </row>
    <row r="61" ht="11.25" customHeight="1">
      <c r="A61" s="373" t="s">
        <v>16</v>
      </c>
      <c r="B61" t="s">
        <v>3317</v>
      </c>
      <c r="C61" t="s">
        <v>3318</v>
      </c>
      <c r="D61" t="s">
        <v>3325</v>
      </c>
      <c r="E61" t="s">
        <v>3326</v>
      </c>
      <c r="F61" t="s">
        <v>3225</v>
      </c>
      <c r="G61" t="s">
        <v>3327</v>
      </c>
    </row>
    <row r="62" ht="11.25" customHeight="1">
      <c r="A62" s="373" t="s">
        <v>16</v>
      </c>
      <c r="B62" t="s">
        <v>3317</v>
      </c>
      <c r="C62" t="s">
        <v>3318</v>
      </c>
      <c r="D62" t="s">
        <v>3328</v>
      </c>
      <c r="E62" t="s">
        <v>3329</v>
      </c>
      <c r="F62" t="s">
        <v>3219</v>
      </c>
      <c r="G62" t="s">
        <v>3330</v>
      </c>
    </row>
    <row r="63" ht="11.25" customHeight="1">
      <c r="A63" s="373" t="s">
        <v>16</v>
      </c>
      <c r="B63" t="s">
        <v>3317</v>
      </c>
      <c r="C63" t="s">
        <v>3318</v>
      </c>
      <c r="D63" t="s">
        <v>3331</v>
      </c>
      <c r="E63" t="s">
        <v>3332</v>
      </c>
      <c r="F63" t="s">
        <v>3219</v>
      </c>
      <c r="G63" t="s">
        <v>3333</v>
      </c>
    </row>
    <row r="64" ht="11.25" customHeight="1">
      <c r="A64" s="373" t="s">
        <v>16</v>
      </c>
      <c r="B64" t="s">
        <v>3317</v>
      </c>
      <c r="C64" t="s">
        <v>3318</v>
      </c>
      <c r="D64" t="s">
        <v>3317</v>
      </c>
      <c r="E64" t="s">
        <v>3318</v>
      </c>
      <c r="F64" t="s">
        <v>3220</v>
      </c>
      <c r="G64" t="s">
        <v>3334</v>
      </c>
    </row>
    <row r="65" ht="11.25" customHeight="1">
      <c r="A65" s="373" t="s">
        <v>16</v>
      </c>
      <c r="B65" t="s">
        <v>3317</v>
      </c>
      <c r="C65" t="s">
        <v>3318</v>
      </c>
      <c r="D65" t="s">
        <v>3335</v>
      </c>
      <c r="E65" t="s">
        <v>3336</v>
      </c>
      <c r="F65" t="s">
        <v>3219</v>
      </c>
      <c r="G65" t="s">
        <v>3337</v>
      </c>
    </row>
    <row r="66" ht="11.25" customHeight="1">
      <c r="A66" s="373" t="s">
        <v>16</v>
      </c>
      <c r="B66" t="s">
        <v>3338</v>
      </c>
      <c r="C66" t="s">
        <v>3339</v>
      </c>
      <c r="D66" t="s">
        <v>3338</v>
      </c>
      <c r="E66" t="s">
        <v>3339</v>
      </c>
      <c r="F66" t="s">
        <v>3203</v>
      </c>
      <c r="G66" t="s">
        <v>3340</v>
      </c>
    </row>
    <row r="67" ht="11.25" customHeight="1">
      <c r="A67" s="373" t="s">
        <v>16</v>
      </c>
      <c r="B67" t="s">
        <v>3341</v>
      </c>
      <c r="C67" t="s">
        <v>3342</v>
      </c>
      <c r="D67" t="s">
        <v>3341</v>
      </c>
      <c r="E67" t="s">
        <v>3342</v>
      </c>
      <c r="F67" t="s">
        <v>3203</v>
      </c>
      <c r="G67" t="s">
        <v>2025</v>
      </c>
    </row>
    <row r="68" ht="11.25" customHeight="1">
      <c r="A68" s="373" t="s">
        <v>16</v>
      </c>
      <c r="B68" t="s">
        <v>3343</v>
      </c>
      <c r="C68" t="s">
        <v>3344</v>
      </c>
      <c r="D68" t="s">
        <v>3345</v>
      </c>
      <c r="E68" t="s">
        <v>3346</v>
      </c>
      <c r="F68" t="s">
        <v>3219</v>
      </c>
      <c r="G68" t="s">
        <v>3347</v>
      </c>
    </row>
    <row r="69" ht="11.25" customHeight="1">
      <c r="A69" s="373" t="s">
        <v>16</v>
      </c>
      <c r="B69" t="s">
        <v>3343</v>
      </c>
      <c r="C69" t="s">
        <v>3344</v>
      </c>
      <c r="D69" t="s">
        <v>3348</v>
      </c>
      <c r="E69" t="s">
        <v>3349</v>
      </c>
      <c r="F69" t="s">
        <v>3219</v>
      </c>
      <c r="G69" t="s">
        <v>2228</v>
      </c>
    </row>
    <row r="70" ht="11.25" customHeight="1">
      <c r="A70" s="373" t="s">
        <v>16</v>
      </c>
      <c r="B70" t="s">
        <v>3343</v>
      </c>
      <c r="C70" t="s">
        <v>3344</v>
      </c>
      <c r="D70" t="s">
        <v>3350</v>
      </c>
      <c r="E70" t="s">
        <v>3351</v>
      </c>
      <c r="F70" t="s">
        <v>3219</v>
      </c>
      <c r="G70" t="s">
        <v>3352</v>
      </c>
    </row>
    <row r="71" ht="11.25" customHeight="1">
      <c r="A71" s="373" t="s">
        <v>16</v>
      </c>
      <c r="B71" t="s">
        <v>3343</v>
      </c>
      <c r="C71" t="s">
        <v>3344</v>
      </c>
      <c r="D71" t="s">
        <v>3353</v>
      </c>
      <c r="E71" t="s">
        <v>3354</v>
      </c>
      <c r="F71" t="s">
        <v>3219</v>
      </c>
      <c r="G71" t="s">
        <v>3355</v>
      </c>
    </row>
    <row r="72" ht="11.25" customHeight="1">
      <c r="A72" s="373" t="s">
        <v>16</v>
      </c>
      <c r="B72" t="s">
        <v>3343</v>
      </c>
      <c r="C72" t="s">
        <v>3344</v>
      </c>
      <c r="D72" t="s">
        <v>3356</v>
      </c>
      <c r="E72" t="s">
        <v>3357</v>
      </c>
      <c r="F72" t="s">
        <v>3219</v>
      </c>
      <c r="G72" t="s">
        <v>3358</v>
      </c>
    </row>
    <row r="73" ht="11.25" customHeight="1">
      <c r="A73" s="373" t="s">
        <v>16</v>
      </c>
      <c r="B73" t="s">
        <v>3343</v>
      </c>
      <c r="C73" t="s">
        <v>3344</v>
      </c>
      <c r="D73" t="s">
        <v>3343</v>
      </c>
      <c r="E73" t="s">
        <v>3344</v>
      </c>
      <c r="F73" t="s">
        <v>3220</v>
      </c>
      <c r="G73" t="s">
        <v>3359</v>
      </c>
    </row>
    <row r="74" ht="11.25" customHeight="1">
      <c r="A74" s="373" t="s">
        <v>16</v>
      </c>
      <c r="B74" t="s">
        <v>3343</v>
      </c>
      <c r="C74" t="s">
        <v>3344</v>
      </c>
      <c r="D74" t="s">
        <v>3360</v>
      </c>
      <c r="E74" t="s">
        <v>3361</v>
      </c>
      <c r="F74" t="s">
        <v>3219</v>
      </c>
      <c r="G74" t="s">
        <v>3362</v>
      </c>
    </row>
    <row r="75" ht="11.25" customHeight="1">
      <c r="A75" s="373" t="s">
        <v>16</v>
      </c>
      <c r="B75" t="s">
        <v>3343</v>
      </c>
      <c r="C75" t="s">
        <v>3344</v>
      </c>
      <c r="D75" t="s">
        <v>3363</v>
      </c>
      <c r="E75" t="s">
        <v>3364</v>
      </c>
      <c r="F75" t="s">
        <v>3219</v>
      </c>
      <c r="G75" t="s">
        <v>3365</v>
      </c>
    </row>
    <row r="76" ht="11.25" customHeight="1">
      <c r="A76" s="373" t="s">
        <v>16</v>
      </c>
      <c r="B76" t="s">
        <v>3343</v>
      </c>
      <c r="C76" t="s">
        <v>3344</v>
      </c>
      <c r="D76" t="s">
        <v>3366</v>
      </c>
      <c r="E76" t="s">
        <v>3367</v>
      </c>
      <c r="F76" t="s">
        <v>3219</v>
      </c>
      <c r="G76" t="s">
        <v>3368</v>
      </c>
    </row>
    <row r="77" ht="11.25" customHeight="1">
      <c r="A77" s="373" t="s">
        <v>16</v>
      </c>
      <c r="B77" t="s">
        <v>3369</v>
      </c>
      <c r="C77" t="s">
        <v>3370</v>
      </c>
      <c r="D77" t="s">
        <v>3369</v>
      </c>
      <c r="E77" t="s">
        <v>3370</v>
      </c>
      <c r="F77" t="s">
        <v>3203</v>
      </c>
      <c r="G77" t="s">
        <v>3371</v>
      </c>
    </row>
    <row r="78" ht="11.25" customHeight="1">
      <c r="A78" s="373" t="s">
        <v>16</v>
      </c>
      <c r="B78" t="s">
        <v>3372</v>
      </c>
      <c r="C78" t="s">
        <v>3373</v>
      </c>
      <c r="D78" t="s">
        <v>3372</v>
      </c>
      <c r="E78" t="s">
        <v>3373</v>
      </c>
      <c r="F78" t="s">
        <v>3206</v>
      </c>
      <c r="G78" t="s">
        <v>3374</v>
      </c>
    </row>
    <row r="79" ht="11.25" customHeight="1">
      <c r="A79" s="373" t="s">
        <v>16</v>
      </c>
      <c r="B79" t="s">
        <v>3375</v>
      </c>
      <c r="C79" t="s">
        <v>3376</v>
      </c>
      <c r="D79" t="s">
        <v>3375</v>
      </c>
      <c r="E79" t="s">
        <v>3376</v>
      </c>
      <c r="F79" t="s">
        <v>3203</v>
      </c>
      <c r="G79" t="s">
        <v>3377</v>
      </c>
    </row>
    <row r="80" ht="11.25" customHeight="1">
      <c r="A80" s="373" t="s">
        <v>16</v>
      </c>
      <c r="B80" t="s">
        <v>3378</v>
      </c>
      <c r="C80" t="s">
        <v>3379</v>
      </c>
      <c r="D80" t="s">
        <v>3378</v>
      </c>
      <c r="E80" t="s">
        <v>3379</v>
      </c>
      <c r="F80" t="s">
        <v>3203</v>
      </c>
      <c r="G80" t="s">
        <v>3380</v>
      </c>
    </row>
    <row r="81" ht="11.25" customHeight="1">
      <c r="A81" s="373" t="s">
        <v>16</v>
      </c>
      <c r="B81" t="s">
        <v>3381</v>
      </c>
      <c r="C81" t="s">
        <v>3382</v>
      </c>
      <c r="D81" t="s">
        <v>3381</v>
      </c>
      <c r="E81" t="s">
        <v>3382</v>
      </c>
      <c r="F81" t="s">
        <v>3203</v>
      </c>
      <c r="G81" t="s">
        <v>3383</v>
      </c>
    </row>
    <row r="82" ht="11.25" customHeight="1">
      <c r="A82" s="373" t="s">
        <v>16</v>
      </c>
      <c r="B82" t="s">
        <v>3384</v>
      </c>
      <c r="C82" t="s">
        <v>3385</v>
      </c>
      <c r="D82" t="s">
        <v>3384</v>
      </c>
      <c r="E82" t="s">
        <v>3385</v>
      </c>
      <c r="F82" t="s">
        <v>3203</v>
      </c>
      <c r="G82" t="s">
        <v>3386</v>
      </c>
    </row>
    <row r="83" ht="11.25" customHeight="1">
      <c r="A83" s="373" t="s">
        <v>16</v>
      </c>
      <c r="B83" t="s">
        <v>3387</v>
      </c>
      <c r="C83" t="s">
        <v>3388</v>
      </c>
      <c r="D83" t="s">
        <v>3389</v>
      </c>
      <c r="E83" t="s">
        <v>3390</v>
      </c>
      <c r="F83" t="s">
        <v>3219</v>
      </c>
      <c r="G83" t="s">
        <v>3391</v>
      </c>
    </row>
    <row r="84" ht="11.25" customHeight="1">
      <c r="A84" s="373" t="s">
        <v>16</v>
      </c>
      <c r="B84" t="s">
        <v>3387</v>
      </c>
      <c r="C84" t="s">
        <v>3388</v>
      </c>
      <c r="D84" t="s">
        <v>3392</v>
      </c>
      <c r="E84" t="s">
        <v>3393</v>
      </c>
      <c r="F84" t="s">
        <v>3225</v>
      </c>
      <c r="G84" t="s">
        <v>3394</v>
      </c>
    </row>
    <row r="85" ht="11.25" customHeight="1">
      <c r="A85" s="373" t="s">
        <v>16</v>
      </c>
      <c r="B85" t="s">
        <v>3387</v>
      </c>
      <c r="C85" t="s">
        <v>3388</v>
      </c>
      <c r="D85" t="s">
        <v>3395</v>
      </c>
      <c r="E85" t="s">
        <v>3396</v>
      </c>
      <c r="F85" t="s">
        <v>3219</v>
      </c>
      <c r="G85" t="s">
        <v>3397</v>
      </c>
    </row>
    <row r="86" ht="11.25" customHeight="1">
      <c r="A86" s="373" t="s">
        <v>16</v>
      </c>
      <c r="B86" t="s">
        <v>3387</v>
      </c>
      <c r="C86" t="s">
        <v>3388</v>
      </c>
      <c r="D86" t="s">
        <v>3398</v>
      </c>
      <c r="E86" t="s">
        <v>3399</v>
      </c>
      <c r="F86" t="s">
        <v>3242</v>
      </c>
      <c r="G86" t="s">
        <v>3400</v>
      </c>
    </row>
    <row r="87" ht="11.25" customHeight="1">
      <c r="A87" s="373" t="s">
        <v>16</v>
      </c>
      <c r="B87" t="s">
        <v>3387</v>
      </c>
      <c r="C87" t="s">
        <v>3388</v>
      </c>
      <c r="D87" t="s">
        <v>3401</v>
      </c>
      <c r="E87" t="s">
        <v>3402</v>
      </c>
      <c r="F87" t="s">
        <v>3219</v>
      </c>
      <c r="G87" t="s">
        <v>3403</v>
      </c>
    </row>
    <row r="88" ht="11.25" customHeight="1">
      <c r="A88" s="373" t="s">
        <v>16</v>
      </c>
      <c r="B88" t="s">
        <v>3387</v>
      </c>
      <c r="C88" t="s">
        <v>3388</v>
      </c>
      <c r="D88" t="s">
        <v>3387</v>
      </c>
      <c r="E88" t="s">
        <v>3388</v>
      </c>
      <c r="F88" t="s">
        <v>3220</v>
      </c>
      <c r="G88" t="s">
        <v>3404</v>
      </c>
    </row>
    <row r="89" ht="11.25" customHeight="1">
      <c r="A89" s="373" t="s">
        <v>16</v>
      </c>
      <c r="B89" t="s">
        <v>3387</v>
      </c>
      <c r="C89" t="s">
        <v>3388</v>
      </c>
      <c r="D89" t="s">
        <v>3405</v>
      </c>
      <c r="E89" t="s">
        <v>3406</v>
      </c>
      <c r="F89" t="s">
        <v>3219</v>
      </c>
      <c r="G89" t="s">
        <v>3407</v>
      </c>
    </row>
    <row r="90" ht="11.25" customHeight="1">
      <c r="A90" s="373" t="s">
        <v>16</v>
      </c>
      <c r="B90" t="s">
        <v>3408</v>
      </c>
      <c r="C90" t="s">
        <v>3409</v>
      </c>
      <c r="D90" t="s">
        <v>3408</v>
      </c>
      <c r="E90" t="s">
        <v>3409</v>
      </c>
      <c r="F90" t="s">
        <v>3203</v>
      </c>
      <c r="G90" t="s">
        <v>3410</v>
      </c>
    </row>
    <row r="91" ht="11.25" customHeight="1">
      <c r="A91" s="373" t="s">
        <v>16</v>
      </c>
      <c r="B91" t="s">
        <v>3411</v>
      </c>
      <c r="C91" t="s">
        <v>3412</v>
      </c>
      <c r="D91" t="s">
        <v>3411</v>
      </c>
      <c r="E91" t="s">
        <v>3412</v>
      </c>
      <c r="F91" t="s">
        <v>3203</v>
      </c>
      <c r="G91" t="s">
        <v>3413</v>
      </c>
    </row>
    <row r="92" ht="11.25" customHeight="1">
      <c r="A92" s="373" t="s">
        <v>16</v>
      </c>
      <c r="B92" t="s">
        <v>3414</v>
      </c>
      <c r="C92" t="s">
        <v>3415</v>
      </c>
      <c r="D92" t="s">
        <v>3416</v>
      </c>
      <c r="E92" t="s">
        <v>3417</v>
      </c>
      <c r="F92" t="s">
        <v>3219</v>
      </c>
      <c r="G92" t="s">
        <v>3418</v>
      </c>
    </row>
    <row r="93" ht="11.25" customHeight="1">
      <c r="A93" s="373" t="s">
        <v>16</v>
      </c>
      <c r="B93" t="s">
        <v>3414</v>
      </c>
      <c r="C93" t="s">
        <v>3415</v>
      </c>
      <c r="D93" t="s">
        <v>3419</v>
      </c>
      <c r="E93" t="s">
        <v>3420</v>
      </c>
      <c r="F93" t="s">
        <v>3219</v>
      </c>
      <c r="G93" t="s">
        <v>3421</v>
      </c>
    </row>
    <row r="94" ht="11.25" customHeight="1">
      <c r="A94" s="373" t="s">
        <v>16</v>
      </c>
      <c r="B94" t="s">
        <v>3414</v>
      </c>
      <c r="C94" t="s">
        <v>3415</v>
      </c>
      <c r="D94" t="s">
        <v>3422</v>
      </c>
      <c r="E94" t="s">
        <v>3423</v>
      </c>
      <c r="F94" t="s">
        <v>3219</v>
      </c>
      <c r="G94" t="s">
        <v>3424</v>
      </c>
    </row>
    <row r="95" ht="11.25" customHeight="1">
      <c r="A95" s="373" t="s">
        <v>16</v>
      </c>
      <c r="B95" t="s">
        <v>3414</v>
      </c>
      <c r="C95" t="s">
        <v>3415</v>
      </c>
      <c r="D95" t="s">
        <v>3425</v>
      </c>
      <c r="E95" t="s">
        <v>3426</v>
      </c>
      <c r="F95" t="s">
        <v>3242</v>
      </c>
      <c r="G95" t="s">
        <v>3427</v>
      </c>
    </row>
    <row r="96" ht="11.25" customHeight="1">
      <c r="A96" s="373" t="s">
        <v>16</v>
      </c>
      <c r="B96" t="s">
        <v>3414</v>
      </c>
      <c r="C96" t="s">
        <v>3415</v>
      </c>
      <c r="D96" t="s">
        <v>3428</v>
      </c>
      <c r="E96" t="s">
        <v>3429</v>
      </c>
      <c r="F96" t="s">
        <v>3219</v>
      </c>
      <c r="G96" t="s">
        <v>3430</v>
      </c>
    </row>
    <row r="97" ht="11.25" customHeight="1">
      <c r="A97" s="373" t="s">
        <v>16</v>
      </c>
      <c r="B97" t="s">
        <v>3414</v>
      </c>
      <c r="C97" t="s">
        <v>3415</v>
      </c>
      <c r="D97" t="s">
        <v>3414</v>
      </c>
      <c r="E97" t="s">
        <v>3415</v>
      </c>
      <c r="F97" t="s">
        <v>3220</v>
      </c>
      <c r="G97" t="s">
        <v>3431</v>
      </c>
    </row>
    <row r="98" ht="11.25" customHeight="1">
      <c r="A98" s="373" t="s">
        <v>16</v>
      </c>
      <c r="B98" t="s">
        <v>3414</v>
      </c>
      <c r="C98" t="s">
        <v>3415</v>
      </c>
      <c r="D98" t="s">
        <v>3432</v>
      </c>
      <c r="E98" t="s">
        <v>3433</v>
      </c>
      <c r="F98" t="s">
        <v>3242</v>
      </c>
      <c r="G98" t="s">
        <v>3434</v>
      </c>
    </row>
    <row r="99" ht="11.25" customHeight="1">
      <c r="A99" s="373" t="s">
        <v>16</v>
      </c>
      <c r="B99" t="s">
        <v>3414</v>
      </c>
      <c r="C99" t="s">
        <v>3415</v>
      </c>
      <c r="D99" t="s">
        <v>3435</v>
      </c>
      <c r="E99" t="s">
        <v>3436</v>
      </c>
      <c r="F99" t="s">
        <v>3219</v>
      </c>
      <c r="G99" t="s">
        <v>3437</v>
      </c>
    </row>
    <row r="100" ht="11.25" customHeight="1">
      <c r="A100" s="373" t="s">
        <v>16</v>
      </c>
      <c r="B100" t="s">
        <v>3438</v>
      </c>
      <c r="C100" t="s">
        <v>3439</v>
      </c>
      <c r="D100" t="s">
        <v>3438</v>
      </c>
      <c r="E100" t="s">
        <v>3439</v>
      </c>
      <c r="F100" t="s">
        <v>3203</v>
      </c>
      <c r="G100" t="s">
        <v>3440</v>
      </c>
    </row>
    <row r="101" ht="11.25" customHeight="1">
      <c r="A101" s="373" t="s">
        <v>16</v>
      </c>
      <c r="B101" t="s">
        <v>3441</v>
      </c>
      <c r="C101" t="s">
        <v>3442</v>
      </c>
      <c r="D101" t="s">
        <v>3443</v>
      </c>
      <c r="E101" t="s">
        <v>3444</v>
      </c>
      <c r="F101" t="s">
        <v>3219</v>
      </c>
      <c r="G101" t="s">
        <v>3445</v>
      </c>
    </row>
    <row r="102" ht="11.25" customHeight="1">
      <c r="A102" s="373" t="s">
        <v>16</v>
      </c>
      <c r="B102" t="s">
        <v>3441</v>
      </c>
      <c r="C102" t="s">
        <v>3442</v>
      </c>
      <c r="D102" t="s">
        <v>3446</v>
      </c>
      <c r="E102" t="s">
        <v>3447</v>
      </c>
      <c r="F102" t="s">
        <v>3219</v>
      </c>
      <c r="G102" t="s">
        <v>3448</v>
      </c>
    </row>
    <row r="103" ht="11.25" customHeight="1">
      <c r="A103" s="373" t="s">
        <v>16</v>
      </c>
      <c r="B103" t="s">
        <v>3441</v>
      </c>
      <c r="C103" t="s">
        <v>3442</v>
      </c>
      <c r="D103" t="s">
        <v>3449</v>
      </c>
      <c r="E103" t="s">
        <v>3450</v>
      </c>
      <c r="F103" t="s">
        <v>3219</v>
      </c>
      <c r="G103" t="s">
        <v>3451</v>
      </c>
    </row>
    <row r="104" ht="11.25" customHeight="1">
      <c r="A104" s="373" t="s">
        <v>16</v>
      </c>
      <c r="B104" t="s">
        <v>3441</v>
      </c>
      <c r="C104" t="s">
        <v>3442</v>
      </c>
      <c r="D104" t="s">
        <v>3452</v>
      </c>
      <c r="E104" t="s">
        <v>3453</v>
      </c>
      <c r="F104" t="s">
        <v>3219</v>
      </c>
      <c r="G104" t="s">
        <v>3454</v>
      </c>
    </row>
    <row r="105" ht="11.25" customHeight="1">
      <c r="A105" s="373" t="s">
        <v>16</v>
      </c>
      <c r="B105" t="s">
        <v>3441</v>
      </c>
      <c r="C105" t="s">
        <v>3442</v>
      </c>
      <c r="D105" t="s">
        <v>3441</v>
      </c>
      <c r="E105" t="s">
        <v>3442</v>
      </c>
      <c r="F105" t="s">
        <v>3220</v>
      </c>
      <c r="G105" t="s">
        <v>3455</v>
      </c>
    </row>
    <row r="106" ht="11.25" customHeight="1">
      <c r="A106" s="373" t="s">
        <v>16</v>
      </c>
      <c r="B106" t="s">
        <v>3441</v>
      </c>
      <c r="C106" t="s">
        <v>3442</v>
      </c>
      <c r="D106" t="s">
        <v>3456</v>
      </c>
      <c r="E106" t="s">
        <v>3457</v>
      </c>
      <c r="F106" t="s">
        <v>3219</v>
      </c>
      <c r="G106" t="s">
        <v>3458</v>
      </c>
    </row>
    <row r="107" ht="11.25" customHeight="1">
      <c r="A107" s="373" t="s">
        <v>16</v>
      </c>
      <c r="B107" t="s">
        <v>3459</v>
      </c>
      <c r="C107" t="s">
        <v>3460</v>
      </c>
      <c r="D107" t="s">
        <v>3459</v>
      </c>
      <c r="E107" t="s">
        <v>3460</v>
      </c>
      <c r="F107" t="s">
        <v>3206</v>
      </c>
      <c r="G107" t="s">
        <v>3461</v>
      </c>
    </row>
    <row r="108" ht="11.25" customHeight="1">
      <c r="A108" s="373" t="s">
        <v>16</v>
      </c>
      <c r="B108" t="s">
        <v>3462</v>
      </c>
      <c r="C108" t="s">
        <v>3463</v>
      </c>
      <c r="D108" t="s">
        <v>3462</v>
      </c>
      <c r="E108" t="s">
        <v>3463</v>
      </c>
      <c r="F108" t="s">
        <v>3206</v>
      </c>
      <c r="G108" t="s">
        <v>3464</v>
      </c>
    </row>
  </sheetData>
  <sheetProtection autoFilter="0" deleteColumns="1" deleteRows="1" insertColumns="1" insertRows="1" sheet="1" sort="1"/>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1" width="13.8515625"/>
    <col customWidth="1" min="2" max="2" style="1691" width="10.421875"/>
    <col customWidth="1" min="3" max="3" style="1691" width="7.57421875"/>
    <col customWidth="1" min="4" max="4" style="1691" width="13.8515625"/>
    <col customWidth="1" min="5" max="5" style="1691" width="11.57421875"/>
    <col customWidth="1" min="6" max="6" style="1691" width="16.28125"/>
    <col customWidth="1" min="7" max="7" style="1691" width="16.00390625"/>
    <col customWidth="1" min="8" max="9" style="1691" width="16.140625"/>
  </cols>
  <sheetData>
    <row r="1" ht="11.25" customHeight="1">
      <c r="A1" s="835" t="s">
        <v>3465</v>
      </c>
      <c r="B1" s="835" t="s">
        <v>3466</v>
      </c>
      <c r="C1" s="1159" t="s">
        <v>3467</v>
      </c>
      <c r="D1" s="835" t="s">
        <v>3468</v>
      </c>
      <c r="E1" s="835" t="s">
        <v>3469</v>
      </c>
      <c r="F1" s="1159" t="s">
        <v>3470</v>
      </c>
      <c r="G1" s="1159" t="s">
        <v>3471</v>
      </c>
      <c r="H1" s="1159" t="s">
        <v>3472</v>
      </c>
      <c r="I1" s="1159" t="s">
        <v>3473</v>
      </c>
    </row>
    <row r="2" ht="11.25" customHeight="1">
      <c r="A2" s="1691" t="s">
        <v>108</v>
      </c>
      <c r="B2" s="1691" t="s">
        <v>3474</v>
      </c>
      <c r="C2" s="1691" t="s">
        <v>28</v>
      </c>
      <c r="D2" s="1691" t="s">
        <v>3475</v>
      </c>
      <c r="E2" s="1691" t="s">
        <v>3476</v>
      </c>
      <c r="F2" s="1691" t="s">
        <v>28</v>
      </c>
      <c r="G2" s="1691" t="s">
        <v>28</v>
      </c>
      <c r="H2" s="1691" t="s">
        <v>28</v>
      </c>
      <c r="I2" s="1691" t="s">
        <v>28</v>
      </c>
    </row>
    <row r="3" ht="11.25" customHeight="1">
      <c r="A3" s="1691" t="s">
        <v>109</v>
      </c>
      <c r="B3" s="1691" t="s">
        <v>3477</v>
      </c>
      <c r="C3" s="1691" t="s">
        <v>28</v>
      </c>
      <c r="D3" s="1691" t="s">
        <v>3475</v>
      </c>
      <c r="E3" s="1691" t="s">
        <v>3478</v>
      </c>
      <c r="F3" s="1691" t="s">
        <v>28</v>
      </c>
      <c r="G3" s="1691" t="s">
        <v>28</v>
      </c>
      <c r="H3" s="1691" t="s">
        <v>28</v>
      </c>
      <c r="I3" s="1691" t="s">
        <v>28</v>
      </c>
    </row>
    <row r="4" ht="11.25" customHeight="1">
      <c r="A4" s="1691" t="s">
        <v>90</v>
      </c>
      <c r="B4" s="1691" t="s">
        <v>3479</v>
      </c>
      <c r="C4" s="1691" t="s">
        <v>28</v>
      </c>
      <c r="D4" s="1691" t="s">
        <v>3480</v>
      </c>
      <c r="E4" s="1691" t="s">
        <v>3481</v>
      </c>
      <c r="F4" s="1691" t="s">
        <v>28</v>
      </c>
      <c r="G4" s="1691" t="s">
        <v>28</v>
      </c>
      <c r="H4" s="1691" t="s">
        <v>28</v>
      </c>
      <c r="I4" s="1691" t="s">
        <v>28</v>
      </c>
    </row>
    <row r="5" ht="11.25" customHeight="1">
      <c r="A5" s="1691" t="s">
        <v>91</v>
      </c>
      <c r="B5" s="1691" t="s">
        <v>3482</v>
      </c>
      <c r="C5" s="1691" t="s">
        <v>28</v>
      </c>
      <c r="D5" s="1691" t="s">
        <v>3483</v>
      </c>
      <c r="E5" s="1691" t="s">
        <v>3478</v>
      </c>
      <c r="F5" s="1691" t="s">
        <v>28</v>
      </c>
      <c r="G5" s="1691" t="s">
        <v>28</v>
      </c>
      <c r="H5" s="1691" t="s">
        <v>28</v>
      </c>
      <c r="I5" s="1691" t="s">
        <v>28</v>
      </c>
    </row>
    <row r="6" ht="11.25" customHeight="1">
      <c r="A6" s="1691" t="s">
        <v>110</v>
      </c>
      <c r="B6" s="1691" t="s">
        <v>3484</v>
      </c>
      <c r="C6" s="1691" t="s">
        <v>28</v>
      </c>
      <c r="D6" s="1691" t="s">
        <v>3483</v>
      </c>
      <c r="E6" s="1691" t="s">
        <v>3485</v>
      </c>
      <c r="F6" s="1691" t="s">
        <v>28</v>
      </c>
      <c r="G6" s="1691" t="s">
        <v>28</v>
      </c>
      <c r="H6" s="1691" t="s">
        <v>28</v>
      </c>
      <c r="I6" s="1691" t="s">
        <v>28</v>
      </c>
    </row>
    <row r="7" ht="11.25" customHeight="1">
      <c r="A7" s="1691" t="s">
        <v>92</v>
      </c>
      <c r="B7" s="1691" t="s">
        <v>3486</v>
      </c>
      <c r="C7" s="1691" t="s">
        <v>28</v>
      </c>
      <c r="D7" s="1691" t="s">
        <v>3487</v>
      </c>
      <c r="E7" s="1691" t="s">
        <v>3476</v>
      </c>
      <c r="F7" s="1691" t="s">
        <v>28</v>
      </c>
      <c r="G7" s="1691" t="s">
        <v>28</v>
      </c>
      <c r="H7" s="1691" t="s">
        <v>28</v>
      </c>
      <c r="I7" s="1691" t="s">
        <v>28</v>
      </c>
    </row>
    <row r="8" ht="11.25" customHeight="1">
      <c r="A8" s="1691" t="s">
        <v>93</v>
      </c>
      <c r="B8" s="1691" t="s">
        <v>3488</v>
      </c>
      <c r="C8" s="1691" t="s">
        <v>28</v>
      </c>
      <c r="D8" s="1691" t="s">
        <v>3483</v>
      </c>
      <c r="E8" s="1691" t="s">
        <v>3478</v>
      </c>
      <c r="F8" s="1691" t="s">
        <v>28</v>
      </c>
      <c r="G8" s="1691" t="s">
        <v>28</v>
      </c>
      <c r="H8" s="1691" t="s">
        <v>28</v>
      </c>
      <c r="I8" s="1691" t="s">
        <v>28</v>
      </c>
    </row>
    <row r="9" ht="11.25" customHeight="1">
      <c r="A9" s="1691" t="s">
        <v>111</v>
      </c>
      <c r="B9" s="1691" t="s">
        <v>3489</v>
      </c>
      <c r="C9" s="1691" t="s">
        <v>28</v>
      </c>
      <c r="D9" s="1691" t="s">
        <v>3483</v>
      </c>
      <c r="E9" s="1691" t="s">
        <v>3485</v>
      </c>
      <c r="F9" s="1691" t="s">
        <v>28</v>
      </c>
      <c r="G9" s="1691" t="s">
        <v>28</v>
      </c>
      <c r="H9" s="1691" t="s">
        <v>28</v>
      </c>
      <c r="I9" s="1691" t="s">
        <v>28</v>
      </c>
    </row>
    <row r="10" ht="11.25" customHeight="1">
      <c r="A10" s="1691" t="s">
        <v>147</v>
      </c>
      <c r="B10" s="1691" t="s">
        <v>3490</v>
      </c>
      <c r="C10" s="1691" t="s">
        <v>28</v>
      </c>
      <c r="D10" s="1691" t="s">
        <v>3491</v>
      </c>
      <c r="E10" s="1691" t="s">
        <v>3485</v>
      </c>
      <c r="F10" s="1691" t="s">
        <v>28</v>
      </c>
      <c r="G10" s="1691" t="s">
        <v>28</v>
      </c>
      <c r="H10" s="1691" t="s">
        <v>28</v>
      </c>
      <c r="I10" s="1691" t="s">
        <v>28</v>
      </c>
    </row>
    <row r="11" ht="11.25" customHeight="1">
      <c r="A11" s="1691" t="s">
        <v>148</v>
      </c>
      <c r="B11" s="1691" t="s">
        <v>3492</v>
      </c>
      <c r="C11" s="1691" t="s">
        <v>28</v>
      </c>
      <c r="D11" s="1691" t="s">
        <v>3493</v>
      </c>
      <c r="E11" s="1691" t="s">
        <v>3494</v>
      </c>
      <c r="F11" s="1691" t="s">
        <v>28</v>
      </c>
      <c r="G11" s="1691" t="s">
        <v>28</v>
      </c>
      <c r="H11" s="1691" t="s">
        <v>28</v>
      </c>
      <c r="I11" s="1691" t="s">
        <v>28</v>
      </c>
    </row>
    <row r="12" ht="11.25" customHeight="1">
      <c r="A12" s="1691" t="s">
        <v>149</v>
      </c>
      <c r="B12" s="1691" t="s">
        <v>3495</v>
      </c>
      <c r="C12" s="1691" t="s">
        <v>28</v>
      </c>
      <c r="D12" s="1691" t="s">
        <v>3496</v>
      </c>
      <c r="E12" s="1691" t="s">
        <v>3494</v>
      </c>
      <c r="F12" s="1691" t="s">
        <v>28</v>
      </c>
      <c r="G12" s="1691" t="s">
        <v>28</v>
      </c>
      <c r="H12" s="1691" t="s">
        <v>28</v>
      </c>
      <c r="I12" s="1691" t="s">
        <v>28</v>
      </c>
    </row>
    <row r="13" ht="11.25" customHeight="1">
      <c r="A13" s="1691" t="s">
        <v>150</v>
      </c>
      <c r="B13" s="1691" t="s">
        <v>3497</v>
      </c>
      <c r="C13" s="1691" t="s">
        <v>28</v>
      </c>
      <c r="D13" s="1691" t="s">
        <v>3498</v>
      </c>
      <c r="E13" s="1691" t="s">
        <v>3499</v>
      </c>
      <c r="F13" s="1691" t="s">
        <v>28</v>
      </c>
      <c r="G13" s="1691" t="s">
        <v>28</v>
      </c>
      <c r="H13" s="1691" t="s">
        <v>28</v>
      </c>
      <c r="I13" s="1691" t="s">
        <v>28</v>
      </c>
    </row>
    <row r="14" ht="11.25" customHeight="1">
      <c r="A14" s="1691" t="s">
        <v>151</v>
      </c>
      <c r="B14" s="1691" t="s">
        <v>3500</v>
      </c>
      <c r="C14" s="1691" t="s">
        <v>28</v>
      </c>
      <c r="D14" s="1691" t="s">
        <v>3483</v>
      </c>
      <c r="E14" s="1691" t="s">
        <v>3485</v>
      </c>
      <c r="F14" s="1691" t="s">
        <v>28</v>
      </c>
      <c r="G14" s="1691" t="s">
        <v>28</v>
      </c>
      <c r="H14" s="1691" t="s">
        <v>28</v>
      </c>
      <c r="I14" s="1691" t="s">
        <v>28</v>
      </c>
    </row>
    <row r="15" ht="11.25" customHeight="1">
      <c r="A15" s="1691" t="s">
        <v>152</v>
      </c>
      <c r="B15" s="1691" t="s">
        <v>3501</v>
      </c>
      <c r="C15" s="1691" t="s">
        <v>28</v>
      </c>
      <c r="D15" s="1691" t="s">
        <v>3475</v>
      </c>
      <c r="E15" s="1691" t="s">
        <v>3478</v>
      </c>
      <c r="F15" s="1691" t="s">
        <v>28</v>
      </c>
      <c r="G15" s="1691" t="s">
        <v>28</v>
      </c>
      <c r="H15" s="1691" t="s">
        <v>28</v>
      </c>
      <c r="I15" s="1691" t="s">
        <v>28</v>
      </c>
    </row>
    <row r="16" ht="11.25" customHeight="1">
      <c r="A16" s="1691" t="s">
        <v>1468</v>
      </c>
      <c r="B16" s="1691" t="s">
        <v>3502</v>
      </c>
      <c r="C16" s="1691" t="s">
        <v>28</v>
      </c>
      <c r="D16" s="1691" t="s">
        <v>3483</v>
      </c>
      <c r="E16" s="1691" t="s">
        <v>3485</v>
      </c>
      <c r="F16" s="1691" t="s">
        <v>28</v>
      </c>
      <c r="G16" s="1691" t="s">
        <v>28</v>
      </c>
      <c r="H16" s="1691" t="s">
        <v>28</v>
      </c>
      <c r="I16" s="1691" t="s">
        <v>28</v>
      </c>
    </row>
    <row r="17" ht="11.25" customHeight="1">
      <c r="A17" s="1691" t="s">
        <v>1474</v>
      </c>
      <c r="B17" s="1691" t="s">
        <v>3503</v>
      </c>
      <c r="C17" s="1691" t="s">
        <v>28</v>
      </c>
      <c r="D17" s="1691" t="s">
        <v>3483</v>
      </c>
      <c r="E17" s="1691" t="s">
        <v>3485</v>
      </c>
      <c r="F17" s="1691" t="s">
        <v>28</v>
      </c>
      <c r="G17" s="1691" t="s">
        <v>28</v>
      </c>
      <c r="H17" s="1691" t="s">
        <v>28</v>
      </c>
      <c r="I17" s="1691" t="s">
        <v>28</v>
      </c>
    </row>
    <row r="18" ht="11.25" customHeight="1">
      <c r="A18" s="1691" t="s">
        <v>1486</v>
      </c>
      <c r="B18" s="1691" t="s">
        <v>3504</v>
      </c>
      <c r="C18" s="1691" t="s">
        <v>28</v>
      </c>
      <c r="D18" s="1691" t="s">
        <v>3505</v>
      </c>
      <c r="E18" s="1691" t="s">
        <v>3506</v>
      </c>
      <c r="F18" s="1691" t="s">
        <v>28</v>
      </c>
      <c r="G18" s="1691" t="s">
        <v>28</v>
      </c>
      <c r="H18" s="1691" t="s">
        <v>28</v>
      </c>
      <c r="I18" s="1691" t="s">
        <v>28</v>
      </c>
    </row>
    <row r="19" ht="11.25" customHeight="1">
      <c r="A19" s="1691" t="s">
        <v>1500</v>
      </c>
      <c r="B19" s="1691" t="s">
        <v>3507</v>
      </c>
      <c r="C19" s="1691" t="s">
        <v>28</v>
      </c>
      <c r="D19" s="1691" t="s">
        <v>3496</v>
      </c>
      <c r="E19" s="1691" t="s">
        <v>3508</v>
      </c>
      <c r="F19" s="1691" t="s">
        <v>28</v>
      </c>
      <c r="G19" s="1691" t="s">
        <v>28</v>
      </c>
      <c r="H19" s="1691" t="s">
        <v>28</v>
      </c>
      <c r="I19" s="1691" t="s">
        <v>28</v>
      </c>
    </row>
    <row r="20" ht="11.25" customHeight="1">
      <c r="A20" s="1691" t="s">
        <v>1512</v>
      </c>
      <c r="B20" s="1691" t="s">
        <v>3509</v>
      </c>
      <c r="C20" s="1691" t="s">
        <v>28</v>
      </c>
      <c r="D20" s="1691" t="s">
        <v>3510</v>
      </c>
      <c r="E20" s="1691" t="s">
        <v>3511</v>
      </c>
      <c r="F20" s="1691" t="s">
        <v>28</v>
      </c>
      <c r="G20" s="1691" t="s">
        <v>28</v>
      </c>
      <c r="H20" s="1691" t="s">
        <v>28</v>
      </c>
      <c r="I20" s="1691" t="s">
        <v>28</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defaultRowHeight="14.25" customHeight="1"/>
  <cols>
    <col customWidth="1" hidden="1" min="1" max="1" style="1632" width="9.140625"/>
    <col customWidth="1" hidden="1" min="2" max="2" style="1635" width="9.140625"/>
    <col customWidth="1" min="3" max="3" style="1842" width="3.00390625"/>
    <col customWidth="1" min="4" max="4" style="1635" width="5.00390625"/>
    <col customWidth="1" min="5" max="5" style="1635" width="48.00390625"/>
    <col customWidth="1" min="6" max="6" style="1635" width="38.00390625"/>
    <col customWidth="1" hidden="1" min="7" max="7" style="1635" width="1.7109375"/>
    <col customWidth="1" min="8" max="11" style="1635" width="19.8515625"/>
    <col customWidth="1" min="12" max="12" style="1635" width="9.7109375"/>
    <col customWidth="1" min="13" max="18" style="1635" width="19.8515625"/>
    <col customWidth="1" hidden="1" min="19" max="19" style="1635" width="1.7109375"/>
    <col customWidth="1" hidden="1" min="20" max="22" style="1635" width="19.8515625"/>
    <col customWidth="1" hidden="1" min="23" max="23" style="1635" width="1.7109375"/>
    <col customWidth="1" hidden="1" min="24" max="26" style="1635" width="19.8515625"/>
    <col customWidth="1" hidden="1" min="27" max="27" style="1635" width="1.7109375"/>
    <col customWidth="1" hidden="1" min="28" max="29" style="1635" width="19.8515625"/>
    <col customWidth="1" hidden="1" min="30" max="30" style="1635" width="1.7109375"/>
    <col customWidth="1" min="31" max="31" style="1635" width="103.7109375"/>
    <col customWidth="1" hidden="1" min="32" max="34" style="1635" width="103.7109375"/>
    <col customWidth="1" min="35" max="35" style="1819" width="3.00390625"/>
    <col customWidth="1" min="36" max="38" style="1642" width="10.00390625"/>
    <col customWidth="1" hidden="1" min="39" max="39" style="1642" width="13.7109375"/>
    <col customWidth="1" min="40" max="40" style="1642" width="15.00390625"/>
    <col customWidth="1" min="41" max="41" style="1642" width="16.00390625"/>
    <col customWidth="1" min="42" max="45" style="1642" width="10.00390625"/>
    <col hidden="1" min="46" max="46" style="1635" width="10.57421875"/>
  </cols>
  <sheetData>
    <row r="1" ht="22.5" hidden="1" customHeight="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r="2" ht="14.25" hidden="1" customHeight="1">
      <c r="AT2" s="447">
        <v>0</v>
      </c>
    </row>
    <row r="3" s="1613" customFormat="1" ht="5.25" customHeight="1">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r="4" ht="39.75" customHeight="1">
      <c r="C4" s="450"/>
      <c r="D4" s="2157"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r="5" s="1635" customFormat="1" ht="18" customHeight="1">
      <c r="A5" s="759"/>
      <c r="C5" s="822"/>
      <c r="D5" s="2214" t="str">
        <f>IF(org=0,"Не определено",org)</f>
        <v xml:space="preserve">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r="6" s="1612" customFormat="1" ht="11.5" customHeight="1">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r="7" ht="14.65" customHeight="1">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r="8" ht="27.300000000000001" customHeight="1">
      <c r="C8" s="450"/>
      <c r="D8" s="2127" t="s">
        <v>88</v>
      </c>
      <c r="E8" s="2223" t="str">
        <f>"Наименование "&amp;IF(TEMPLATE_SPHERE&lt;&gt;"HEAT","централизованной ","")&amp;"системы "&amp;TEMPLATE_SPHERE_RUS</f>
        <v xml:space="preserve">Наименование системы теплоснабжения</v>
      </c>
      <c r="F8" s="2223" t="str">
        <f>IF(TEMPLATE_SPHERE&lt;&gt;"HEAT","Регулируемый вид деятельности","Вид регулируемой деятельности")</f>
        <v xml:space="preserve">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r="9" ht="46.149999999999999" customHeight="1">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r="10" ht="12" hidden="1" customHeight="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r="11" s="1641" customFormat="1" ht="11.25" hidden="1" customHeight="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r="12" ht="14.65" customHeight="1">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r="13" ht="18" customHeight="1">
      <c r="A13" s="447"/>
      <c r="C13" s="450"/>
      <c r="D13" s="405"/>
      <c r="E13" s="869" t="str">
        <f>IF(TITLE_DIFFERENTIATION_TYPE="нет","","Добавить систему")</f>
        <v/>
      </c>
      <c r="F13" s="869" t="str">
        <f>IF(TITLE_DIFFERENTIATION_TYPE="нет","Добавить вид деятельности","")</f>
        <v xml:space="preserve">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r="14" ht="14.65" customHeight="1">
      <c r="AI14" s="447"/>
      <c r="AT14" s="447">
        <v>14</v>
      </c>
    </row>
    <row r="15" ht="14.65" customHeight="1">
      <c r="E15" s="758"/>
      <c r="L15" s="758"/>
      <c r="AT15" s="447">
        <v>14</v>
      </c>
    </row>
    <row r="16" ht="14.65" customHeight="1">
      <c r="L16" s="758"/>
      <c r="AT16" s="447">
        <v>14</v>
      </c>
    </row>
    <row r="17" ht="14.65" customHeight="1">
      <c r="L17" s="758"/>
      <c r="AT17" s="447">
        <v>14</v>
      </c>
    </row>
    <row r="18" ht="22.5" hidden="1" customHeight="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autoFilter="0" deleteColumns="1" deleteRows="1" formatColumns="0" formatRows="0" insertColumns="1" insertRows="1" sheet="1" sort="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600B5-008A-47A8-A14F-00730030008C}"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7F0013-0089-4A7B-8983-00BE00B60077}"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0700B1-008F-4F1A-B088-006C00290084}"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E100EC-00EF-4F55-8338-000D00960093}"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3" width="9.140625"/>
  </cols>
  <sheetData>
    <row r="1" ht="11.25" customHeight="1">
      <c r="A1" s="183" t="s">
        <v>129</v>
      </c>
      <c r="B1" s="183" t="s">
        <v>3512</v>
      </c>
    </row>
    <row r="2" ht="11.25" customHeight="1">
      <c r="A2" s="64" t="s">
        <v>98</v>
      </c>
      <c r="B2" s="64" t="s">
        <v>3513</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1" width="9.140625"/>
    <col customWidth="1" min="2" max="2" style="1691" width="65.28125"/>
  </cols>
  <sheetData>
    <row r="1" ht="11.25" customHeight="1">
      <c r="A1" s="835" t="s">
        <v>3514</v>
      </c>
      <c r="B1" s="835" t="s">
        <v>3515</v>
      </c>
    </row>
    <row r="2" ht="11.25" customHeight="1">
      <c r="A2" s="835">
        <v>4213775</v>
      </c>
      <c r="B2" s="835" t="s">
        <v>1225</v>
      </c>
    </row>
    <row r="3" ht="11.25" customHeight="1">
      <c r="A3" s="835">
        <v>4213784</v>
      </c>
      <c r="B3" s="835" t="s">
        <v>1259</v>
      </c>
    </row>
    <row r="4" ht="11.25" customHeight="1">
      <c r="A4" s="835">
        <v>4213781</v>
      </c>
      <c r="B4" s="835" t="s">
        <v>1252</v>
      </c>
    </row>
    <row r="5" ht="11.25" customHeight="1">
      <c r="A5" s="835">
        <v>4213776</v>
      </c>
      <c r="B5" s="835" t="s">
        <v>165</v>
      </c>
    </row>
    <row r="6" ht="11.25" customHeight="1">
      <c r="A6" s="835">
        <v>4213777</v>
      </c>
      <c r="B6" s="835" t="s">
        <v>171</v>
      </c>
    </row>
    <row r="7" ht="11.25" customHeight="1">
      <c r="A7" s="835">
        <v>4213778</v>
      </c>
      <c r="B7" s="835" t="s">
        <v>177</v>
      </c>
    </row>
    <row r="8" ht="11.25" customHeight="1">
      <c r="A8" s="835">
        <v>4213780</v>
      </c>
      <c r="B8" s="835" t="s">
        <v>183</v>
      </c>
    </row>
    <row r="9" ht="11.25" customHeight="1">
      <c r="A9" s="835">
        <v>4213779</v>
      </c>
      <c r="B9" s="835" t="s">
        <v>1393</v>
      </c>
    </row>
    <row r="10" ht="11.25" customHeight="1">
      <c r="A10" s="835">
        <v>4213783</v>
      </c>
      <c r="B10" s="835" t="s">
        <v>1408</v>
      </c>
    </row>
    <row r="11" ht="11.25" customHeight="1">
      <c r="A11" s="835">
        <v>4213782</v>
      </c>
      <c r="B11" s="835" t="s">
        <v>189</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1" width="9.140625"/>
    <col customWidth="1" min="2" max="2" style="1691" width="65.28125"/>
  </cols>
  <sheetData>
    <row r="1" ht="11.25" customHeight="1">
      <c r="A1" s="835" t="s">
        <v>3514</v>
      </c>
      <c r="B1" s="835" t="s">
        <v>3516</v>
      </c>
    </row>
    <row r="2" ht="11.25" customHeight="1">
      <c r="A2" s="835" t="s">
        <v>3517</v>
      </c>
      <c r="B2" s="835" t="s">
        <v>1506</v>
      </c>
    </row>
    <row r="3" ht="11.25" customHeight="1">
      <c r="A3" s="835" t="s">
        <v>3518</v>
      </c>
      <c r="B3" s="835" t="s">
        <v>1516</v>
      </c>
    </row>
    <row r="4" ht="11.25" customHeight="1">
      <c r="A4" s="835" t="s">
        <v>3519</v>
      </c>
      <c r="B4" s="835" t="s">
        <v>1525</v>
      </c>
    </row>
    <row r="5" ht="11.25" customHeight="1">
      <c r="A5" s="835" t="s">
        <v>3520</v>
      </c>
      <c r="B5" s="835" t="s">
        <v>1534</v>
      </c>
    </row>
    <row r="6" ht="11.25" customHeight="1">
      <c r="A6" s="835" t="s">
        <v>3521</v>
      </c>
      <c r="B6" s="835" t="s">
        <v>1540</v>
      </c>
    </row>
    <row r="7" ht="11.25" customHeight="1">
      <c r="A7" s="835" t="s">
        <v>3522</v>
      </c>
      <c r="B7" s="835" t="s">
        <v>1548</v>
      </c>
    </row>
    <row r="8" ht="11.25" customHeight="1">
      <c r="A8" s="835" t="s">
        <v>3523</v>
      </c>
      <c r="B8" s="835" t="s">
        <v>1555</v>
      </c>
    </row>
    <row r="9" ht="11.25" customHeight="1">
      <c r="A9" s="835" t="s">
        <v>3524</v>
      </c>
      <c r="B9" s="835" t="s">
        <v>1561</v>
      </c>
    </row>
    <row r="10" ht="11.25" customHeight="1">
      <c r="A10" s="835" t="s">
        <v>3525</v>
      </c>
      <c r="B10" s="835" t="s">
        <v>1565</v>
      </c>
    </row>
    <row r="11" ht="11.25" customHeight="1">
      <c r="A11" s="835" t="s">
        <v>3526</v>
      </c>
      <c r="B11" s="835" t="s">
        <v>1572</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3" t="s">
        <v>3194</v>
      </c>
      <c r="B1" s="373" t="s">
        <v>3195</v>
      </c>
      <c r="C1" s="373" t="s">
        <v>3196</v>
      </c>
      <c r="D1" s="373" t="s">
        <v>3197</v>
      </c>
      <c r="E1" t="s">
        <v>3198</v>
      </c>
      <c r="F1" t="s">
        <v>3199</v>
      </c>
      <c r="G1" t="s">
        <v>3200</v>
      </c>
    </row>
    <row r="2" ht="11.25" customHeight="1">
      <c r="A2" t="s">
        <v>16</v>
      </c>
      <c r="B2" t="s">
        <v>3201</v>
      </c>
      <c r="C2" t="s">
        <v>3202</v>
      </c>
      <c r="D2" t="s">
        <v>3201</v>
      </c>
      <c r="E2" t="s">
        <v>3202</v>
      </c>
      <c r="F2" t="s">
        <v>3203</v>
      </c>
      <c r="G2" t="s">
        <v>108</v>
      </c>
    </row>
    <row r="3" ht="11.25" customHeight="1">
      <c r="A3" t="s">
        <v>16</v>
      </c>
      <c r="B3" t="s">
        <v>3204</v>
      </c>
      <c r="C3" t="s">
        <v>3205</v>
      </c>
      <c r="D3" t="s">
        <v>3204</v>
      </c>
      <c r="E3" t="s">
        <v>3205</v>
      </c>
      <c r="F3" t="s">
        <v>3206</v>
      </c>
      <c r="G3" t="s">
        <v>109</v>
      </c>
    </row>
    <row r="4" ht="11.25" customHeight="1">
      <c r="A4" t="s">
        <v>16</v>
      </c>
      <c r="B4" t="s">
        <v>3207</v>
      </c>
      <c r="C4" t="s">
        <v>3208</v>
      </c>
      <c r="D4" t="s">
        <v>3207</v>
      </c>
      <c r="E4" t="s">
        <v>3208</v>
      </c>
      <c r="F4" t="s">
        <v>3206</v>
      </c>
      <c r="G4" t="s">
        <v>90</v>
      </c>
    </row>
    <row r="5" ht="11.25" customHeight="1">
      <c r="A5" t="s">
        <v>16</v>
      </c>
      <c r="B5" t="s">
        <v>99</v>
      </c>
      <c r="C5" t="s">
        <v>100</v>
      </c>
      <c r="D5" t="s">
        <v>99</v>
      </c>
      <c r="E5" t="s">
        <v>100</v>
      </c>
      <c r="F5" t="s">
        <v>3206</v>
      </c>
      <c r="G5" t="s">
        <v>91</v>
      </c>
    </row>
    <row r="6" ht="11.25" customHeight="1">
      <c r="A6" t="s">
        <v>16</v>
      </c>
      <c r="B6" t="s">
        <v>3209</v>
      </c>
      <c r="C6" t="s">
        <v>3210</v>
      </c>
      <c r="D6" t="s">
        <v>3209</v>
      </c>
      <c r="E6" t="s">
        <v>3210</v>
      </c>
      <c r="F6" t="s">
        <v>3206</v>
      </c>
      <c r="G6" t="s">
        <v>110</v>
      </c>
    </row>
    <row r="7" ht="11.25" customHeight="1">
      <c r="A7" t="s">
        <v>16</v>
      </c>
      <c r="B7" t="s">
        <v>3211</v>
      </c>
      <c r="C7" t="s">
        <v>3212</v>
      </c>
      <c r="D7" t="s">
        <v>3211</v>
      </c>
      <c r="E7" t="s">
        <v>3212</v>
      </c>
      <c r="F7" t="s">
        <v>3206</v>
      </c>
      <c r="G7" t="s">
        <v>92</v>
      </c>
    </row>
    <row r="8" ht="11.25" customHeight="1">
      <c r="A8" t="s">
        <v>16</v>
      </c>
      <c r="B8" t="s">
        <v>3213</v>
      </c>
      <c r="C8" t="s">
        <v>3214</v>
      </c>
      <c r="D8" t="s">
        <v>3213</v>
      </c>
      <c r="E8" t="s">
        <v>3214</v>
      </c>
      <c r="F8" t="s">
        <v>3206</v>
      </c>
      <c r="G8" t="s">
        <v>93</v>
      </c>
    </row>
    <row r="9" ht="11.25" customHeight="1">
      <c r="A9" t="s">
        <v>16</v>
      </c>
      <c r="B9" t="s">
        <v>3215</v>
      </c>
      <c r="C9" t="s">
        <v>3216</v>
      </c>
      <c r="D9" t="s">
        <v>3217</v>
      </c>
      <c r="E9" t="s">
        <v>3218</v>
      </c>
      <c r="F9" t="s">
        <v>3219</v>
      </c>
      <c r="G9" t="s">
        <v>111</v>
      </c>
    </row>
    <row r="10" ht="11.25" customHeight="1">
      <c r="A10" t="s">
        <v>16</v>
      </c>
      <c r="B10" t="s">
        <v>3215</v>
      </c>
      <c r="C10" t="s">
        <v>3216</v>
      </c>
      <c r="D10" t="s">
        <v>3215</v>
      </c>
      <c r="E10" t="s">
        <v>3216</v>
      </c>
      <c r="F10" t="s">
        <v>3220</v>
      </c>
      <c r="G10" t="s">
        <v>147</v>
      </c>
    </row>
    <row r="11" ht="11.25" customHeight="1">
      <c r="A11" t="s">
        <v>16</v>
      </c>
      <c r="B11" t="s">
        <v>3215</v>
      </c>
      <c r="C11" t="s">
        <v>3216</v>
      </c>
      <c r="D11" t="s">
        <v>3221</v>
      </c>
      <c r="E11" t="s">
        <v>3222</v>
      </c>
      <c r="F11" t="s">
        <v>3219</v>
      </c>
      <c r="G11" t="s">
        <v>148</v>
      </c>
    </row>
    <row r="12" ht="11.25" customHeight="1">
      <c r="A12" t="s">
        <v>16</v>
      </c>
      <c r="B12" t="s">
        <v>3215</v>
      </c>
      <c r="C12" t="s">
        <v>3216</v>
      </c>
      <c r="D12" t="s">
        <v>3223</v>
      </c>
      <c r="E12" t="s">
        <v>3224</v>
      </c>
      <c r="F12" t="s">
        <v>3225</v>
      </c>
      <c r="G12" t="s">
        <v>149</v>
      </c>
    </row>
    <row r="13" ht="11.25" customHeight="1">
      <c r="A13" t="s">
        <v>16</v>
      </c>
      <c r="B13" t="s">
        <v>3215</v>
      </c>
      <c r="C13" t="s">
        <v>3216</v>
      </c>
      <c r="D13" t="s">
        <v>3226</v>
      </c>
      <c r="E13" t="s">
        <v>3227</v>
      </c>
      <c r="F13" t="s">
        <v>3219</v>
      </c>
      <c r="G13" t="s">
        <v>150</v>
      </c>
    </row>
    <row r="14" ht="11.25" customHeight="1">
      <c r="A14" t="s">
        <v>16</v>
      </c>
      <c r="B14" t="s">
        <v>3215</v>
      </c>
      <c r="C14" t="s">
        <v>3216</v>
      </c>
      <c r="D14" t="s">
        <v>3228</v>
      </c>
      <c r="E14" t="s">
        <v>3229</v>
      </c>
      <c r="F14" t="s">
        <v>3219</v>
      </c>
      <c r="G14" t="s">
        <v>151</v>
      </c>
    </row>
    <row r="15" ht="11.25" customHeight="1">
      <c r="A15" t="s">
        <v>16</v>
      </c>
      <c r="B15" t="s">
        <v>3215</v>
      </c>
      <c r="C15" t="s">
        <v>3216</v>
      </c>
      <c r="D15" t="s">
        <v>3230</v>
      </c>
      <c r="E15" t="s">
        <v>3231</v>
      </c>
      <c r="F15" t="s">
        <v>3219</v>
      </c>
      <c r="G15" t="s">
        <v>152</v>
      </c>
    </row>
    <row r="16" ht="11.25" customHeight="1">
      <c r="A16" t="s">
        <v>16</v>
      </c>
      <c r="B16" t="s">
        <v>3215</v>
      </c>
      <c r="C16" t="s">
        <v>3216</v>
      </c>
      <c r="D16" t="s">
        <v>3232</v>
      </c>
      <c r="E16" t="s">
        <v>3233</v>
      </c>
      <c r="F16" t="s">
        <v>3219</v>
      </c>
      <c r="G16" t="s">
        <v>1468</v>
      </c>
    </row>
    <row r="17" ht="11.25" customHeight="1">
      <c r="A17" t="s">
        <v>16</v>
      </c>
      <c r="B17" t="s">
        <v>3234</v>
      </c>
      <c r="C17" t="s">
        <v>3235</v>
      </c>
      <c r="D17" t="s">
        <v>3234</v>
      </c>
      <c r="E17" t="s">
        <v>3235</v>
      </c>
      <c r="F17" t="s">
        <v>3203</v>
      </c>
      <c r="G17" t="s">
        <v>1474</v>
      </c>
    </row>
    <row r="18" ht="11.25" customHeight="1">
      <c r="A18" t="s">
        <v>16</v>
      </c>
      <c r="B18" t="s">
        <v>3236</v>
      </c>
      <c r="C18" t="s">
        <v>3237</v>
      </c>
      <c r="D18" t="s">
        <v>3238</v>
      </c>
      <c r="E18" t="s">
        <v>3239</v>
      </c>
      <c r="F18" t="s">
        <v>3219</v>
      </c>
      <c r="G18" t="s">
        <v>1486</v>
      </c>
    </row>
    <row r="19" ht="11.25" customHeight="1">
      <c r="A19" t="s">
        <v>16</v>
      </c>
      <c r="B19" t="s">
        <v>3236</v>
      </c>
      <c r="C19" t="s">
        <v>3237</v>
      </c>
      <c r="D19" t="s">
        <v>3240</v>
      </c>
      <c r="E19" t="s">
        <v>3241</v>
      </c>
      <c r="F19" t="s">
        <v>3242</v>
      </c>
      <c r="G19" t="s">
        <v>1500</v>
      </c>
    </row>
    <row r="20" ht="11.25" customHeight="1">
      <c r="A20" t="s">
        <v>16</v>
      </c>
      <c r="B20" t="s">
        <v>3236</v>
      </c>
      <c r="C20" t="s">
        <v>3237</v>
      </c>
      <c r="D20" t="s">
        <v>3236</v>
      </c>
      <c r="E20" t="s">
        <v>3237</v>
      </c>
      <c r="F20" t="s">
        <v>3220</v>
      </c>
      <c r="G20" t="s">
        <v>1512</v>
      </c>
    </row>
    <row r="21" ht="11.25" customHeight="1">
      <c r="A21" t="s">
        <v>16</v>
      </c>
      <c r="B21" t="s">
        <v>3236</v>
      </c>
      <c r="C21" t="s">
        <v>3237</v>
      </c>
      <c r="D21" t="s">
        <v>3243</v>
      </c>
      <c r="E21" t="s">
        <v>3244</v>
      </c>
      <c r="F21" t="s">
        <v>3242</v>
      </c>
      <c r="G21" t="s">
        <v>1521</v>
      </c>
    </row>
    <row r="22" ht="11.25" customHeight="1">
      <c r="A22" t="s">
        <v>16</v>
      </c>
      <c r="B22" t="s">
        <v>3236</v>
      </c>
      <c r="C22" t="s">
        <v>3237</v>
      </c>
      <c r="D22" t="s">
        <v>3245</v>
      </c>
      <c r="E22" t="s">
        <v>3246</v>
      </c>
      <c r="F22" t="s">
        <v>3219</v>
      </c>
      <c r="G22" t="s">
        <v>1537</v>
      </c>
    </row>
    <row r="23" ht="11.25" customHeight="1">
      <c r="A23" t="s">
        <v>16</v>
      </c>
      <c r="B23" t="s">
        <v>3236</v>
      </c>
      <c r="C23" t="s">
        <v>3237</v>
      </c>
      <c r="D23" t="s">
        <v>3247</v>
      </c>
      <c r="E23" t="s">
        <v>3248</v>
      </c>
      <c r="F23" t="s">
        <v>3225</v>
      </c>
      <c r="G23" t="s">
        <v>1544</v>
      </c>
    </row>
    <row r="24" ht="11.25" customHeight="1">
      <c r="A24" t="s">
        <v>16</v>
      </c>
      <c r="B24" t="s">
        <v>3236</v>
      </c>
      <c r="C24" t="s">
        <v>3237</v>
      </c>
      <c r="D24" t="s">
        <v>3249</v>
      </c>
      <c r="E24" t="s">
        <v>3250</v>
      </c>
      <c r="F24" t="s">
        <v>3219</v>
      </c>
      <c r="G24" t="s">
        <v>1552</v>
      </c>
    </row>
    <row r="25" ht="11.25" customHeight="1">
      <c r="A25" t="s">
        <v>16</v>
      </c>
      <c r="B25" t="s">
        <v>3236</v>
      </c>
      <c r="C25" t="s">
        <v>3237</v>
      </c>
      <c r="D25" t="s">
        <v>3251</v>
      </c>
      <c r="E25" t="s">
        <v>3252</v>
      </c>
      <c r="F25" t="s">
        <v>3219</v>
      </c>
      <c r="G25" t="s">
        <v>1559</v>
      </c>
    </row>
    <row r="26" ht="11.25" customHeight="1">
      <c r="A26" t="s">
        <v>16</v>
      </c>
      <c r="B26" t="s">
        <v>3253</v>
      </c>
      <c r="C26" t="s">
        <v>3254</v>
      </c>
      <c r="D26" t="s">
        <v>3253</v>
      </c>
      <c r="E26" t="s">
        <v>3254</v>
      </c>
      <c r="F26" t="s">
        <v>3203</v>
      </c>
      <c r="G26" t="s">
        <v>1563</v>
      </c>
    </row>
    <row r="27" ht="11.25" customHeight="1">
      <c r="A27" t="s">
        <v>16</v>
      </c>
      <c r="B27" t="s">
        <v>3255</v>
      </c>
      <c r="C27" t="s">
        <v>3256</v>
      </c>
      <c r="D27" t="s">
        <v>3257</v>
      </c>
      <c r="E27" t="s">
        <v>3258</v>
      </c>
      <c r="F27" t="s">
        <v>3242</v>
      </c>
      <c r="G27" t="s">
        <v>1568</v>
      </c>
    </row>
    <row r="28" ht="11.25" customHeight="1">
      <c r="A28" t="s">
        <v>16</v>
      </c>
      <c r="B28" t="s">
        <v>3255</v>
      </c>
      <c r="C28" t="s">
        <v>3256</v>
      </c>
      <c r="D28" t="s">
        <v>3259</v>
      </c>
      <c r="E28" t="s">
        <v>3260</v>
      </c>
      <c r="F28" t="s">
        <v>3219</v>
      </c>
      <c r="G28" t="s">
        <v>1576</v>
      </c>
    </row>
    <row r="29" ht="11.25" customHeight="1">
      <c r="A29" t="s">
        <v>16</v>
      </c>
      <c r="B29" t="s">
        <v>3255</v>
      </c>
      <c r="C29" t="s">
        <v>3256</v>
      </c>
      <c r="D29" t="s">
        <v>3261</v>
      </c>
      <c r="E29" t="s">
        <v>3262</v>
      </c>
      <c r="F29" t="s">
        <v>3219</v>
      </c>
      <c r="G29" t="s">
        <v>1578</v>
      </c>
    </row>
    <row r="30" ht="11.25" customHeight="1">
      <c r="A30" t="s">
        <v>16</v>
      </c>
      <c r="B30" t="s">
        <v>3255</v>
      </c>
      <c r="C30" t="s">
        <v>3256</v>
      </c>
      <c r="D30" t="s">
        <v>3263</v>
      </c>
      <c r="E30" t="s">
        <v>3264</v>
      </c>
      <c r="F30" t="s">
        <v>3219</v>
      </c>
      <c r="G30" t="s">
        <v>1581</v>
      </c>
    </row>
    <row r="31" ht="11.25" customHeight="1">
      <c r="A31" t="s">
        <v>16</v>
      </c>
      <c r="B31" t="s">
        <v>3255</v>
      </c>
      <c r="C31" t="s">
        <v>3256</v>
      </c>
      <c r="D31" t="s">
        <v>3265</v>
      </c>
      <c r="E31" t="s">
        <v>3266</v>
      </c>
      <c r="F31" t="s">
        <v>3219</v>
      </c>
      <c r="G31" t="s">
        <v>1587</v>
      </c>
    </row>
    <row r="32" ht="11.25" customHeight="1">
      <c r="A32" t="s">
        <v>16</v>
      </c>
      <c r="B32" t="s">
        <v>3255</v>
      </c>
      <c r="C32" t="s">
        <v>3256</v>
      </c>
      <c r="D32" t="s">
        <v>3255</v>
      </c>
      <c r="E32" t="s">
        <v>3256</v>
      </c>
      <c r="F32" t="s">
        <v>3220</v>
      </c>
      <c r="G32" t="s">
        <v>1589</v>
      </c>
    </row>
    <row r="33" ht="11.25" customHeight="1">
      <c r="A33" t="s">
        <v>16</v>
      </c>
      <c r="B33" t="s">
        <v>3255</v>
      </c>
      <c r="C33" t="s">
        <v>3256</v>
      </c>
      <c r="D33" t="s">
        <v>3267</v>
      </c>
      <c r="E33" t="s">
        <v>3268</v>
      </c>
      <c r="F33" t="s">
        <v>3219</v>
      </c>
      <c r="G33" t="s">
        <v>1591</v>
      </c>
    </row>
    <row r="34" ht="11.25" customHeight="1">
      <c r="A34" t="s">
        <v>16</v>
      </c>
      <c r="B34" t="s">
        <v>3255</v>
      </c>
      <c r="C34" t="s">
        <v>3256</v>
      </c>
      <c r="D34" t="s">
        <v>3269</v>
      </c>
      <c r="E34" t="s">
        <v>3270</v>
      </c>
      <c r="F34" t="s">
        <v>3219</v>
      </c>
      <c r="G34" t="s">
        <v>1593</v>
      </c>
    </row>
    <row r="35" ht="11.25" customHeight="1">
      <c r="A35" t="s">
        <v>16</v>
      </c>
      <c r="B35" t="s">
        <v>3255</v>
      </c>
      <c r="C35" t="s">
        <v>3256</v>
      </c>
      <c r="D35" t="s">
        <v>3271</v>
      </c>
      <c r="E35" t="s">
        <v>3272</v>
      </c>
      <c r="F35" t="s">
        <v>3219</v>
      </c>
      <c r="G35" t="s">
        <v>1598</v>
      </c>
    </row>
    <row r="36" ht="11.25" customHeight="1">
      <c r="A36" t="s">
        <v>16</v>
      </c>
      <c r="B36" t="s">
        <v>3255</v>
      </c>
      <c r="C36" t="s">
        <v>3256</v>
      </c>
      <c r="D36" t="s">
        <v>3273</v>
      </c>
      <c r="E36" t="s">
        <v>3274</v>
      </c>
      <c r="F36" t="s">
        <v>3219</v>
      </c>
      <c r="G36" t="s">
        <v>1603</v>
      </c>
    </row>
    <row r="37" ht="11.25" customHeight="1">
      <c r="A37" t="s">
        <v>16</v>
      </c>
      <c r="B37" t="s">
        <v>3255</v>
      </c>
      <c r="C37" t="s">
        <v>3256</v>
      </c>
      <c r="D37" t="s">
        <v>3275</v>
      </c>
      <c r="E37" t="s">
        <v>3276</v>
      </c>
      <c r="F37" t="s">
        <v>3219</v>
      </c>
      <c r="G37" t="s">
        <v>1607</v>
      </c>
    </row>
    <row r="38" ht="11.25" customHeight="1">
      <c r="A38" t="s">
        <v>16</v>
      </c>
      <c r="B38" t="s">
        <v>3277</v>
      </c>
      <c r="C38" t="s">
        <v>3278</v>
      </c>
      <c r="D38" t="s">
        <v>3277</v>
      </c>
      <c r="E38" t="s">
        <v>3278</v>
      </c>
      <c r="F38" t="s">
        <v>3203</v>
      </c>
      <c r="G38" t="s">
        <v>1615</v>
      </c>
    </row>
    <row r="39" ht="11.25" customHeight="1">
      <c r="A39" t="s">
        <v>16</v>
      </c>
      <c r="B39" t="s">
        <v>3279</v>
      </c>
      <c r="C39" t="s">
        <v>3280</v>
      </c>
      <c r="D39" t="s">
        <v>3279</v>
      </c>
      <c r="E39" t="s">
        <v>3280</v>
      </c>
      <c r="F39" t="s">
        <v>3206</v>
      </c>
      <c r="G39" t="s">
        <v>1621</v>
      </c>
    </row>
    <row r="40" ht="11.25" customHeight="1">
      <c r="A40" t="s">
        <v>16</v>
      </c>
      <c r="B40" t="s">
        <v>3281</v>
      </c>
      <c r="C40" t="s">
        <v>3282</v>
      </c>
      <c r="D40" t="s">
        <v>3281</v>
      </c>
      <c r="E40" t="s">
        <v>3282</v>
      </c>
      <c r="F40" t="s">
        <v>3203</v>
      </c>
      <c r="G40" t="s">
        <v>1626</v>
      </c>
    </row>
    <row r="41" ht="11.25" customHeight="1">
      <c r="A41" t="s">
        <v>16</v>
      </c>
      <c r="B41" t="s">
        <v>3283</v>
      </c>
      <c r="C41" t="s">
        <v>3284</v>
      </c>
      <c r="D41" t="s">
        <v>3285</v>
      </c>
      <c r="E41" t="s">
        <v>3286</v>
      </c>
      <c r="F41" t="s">
        <v>3219</v>
      </c>
      <c r="G41" t="s">
        <v>1630</v>
      </c>
    </row>
    <row r="42" ht="11.25" customHeight="1">
      <c r="A42" t="s">
        <v>16</v>
      </c>
      <c r="B42" t="s">
        <v>3283</v>
      </c>
      <c r="C42" t="s">
        <v>3284</v>
      </c>
      <c r="D42" t="s">
        <v>3287</v>
      </c>
      <c r="E42" t="s">
        <v>3288</v>
      </c>
      <c r="F42" t="s">
        <v>3219</v>
      </c>
      <c r="G42" t="s">
        <v>1633</v>
      </c>
    </row>
    <row r="43" ht="11.25" customHeight="1">
      <c r="A43" t="s">
        <v>16</v>
      </c>
      <c r="B43" t="s">
        <v>3283</v>
      </c>
      <c r="C43" t="s">
        <v>3284</v>
      </c>
      <c r="D43" t="s">
        <v>3289</v>
      </c>
      <c r="E43" t="s">
        <v>3290</v>
      </c>
      <c r="F43" t="s">
        <v>3219</v>
      </c>
      <c r="G43" t="s">
        <v>1640</v>
      </c>
    </row>
    <row r="44" ht="11.25" customHeight="1">
      <c r="A44" t="s">
        <v>16</v>
      </c>
      <c r="B44" t="s">
        <v>3283</v>
      </c>
      <c r="C44" t="s">
        <v>3284</v>
      </c>
      <c r="D44" t="s">
        <v>3283</v>
      </c>
      <c r="E44" t="s">
        <v>3284</v>
      </c>
      <c r="F44" t="s">
        <v>3220</v>
      </c>
      <c r="G44" t="s">
        <v>1649</v>
      </c>
    </row>
    <row r="45" ht="11.25" customHeight="1">
      <c r="A45" t="s">
        <v>16</v>
      </c>
      <c r="B45" t="s">
        <v>3283</v>
      </c>
      <c r="C45" t="s">
        <v>3284</v>
      </c>
      <c r="D45" t="s">
        <v>3291</v>
      </c>
      <c r="E45" t="s">
        <v>3292</v>
      </c>
      <c r="F45" t="s">
        <v>3219</v>
      </c>
      <c r="G45" t="s">
        <v>1654</v>
      </c>
    </row>
    <row r="46" ht="11.25" customHeight="1">
      <c r="A46" t="s">
        <v>16</v>
      </c>
      <c r="B46" t="s">
        <v>3283</v>
      </c>
      <c r="C46" t="s">
        <v>3284</v>
      </c>
      <c r="D46" t="s">
        <v>3293</v>
      </c>
      <c r="E46" t="s">
        <v>3294</v>
      </c>
      <c r="F46" t="s">
        <v>3242</v>
      </c>
      <c r="G46" t="s">
        <v>1658</v>
      </c>
    </row>
    <row r="47" ht="11.25" customHeight="1">
      <c r="A47" t="s">
        <v>16</v>
      </c>
      <c r="B47" t="s">
        <v>3283</v>
      </c>
      <c r="C47" t="s">
        <v>3284</v>
      </c>
      <c r="D47" t="s">
        <v>3295</v>
      </c>
      <c r="E47" t="s">
        <v>3296</v>
      </c>
      <c r="F47" t="s">
        <v>3219</v>
      </c>
      <c r="G47" t="s">
        <v>1664</v>
      </c>
    </row>
    <row r="48" ht="11.25" customHeight="1">
      <c r="A48" t="s">
        <v>16</v>
      </c>
      <c r="B48" t="s">
        <v>3283</v>
      </c>
      <c r="C48" t="s">
        <v>3284</v>
      </c>
      <c r="D48" t="s">
        <v>3297</v>
      </c>
      <c r="E48" t="s">
        <v>3298</v>
      </c>
      <c r="F48" t="s">
        <v>3219</v>
      </c>
      <c r="G48" t="s">
        <v>1668</v>
      </c>
    </row>
    <row r="49" ht="11.25" customHeight="1">
      <c r="A49" t="s">
        <v>16</v>
      </c>
      <c r="B49" t="s">
        <v>3299</v>
      </c>
      <c r="C49" t="s">
        <v>3300</v>
      </c>
      <c r="D49" t="s">
        <v>3299</v>
      </c>
      <c r="E49" t="s">
        <v>3300</v>
      </c>
      <c r="F49" t="s">
        <v>3220</v>
      </c>
      <c r="G49" t="s">
        <v>1671</v>
      </c>
    </row>
    <row r="50" ht="11.25" customHeight="1">
      <c r="A50" t="s">
        <v>16</v>
      </c>
      <c r="B50" t="s">
        <v>3299</v>
      </c>
      <c r="C50" t="s">
        <v>3300</v>
      </c>
      <c r="D50" t="s">
        <v>3301</v>
      </c>
      <c r="E50" t="s">
        <v>3302</v>
      </c>
      <c r="F50" t="s">
        <v>3219</v>
      </c>
      <c r="G50" t="s">
        <v>1674</v>
      </c>
    </row>
    <row r="51" ht="11.25" customHeight="1">
      <c r="A51" t="s">
        <v>16</v>
      </c>
      <c r="B51" t="s">
        <v>3299</v>
      </c>
      <c r="C51" t="s">
        <v>3300</v>
      </c>
      <c r="D51" t="s">
        <v>3303</v>
      </c>
      <c r="E51" t="s">
        <v>3304</v>
      </c>
      <c r="F51" t="s">
        <v>3219</v>
      </c>
      <c r="G51" t="s">
        <v>1679</v>
      </c>
    </row>
    <row r="52" ht="11.25" customHeight="1">
      <c r="A52" t="s">
        <v>16</v>
      </c>
      <c r="B52" t="s">
        <v>3299</v>
      </c>
      <c r="C52" t="s">
        <v>3300</v>
      </c>
      <c r="D52" t="s">
        <v>3305</v>
      </c>
      <c r="E52" t="s">
        <v>3306</v>
      </c>
      <c r="F52" t="s">
        <v>3219</v>
      </c>
      <c r="G52" t="s">
        <v>1683</v>
      </c>
    </row>
    <row r="53" ht="11.25" customHeight="1">
      <c r="A53" t="s">
        <v>16</v>
      </c>
      <c r="B53" t="s">
        <v>3307</v>
      </c>
      <c r="C53" t="s">
        <v>3308</v>
      </c>
      <c r="D53" t="s">
        <v>3307</v>
      </c>
      <c r="E53" t="s">
        <v>3308</v>
      </c>
      <c r="F53" t="s">
        <v>3206</v>
      </c>
      <c r="G53" t="s">
        <v>1685</v>
      </c>
    </row>
    <row r="54" ht="11.25" customHeight="1">
      <c r="A54" t="s">
        <v>16</v>
      </c>
      <c r="B54" t="s">
        <v>3309</v>
      </c>
      <c r="C54" t="s">
        <v>3310</v>
      </c>
      <c r="D54" t="s">
        <v>3309</v>
      </c>
      <c r="E54" t="s">
        <v>3310</v>
      </c>
      <c r="F54" t="s">
        <v>3203</v>
      </c>
      <c r="G54" t="s">
        <v>1688</v>
      </c>
    </row>
    <row r="55" ht="11.25" customHeight="1">
      <c r="A55" t="s">
        <v>16</v>
      </c>
      <c r="B55" t="s">
        <v>3311</v>
      </c>
      <c r="C55" t="s">
        <v>3312</v>
      </c>
      <c r="D55" t="s">
        <v>3311</v>
      </c>
      <c r="E55" t="s">
        <v>3312</v>
      </c>
      <c r="F55" t="s">
        <v>3203</v>
      </c>
      <c r="G55" t="s">
        <v>1692</v>
      </c>
    </row>
    <row r="56" ht="11.25" customHeight="1">
      <c r="A56" t="s">
        <v>16</v>
      </c>
      <c r="B56" t="s">
        <v>3313</v>
      </c>
      <c r="C56" t="s">
        <v>3314</v>
      </c>
      <c r="D56" t="s">
        <v>3313</v>
      </c>
      <c r="E56" t="s">
        <v>3314</v>
      </c>
      <c r="F56" t="s">
        <v>3206</v>
      </c>
      <c r="G56" t="s">
        <v>1695</v>
      </c>
    </row>
    <row r="57" ht="11.25" customHeight="1">
      <c r="A57" t="s">
        <v>16</v>
      </c>
      <c r="B57" t="s">
        <v>3315</v>
      </c>
      <c r="C57" t="s">
        <v>3316</v>
      </c>
      <c r="D57" t="s">
        <v>3315</v>
      </c>
      <c r="E57" t="s">
        <v>3316</v>
      </c>
      <c r="F57" t="s">
        <v>3203</v>
      </c>
      <c r="G57" t="s">
        <v>1698</v>
      </c>
    </row>
    <row r="58" ht="11.25" customHeight="1">
      <c r="A58" t="s">
        <v>16</v>
      </c>
      <c r="B58" t="s">
        <v>3317</v>
      </c>
      <c r="C58" t="s">
        <v>3318</v>
      </c>
      <c r="D58" t="s">
        <v>3319</v>
      </c>
      <c r="E58" t="s">
        <v>3320</v>
      </c>
      <c r="F58" t="s">
        <v>3219</v>
      </c>
      <c r="G58" t="s">
        <v>1701</v>
      </c>
    </row>
    <row r="59" ht="11.25" customHeight="1">
      <c r="A59" t="s">
        <v>16</v>
      </c>
      <c r="B59" t="s">
        <v>3317</v>
      </c>
      <c r="C59" t="s">
        <v>3318</v>
      </c>
      <c r="D59" t="s">
        <v>3321</v>
      </c>
      <c r="E59" t="s">
        <v>3322</v>
      </c>
      <c r="F59" t="s">
        <v>3219</v>
      </c>
      <c r="G59" t="s">
        <v>1705</v>
      </c>
    </row>
    <row r="60" ht="11.25" customHeight="1">
      <c r="A60" t="s">
        <v>16</v>
      </c>
      <c r="B60" t="s">
        <v>3317</v>
      </c>
      <c r="C60" t="s">
        <v>3318</v>
      </c>
      <c r="D60" t="s">
        <v>3323</v>
      </c>
      <c r="E60" t="s">
        <v>3324</v>
      </c>
      <c r="F60" t="s">
        <v>3219</v>
      </c>
      <c r="G60" t="s">
        <v>1708</v>
      </c>
    </row>
    <row r="61" ht="11.25" customHeight="1">
      <c r="A61" t="s">
        <v>16</v>
      </c>
      <c r="B61" t="s">
        <v>3317</v>
      </c>
      <c r="C61" t="s">
        <v>3318</v>
      </c>
      <c r="D61" t="s">
        <v>3325</v>
      </c>
      <c r="E61" t="s">
        <v>3326</v>
      </c>
      <c r="F61" t="s">
        <v>3225</v>
      </c>
      <c r="G61" t="s">
        <v>3327</v>
      </c>
    </row>
    <row r="62" ht="11.25" customHeight="1">
      <c r="A62" t="s">
        <v>16</v>
      </c>
      <c r="B62" t="s">
        <v>3317</v>
      </c>
      <c r="C62" t="s">
        <v>3318</v>
      </c>
      <c r="D62" t="s">
        <v>3328</v>
      </c>
      <c r="E62" t="s">
        <v>3329</v>
      </c>
      <c r="F62" t="s">
        <v>3219</v>
      </c>
      <c r="G62" t="s">
        <v>3330</v>
      </c>
    </row>
    <row r="63" ht="11.25" customHeight="1">
      <c r="A63" t="s">
        <v>16</v>
      </c>
      <c r="B63" t="s">
        <v>3317</v>
      </c>
      <c r="C63" t="s">
        <v>3318</v>
      </c>
      <c r="D63" t="s">
        <v>3331</v>
      </c>
      <c r="E63" t="s">
        <v>3332</v>
      </c>
      <c r="F63" t="s">
        <v>3219</v>
      </c>
      <c r="G63" t="s">
        <v>3333</v>
      </c>
    </row>
    <row r="64" ht="11.25" customHeight="1">
      <c r="A64" t="s">
        <v>16</v>
      </c>
      <c r="B64" t="s">
        <v>3317</v>
      </c>
      <c r="C64" t="s">
        <v>3318</v>
      </c>
      <c r="D64" t="s">
        <v>3317</v>
      </c>
      <c r="E64" t="s">
        <v>3318</v>
      </c>
      <c r="F64" t="s">
        <v>3220</v>
      </c>
      <c r="G64" t="s">
        <v>3334</v>
      </c>
    </row>
    <row r="65" ht="11.25" customHeight="1">
      <c r="A65" t="s">
        <v>16</v>
      </c>
      <c r="B65" t="s">
        <v>3317</v>
      </c>
      <c r="C65" t="s">
        <v>3318</v>
      </c>
      <c r="D65" t="s">
        <v>3335</v>
      </c>
      <c r="E65" t="s">
        <v>3336</v>
      </c>
      <c r="F65" t="s">
        <v>3219</v>
      </c>
      <c r="G65" t="s">
        <v>3337</v>
      </c>
    </row>
    <row r="66" ht="11.25" customHeight="1">
      <c r="A66" t="s">
        <v>16</v>
      </c>
      <c r="B66" t="s">
        <v>3338</v>
      </c>
      <c r="C66" t="s">
        <v>3339</v>
      </c>
      <c r="D66" t="s">
        <v>3338</v>
      </c>
      <c r="E66" t="s">
        <v>3339</v>
      </c>
      <c r="F66" t="s">
        <v>3203</v>
      </c>
      <c r="G66" t="s">
        <v>3340</v>
      </c>
    </row>
    <row r="67" ht="11.25" customHeight="1">
      <c r="A67" t="s">
        <v>16</v>
      </c>
      <c r="B67" t="s">
        <v>3341</v>
      </c>
      <c r="C67" t="s">
        <v>3342</v>
      </c>
      <c r="D67" t="s">
        <v>3341</v>
      </c>
      <c r="E67" t="s">
        <v>3342</v>
      </c>
      <c r="F67" t="s">
        <v>3203</v>
      </c>
      <c r="G67" t="s">
        <v>2025</v>
      </c>
    </row>
    <row r="68" ht="11.25" customHeight="1">
      <c r="A68" t="s">
        <v>16</v>
      </c>
      <c r="B68" t="s">
        <v>3343</v>
      </c>
      <c r="C68" t="s">
        <v>3344</v>
      </c>
      <c r="D68" t="s">
        <v>3345</v>
      </c>
      <c r="E68" t="s">
        <v>3346</v>
      </c>
      <c r="F68" t="s">
        <v>3219</v>
      </c>
      <c r="G68" t="s">
        <v>3347</v>
      </c>
    </row>
    <row r="69" ht="11.25" customHeight="1">
      <c r="A69" t="s">
        <v>16</v>
      </c>
      <c r="B69" t="s">
        <v>3343</v>
      </c>
      <c r="C69" t="s">
        <v>3344</v>
      </c>
      <c r="D69" t="s">
        <v>3348</v>
      </c>
      <c r="E69" t="s">
        <v>3349</v>
      </c>
      <c r="F69" t="s">
        <v>3219</v>
      </c>
      <c r="G69" t="s">
        <v>2228</v>
      </c>
    </row>
    <row r="70" ht="11.25" customHeight="1">
      <c r="A70" t="s">
        <v>16</v>
      </c>
      <c r="B70" t="s">
        <v>3343</v>
      </c>
      <c r="C70" t="s">
        <v>3344</v>
      </c>
      <c r="D70" t="s">
        <v>3350</v>
      </c>
      <c r="E70" t="s">
        <v>3351</v>
      </c>
      <c r="F70" t="s">
        <v>3219</v>
      </c>
      <c r="G70" t="s">
        <v>3352</v>
      </c>
    </row>
    <row r="71" ht="11.25" customHeight="1">
      <c r="A71" t="s">
        <v>16</v>
      </c>
      <c r="B71" t="s">
        <v>3343</v>
      </c>
      <c r="C71" t="s">
        <v>3344</v>
      </c>
      <c r="D71" t="s">
        <v>3353</v>
      </c>
      <c r="E71" t="s">
        <v>3354</v>
      </c>
      <c r="F71" t="s">
        <v>3219</v>
      </c>
      <c r="G71" t="s">
        <v>3355</v>
      </c>
    </row>
    <row r="72" ht="11.25" customHeight="1">
      <c r="A72" t="s">
        <v>16</v>
      </c>
      <c r="B72" t="s">
        <v>3343</v>
      </c>
      <c r="C72" t="s">
        <v>3344</v>
      </c>
      <c r="D72" t="s">
        <v>3356</v>
      </c>
      <c r="E72" t="s">
        <v>3357</v>
      </c>
      <c r="F72" t="s">
        <v>3219</v>
      </c>
      <c r="G72" t="s">
        <v>3358</v>
      </c>
    </row>
    <row r="73" ht="11.25" customHeight="1">
      <c r="A73" t="s">
        <v>16</v>
      </c>
      <c r="B73" t="s">
        <v>3343</v>
      </c>
      <c r="C73" t="s">
        <v>3344</v>
      </c>
      <c r="D73" t="s">
        <v>3343</v>
      </c>
      <c r="E73" t="s">
        <v>3344</v>
      </c>
      <c r="F73" t="s">
        <v>3220</v>
      </c>
      <c r="G73" t="s">
        <v>3359</v>
      </c>
    </row>
    <row r="74" ht="11.25" customHeight="1">
      <c r="A74" t="s">
        <v>16</v>
      </c>
      <c r="B74" t="s">
        <v>3343</v>
      </c>
      <c r="C74" t="s">
        <v>3344</v>
      </c>
      <c r="D74" t="s">
        <v>3360</v>
      </c>
      <c r="E74" t="s">
        <v>3361</v>
      </c>
      <c r="F74" t="s">
        <v>3219</v>
      </c>
      <c r="G74" t="s">
        <v>3362</v>
      </c>
    </row>
    <row r="75" ht="11.25" customHeight="1">
      <c r="A75" t="s">
        <v>16</v>
      </c>
      <c r="B75" t="s">
        <v>3343</v>
      </c>
      <c r="C75" t="s">
        <v>3344</v>
      </c>
      <c r="D75" t="s">
        <v>3363</v>
      </c>
      <c r="E75" t="s">
        <v>3364</v>
      </c>
      <c r="F75" t="s">
        <v>3219</v>
      </c>
      <c r="G75" t="s">
        <v>3365</v>
      </c>
    </row>
    <row r="76" ht="11.25" customHeight="1">
      <c r="A76" t="s">
        <v>16</v>
      </c>
      <c r="B76" t="s">
        <v>3343</v>
      </c>
      <c r="C76" t="s">
        <v>3344</v>
      </c>
      <c r="D76" t="s">
        <v>3366</v>
      </c>
      <c r="E76" t="s">
        <v>3367</v>
      </c>
      <c r="F76" t="s">
        <v>3219</v>
      </c>
      <c r="G76" t="s">
        <v>3368</v>
      </c>
    </row>
    <row r="77" ht="11.25" customHeight="1">
      <c r="A77" t="s">
        <v>16</v>
      </c>
      <c r="B77" t="s">
        <v>3369</v>
      </c>
      <c r="C77" t="s">
        <v>3370</v>
      </c>
      <c r="D77" t="s">
        <v>3369</v>
      </c>
      <c r="E77" t="s">
        <v>3370</v>
      </c>
      <c r="F77" t="s">
        <v>3203</v>
      </c>
      <c r="G77" t="s">
        <v>3371</v>
      </c>
    </row>
    <row r="78" ht="11.25" customHeight="1">
      <c r="A78" t="s">
        <v>16</v>
      </c>
      <c r="B78" t="s">
        <v>3372</v>
      </c>
      <c r="C78" t="s">
        <v>3373</v>
      </c>
      <c r="D78" t="s">
        <v>3372</v>
      </c>
      <c r="E78" t="s">
        <v>3373</v>
      </c>
      <c r="F78" t="s">
        <v>3206</v>
      </c>
      <c r="G78" t="s">
        <v>3374</v>
      </c>
    </row>
    <row r="79" ht="11.25" customHeight="1">
      <c r="A79" t="s">
        <v>16</v>
      </c>
      <c r="B79" t="s">
        <v>3375</v>
      </c>
      <c r="C79" t="s">
        <v>3376</v>
      </c>
      <c r="D79" t="s">
        <v>3375</v>
      </c>
      <c r="E79" t="s">
        <v>3376</v>
      </c>
      <c r="F79" t="s">
        <v>3203</v>
      </c>
      <c r="G79" t="s">
        <v>3377</v>
      </c>
    </row>
    <row r="80" ht="11.25" customHeight="1">
      <c r="A80" t="s">
        <v>16</v>
      </c>
      <c r="B80" t="s">
        <v>3378</v>
      </c>
      <c r="C80" t="s">
        <v>3379</v>
      </c>
      <c r="D80" t="s">
        <v>3378</v>
      </c>
      <c r="E80" t="s">
        <v>3379</v>
      </c>
      <c r="F80" t="s">
        <v>3203</v>
      </c>
      <c r="G80" t="s">
        <v>3380</v>
      </c>
    </row>
    <row r="81" ht="11.25" customHeight="1">
      <c r="A81" t="s">
        <v>16</v>
      </c>
      <c r="B81" t="s">
        <v>3381</v>
      </c>
      <c r="C81" t="s">
        <v>3382</v>
      </c>
      <c r="D81" t="s">
        <v>3381</v>
      </c>
      <c r="E81" t="s">
        <v>3382</v>
      </c>
      <c r="F81" t="s">
        <v>3203</v>
      </c>
      <c r="G81" t="s">
        <v>3383</v>
      </c>
    </row>
    <row r="82" ht="11.25" customHeight="1">
      <c r="A82" t="s">
        <v>16</v>
      </c>
      <c r="B82" t="s">
        <v>3384</v>
      </c>
      <c r="C82" t="s">
        <v>3385</v>
      </c>
      <c r="D82" t="s">
        <v>3384</v>
      </c>
      <c r="E82" t="s">
        <v>3385</v>
      </c>
      <c r="F82" t="s">
        <v>3203</v>
      </c>
      <c r="G82" t="s">
        <v>3386</v>
      </c>
    </row>
    <row r="83" ht="11.25" customHeight="1">
      <c r="A83" t="s">
        <v>16</v>
      </c>
      <c r="B83" t="s">
        <v>3387</v>
      </c>
      <c r="C83" t="s">
        <v>3388</v>
      </c>
      <c r="D83" t="s">
        <v>3389</v>
      </c>
      <c r="E83" t="s">
        <v>3390</v>
      </c>
      <c r="F83" t="s">
        <v>3219</v>
      </c>
      <c r="G83" t="s">
        <v>3391</v>
      </c>
    </row>
    <row r="84" ht="11.25" customHeight="1">
      <c r="A84" t="s">
        <v>16</v>
      </c>
      <c r="B84" t="s">
        <v>3387</v>
      </c>
      <c r="C84" t="s">
        <v>3388</v>
      </c>
      <c r="D84" t="s">
        <v>3392</v>
      </c>
      <c r="E84" t="s">
        <v>3393</v>
      </c>
      <c r="F84" t="s">
        <v>3225</v>
      </c>
      <c r="G84" t="s">
        <v>3394</v>
      </c>
    </row>
    <row r="85" ht="11.25" customHeight="1">
      <c r="A85" t="s">
        <v>16</v>
      </c>
      <c r="B85" t="s">
        <v>3387</v>
      </c>
      <c r="C85" t="s">
        <v>3388</v>
      </c>
      <c r="D85" t="s">
        <v>3395</v>
      </c>
      <c r="E85" t="s">
        <v>3396</v>
      </c>
      <c r="F85" t="s">
        <v>3219</v>
      </c>
      <c r="G85" t="s">
        <v>3397</v>
      </c>
    </row>
    <row r="86" ht="11.25" customHeight="1">
      <c r="A86" t="s">
        <v>16</v>
      </c>
      <c r="B86" t="s">
        <v>3387</v>
      </c>
      <c r="C86" t="s">
        <v>3388</v>
      </c>
      <c r="D86" t="s">
        <v>3398</v>
      </c>
      <c r="E86" t="s">
        <v>3399</v>
      </c>
      <c r="F86" t="s">
        <v>3242</v>
      </c>
      <c r="G86" t="s">
        <v>3400</v>
      </c>
    </row>
    <row r="87" ht="11.25" customHeight="1">
      <c r="A87" t="s">
        <v>16</v>
      </c>
      <c r="B87" t="s">
        <v>3387</v>
      </c>
      <c r="C87" t="s">
        <v>3388</v>
      </c>
      <c r="D87" t="s">
        <v>3401</v>
      </c>
      <c r="E87" t="s">
        <v>3402</v>
      </c>
      <c r="F87" t="s">
        <v>3219</v>
      </c>
      <c r="G87" t="s">
        <v>3403</v>
      </c>
    </row>
    <row r="88" ht="11.25" customHeight="1">
      <c r="A88" t="s">
        <v>16</v>
      </c>
      <c r="B88" t="s">
        <v>3387</v>
      </c>
      <c r="C88" t="s">
        <v>3388</v>
      </c>
      <c r="D88" t="s">
        <v>3387</v>
      </c>
      <c r="E88" t="s">
        <v>3388</v>
      </c>
      <c r="F88" t="s">
        <v>3220</v>
      </c>
      <c r="G88" t="s">
        <v>3404</v>
      </c>
    </row>
    <row r="89" ht="11.25" customHeight="1">
      <c r="A89" t="s">
        <v>16</v>
      </c>
      <c r="B89" t="s">
        <v>3387</v>
      </c>
      <c r="C89" t="s">
        <v>3388</v>
      </c>
      <c r="D89" t="s">
        <v>3405</v>
      </c>
      <c r="E89" t="s">
        <v>3406</v>
      </c>
      <c r="F89" t="s">
        <v>3219</v>
      </c>
      <c r="G89" t="s">
        <v>3407</v>
      </c>
    </row>
    <row r="90" ht="11.25" customHeight="1">
      <c r="A90" t="s">
        <v>16</v>
      </c>
      <c r="B90" t="s">
        <v>3408</v>
      </c>
      <c r="C90" t="s">
        <v>3409</v>
      </c>
      <c r="D90" t="s">
        <v>3408</v>
      </c>
      <c r="E90" t="s">
        <v>3409</v>
      </c>
      <c r="F90" t="s">
        <v>3203</v>
      </c>
      <c r="G90" t="s">
        <v>3410</v>
      </c>
    </row>
    <row r="91" ht="11.25" customHeight="1">
      <c r="A91" t="s">
        <v>16</v>
      </c>
      <c r="B91" t="s">
        <v>3411</v>
      </c>
      <c r="C91" t="s">
        <v>3412</v>
      </c>
      <c r="D91" t="s">
        <v>3411</v>
      </c>
      <c r="E91" t="s">
        <v>3412</v>
      </c>
      <c r="F91" t="s">
        <v>3203</v>
      </c>
      <c r="G91" t="s">
        <v>3413</v>
      </c>
    </row>
    <row r="92" ht="11.25" customHeight="1">
      <c r="A92" t="s">
        <v>16</v>
      </c>
      <c r="B92" t="s">
        <v>3414</v>
      </c>
      <c r="C92" t="s">
        <v>3415</v>
      </c>
      <c r="D92" t="s">
        <v>3416</v>
      </c>
      <c r="E92" t="s">
        <v>3417</v>
      </c>
      <c r="F92" t="s">
        <v>3219</v>
      </c>
      <c r="G92" t="s">
        <v>3418</v>
      </c>
    </row>
    <row r="93" ht="11.25" customHeight="1">
      <c r="A93" t="s">
        <v>16</v>
      </c>
      <c r="B93" t="s">
        <v>3414</v>
      </c>
      <c r="C93" t="s">
        <v>3415</v>
      </c>
      <c r="D93" t="s">
        <v>3419</v>
      </c>
      <c r="E93" t="s">
        <v>3420</v>
      </c>
      <c r="F93" t="s">
        <v>3219</v>
      </c>
      <c r="G93" t="s">
        <v>3421</v>
      </c>
    </row>
    <row r="94" ht="11.25" customHeight="1">
      <c r="A94" t="s">
        <v>16</v>
      </c>
      <c r="B94" t="s">
        <v>3414</v>
      </c>
      <c r="C94" t="s">
        <v>3415</v>
      </c>
      <c r="D94" t="s">
        <v>3422</v>
      </c>
      <c r="E94" t="s">
        <v>3423</v>
      </c>
      <c r="F94" t="s">
        <v>3219</v>
      </c>
      <c r="G94" t="s">
        <v>3424</v>
      </c>
    </row>
    <row r="95" ht="11.25" customHeight="1">
      <c r="A95" t="s">
        <v>16</v>
      </c>
      <c r="B95" t="s">
        <v>3414</v>
      </c>
      <c r="C95" t="s">
        <v>3415</v>
      </c>
      <c r="D95" t="s">
        <v>3425</v>
      </c>
      <c r="E95" t="s">
        <v>3426</v>
      </c>
      <c r="F95" t="s">
        <v>3242</v>
      </c>
      <c r="G95" t="s">
        <v>3427</v>
      </c>
    </row>
    <row r="96" ht="11.25" customHeight="1">
      <c r="A96" t="s">
        <v>16</v>
      </c>
      <c r="B96" t="s">
        <v>3414</v>
      </c>
      <c r="C96" t="s">
        <v>3415</v>
      </c>
      <c r="D96" t="s">
        <v>3428</v>
      </c>
      <c r="E96" t="s">
        <v>3429</v>
      </c>
      <c r="F96" t="s">
        <v>3219</v>
      </c>
      <c r="G96" t="s">
        <v>3430</v>
      </c>
    </row>
    <row r="97" ht="11.25" customHeight="1">
      <c r="A97" t="s">
        <v>16</v>
      </c>
      <c r="B97" t="s">
        <v>3414</v>
      </c>
      <c r="C97" t="s">
        <v>3415</v>
      </c>
      <c r="D97" t="s">
        <v>3414</v>
      </c>
      <c r="E97" t="s">
        <v>3415</v>
      </c>
      <c r="F97" t="s">
        <v>3220</v>
      </c>
      <c r="G97" t="s">
        <v>3431</v>
      </c>
    </row>
    <row r="98" ht="11.25" customHeight="1">
      <c r="A98" t="s">
        <v>16</v>
      </c>
      <c r="B98" t="s">
        <v>3414</v>
      </c>
      <c r="C98" t="s">
        <v>3415</v>
      </c>
      <c r="D98" t="s">
        <v>3432</v>
      </c>
      <c r="E98" t="s">
        <v>3433</v>
      </c>
      <c r="F98" t="s">
        <v>3242</v>
      </c>
      <c r="G98" t="s">
        <v>3434</v>
      </c>
    </row>
    <row r="99" ht="11.25" customHeight="1">
      <c r="A99" t="s">
        <v>16</v>
      </c>
      <c r="B99" t="s">
        <v>3414</v>
      </c>
      <c r="C99" t="s">
        <v>3415</v>
      </c>
      <c r="D99" t="s">
        <v>3435</v>
      </c>
      <c r="E99" t="s">
        <v>3436</v>
      </c>
      <c r="F99" t="s">
        <v>3219</v>
      </c>
      <c r="G99" t="s">
        <v>3437</v>
      </c>
    </row>
    <row r="100" ht="11.25" customHeight="1">
      <c r="A100" t="s">
        <v>16</v>
      </c>
      <c r="B100" t="s">
        <v>3438</v>
      </c>
      <c r="C100" t="s">
        <v>3439</v>
      </c>
      <c r="D100" t="s">
        <v>3438</v>
      </c>
      <c r="E100" t="s">
        <v>3439</v>
      </c>
      <c r="F100" t="s">
        <v>3203</v>
      </c>
      <c r="G100" t="s">
        <v>3440</v>
      </c>
    </row>
    <row r="101" ht="11.25" customHeight="1">
      <c r="A101" t="s">
        <v>16</v>
      </c>
      <c r="B101" t="s">
        <v>3441</v>
      </c>
      <c r="C101" t="s">
        <v>3442</v>
      </c>
      <c r="D101" t="s">
        <v>3443</v>
      </c>
      <c r="E101" t="s">
        <v>3444</v>
      </c>
      <c r="F101" t="s">
        <v>3219</v>
      </c>
      <c r="G101" t="s">
        <v>3445</v>
      </c>
    </row>
    <row r="102" ht="11.25" customHeight="1">
      <c r="A102" t="s">
        <v>16</v>
      </c>
      <c r="B102" t="s">
        <v>3441</v>
      </c>
      <c r="C102" t="s">
        <v>3442</v>
      </c>
      <c r="D102" t="s">
        <v>3446</v>
      </c>
      <c r="E102" t="s">
        <v>3447</v>
      </c>
      <c r="F102" t="s">
        <v>3219</v>
      </c>
      <c r="G102" t="s">
        <v>3448</v>
      </c>
    </row>
    <row r="103" ht="11.25" customHeight="1">
      <c r="A103" t="s">
        <v>16</v>
      </c>
      <c r="B103" t="s">
        <v>3441</v>
      </c>
      <c r="C103" t="s">
        <v>3442</v>
      </c>
      <c r="D103" t="s">
        <v>3449</v>
      </c>
      <c r="E103" t="s">
        <v>3450</v>
      </c>
      <c r="F103" t="s">
        <v>3219</v>
      </c>
      <c r="G103" t="s">
        <v>3451</v>
      </c>
    </row>
    <row r="104" ht="11.25" customHeight="1">
      <c r="A104" t="s">
        <v>16</v>
      </c>
      <c r="B104" t="s">
        <v>3441</v>
      </c>
      <c r="C104" t="s">
        <v>3442</v>
      </c>
      <c r="D104" t="s">
        <v>3452</v>
      </c>
      <c r="E104" t="s">
        <v>3453</v>
      </c>
      <c r="F104" t="s">
        <v>3219</v>
      </c>
      <c r="G104" t="s">
        <v>3454</v>
      </c>
    </row>
    <row r="105" ht="11.25" customHeight="1">
      <c r="A105" t="s">
        <v>16</v>
      </c>
      <c r="B105" t="s">
        <v>3441</v>
      </c>
      <c r="C105" t="s">
        <v>3442</v>
      </c>
      <c r="D105" t="s">
        <v>3441</v>
      </c>
      <c r="E105" t="s">
        <v>3442</v>
      </c>
      <c r="F105" t="s">
        <v>3220</v>
      </c>
      <c r="G105" t="s">
        <v>3455</v>
      </c>
    </row>
    <row r="106" ht="11.25" customHeight="1">
      <c r="A106" t="s">
        <v>16</v>
      </c>
      <c r="B106" t="s">
        <v>3441</v>
      </c>
      <c r="C106" t="s">
        <v>3442</v>
      </c>
      <c r="D106" t="s">
        <v>3456</v>
      </c>
      <c r="E106" t="s">
        <v>3457</v>
      </c>
      <c r="F106" t="s">
        <v>3219</v>
      </c>
      <c r="G106" t="s">
        <v>3458</v>
      </c>
    </row>
    <row r="107" ht="11.25" customHeight="1">
      <c r="A107" t="s">
        <v>16</v>
      </c>
      <c r="B107" t="s">
        <v>3459</v>
      </c>
      <c r="C107" t="s">
        <v>3460</v>
      </c>
      <c r="D107" t="s">
        <v>3459</v>
      </c>
      <c r="E107" t="s">
        <v>3460</v>
      </c>
      <c r="F107" t="s">
        <v>3206</v>
      </c>
      <c r="G107" t="s">
        <v>3461</v>
      </c>
    </row>
    <row r="108" ht="11.25" customHeight="1">
      <c r="A108" t="s">
        <v>16</v>
      </c>
      <c r="B108" t="s">
        <v>3462</v>
      </c>
      <c r="C108" t="s">
        <v>3463</v>
      </c>
      <c r="D108" t="s">
        <v>3462</v>
      </c>
      <c r="E108" t="s">
        <v>3463</v>
      </c>
      <c r="F108" t="s">
        <v>3206</v>
      </c>
      <c r="G108" t="s">
        <v>3464</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1" width="9.140625"/>
    <col customWidth="1" min="2" max="2" style="1691" width="84.28125"/>
    <col min="3" max="3" style="1691" width="9.140625"/>
  </cols>
  <sheetData>
    <row r="1" ht="11.25" customHeight="1">
      <c r="A1" s="835" t="s">
        <v>3527</v>
      </c>
      <c r="B1" s="835" t="s">
        <v>3528</v>
      </c>
      <c r="C1" s="835" t="s">
        <v>1171</v>
      </c>
    </row>
    <row r="2" ht="11.25" customHeight="1">
      <c r="A2" s="835">
        <v>4189678</v>
      </c>
      <c r="B2" s="835" t="s">
        <v>3529</v>
      </c>
      <c r="C2" s="835" t="s">
        <v>3530</v>
      </c>
    </row>
    <row r="3" ht="11.25" customHeight="1">
      <c r="A3" s="835">
        <v>4190415</v>
      </c>
      <c r="B3" s="835" t="s">
        <v>3531</v>
      </c>
      <c r="C3" s="835" t="s">
        <v>3530</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2" width="38.421875"/>
    <col min="2" max="5" style="162" width="9.140625"/>
  </cols>
  <sheetData>
    <row r="1" ht="15" customHeight="1">
      <c r="A1" s="163" t="s">
        <v>3532</v>
      </c>
      <c r="B1" s="163" t="s">
        <v>3533</v>
      </c>
      <c r="C1" s="163"/>
      <c r="D1" s="163"/>
      <c r="E1" s="163"/>
    </row>
    <row r="2" ht="15" customHeight="1">
      <c r="A2" s="163"/>
      <c r="B2" s="163"/>
      <c r="C2" s="163"/>
      <c r="D2" s="163"/>
      <c r="E2" s="163"/>
    </row>
    <row r="3" ht="15" customHeight="1">
      <c r="A3" s="163"/>
      <c r="B3" s="163"/>
      <c r="C3" s="163"/>
      <c r="D3" s="163"/>
      <c r="E3" s="163"/>
    </row>
    <row r="4" ht="15" customHeight="1">
      <c r="A4" s="163"/>
      <c r="B4" s="163"/>
      <c r="C4" s="163"/>
      <c r="D4" s="163"/>
      <c r="E4" s="163"/>
    </row>
    <row r="5" ht="15" customHeight="1">
      <c r="A5" s="163"/>
      <c r="B5" s="163"/>
      <c r="C5" s="163"/>
      <c r="D5" s="163"/>
      <c r="E5" s="163"/>
    </row>
    <row r="6" ht="15" customHeight="1">
      <c r="A6" s="163"/>
      <c r="B6" s="163"/>
      <c r="C6" s="163"/>
      <c r="D6" s="163"/>
      <c r="E6" s="163"/>
    </row>
    <row r="7" ht="15" customHeight="1">
      <c r="A7" s="163"/>
      <c r="B7" s="163"/>
      <c r="C7" s="163"/>
      <c r="D7" s="163"/>
      <c r="E7" s="163"/>
    </row>
    <row r="8" ht="15" customHeight="1">
      <c r="A8" s="163"/>
      <c r="B8" s="163"/>
      <c r="C8" s="163"/>
      <c r="D8" s="163"/>
      <c r="E8" s="163"/>
    </row>
  </sheetData>
  <sheetProtection autoFilter="0" deleteColumns="1" deleteRows="1" formatColumns="0" formatRows="0"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3534</v>
      </c>
      <c r="B1" t="b">
        <v>1</v>
      </c>
    </row>
    <row r="2" ht="11.25" customHeight="1">
      <c r="A2" t="s">
        <v>3535</v>
      </c>
      <c r="B2" t="b">
        <v>0</v>
      </c>
    </row>
    <row r="3" ht="11.25" customHeight="1">
      <c r="A3" t="s">
        <v>3536</v>
      </c>
      <c r="B3" t="b">
        <v>1</v>
      </c>
    </row>
    <row r="4" ht="11.25" customHeight="1">
      <c r="A4" t="s">
        <v>3537</v>
      </c>
      <c r="B4" t="b">
        <v>0</v>
      </c>
    </row>
    <row r="5" ht="11.25" customHeight="1">
      <c r="A5" t="s">
        <v>3538</v>
      </c>
      <c r="B5" t="b">
        <v>0</v>
      </c>
    </row>
    <row r="6" ht="11.25" customHeight="1">
      <c r="A6" t="s">
        <v>3539</v>
      </c>
      <c r="B6" t="b">
        <v>0</v>
      </c>
    </row>
    <row r="7" ht="11.25" customHeight="1">
      <c r="A7" t="s">
        <v>3540</v>
      </c>
      <c r="B7" t="b">
        <v>0</v>
      </c>
    </row>
    <row r="8" ht="11.25" customHeight="1">
      <c r="A8" t="s">
        <v>3541</v>
      </c>
      <c r="B8" t="b">
        <v>0</v>
      </c>
    </row>
    <row r="9" ht="11.25" customHeight="1">
      <c r="A9" t="s">
        <v>3542</v>
      </c>
      <c r="B9" t="b">
        <v>0</v>
      </c>
    </row>
    <row r="10" ht="11.25" customHeight="1">
      <c r="A10" t="s">
        <v>3543</v>
      </c>
      <c r="B10" t="b">
        <v>0</v>
      </c>
    </row>
    <row r="11" ht="11.25" customHeight="1">
      <c r="A11" t="s">
        <v>3544</v>
      </c>
      <c r="B11" t="b">
        <v>0</v>
      </c>
    </row>
    <row r="12" ht="11.25" customHeight="1">
      <c r="A12" t="s">
        <v>3545</v>
      </c>
      <c r="B12" t="b">
        <v>0</v>
      </c>
    </row>
    <row r="13" ht="11.25" customHeight="1">
      <c r="A13" t="s">
        <v>3546</v>
      </c>
      <c r="B13" t="b">
        <v>0</v>
      </c>
    </row>
    <row r="14" ht="11.25" customHeight="1">
      <c r="A14" t="s">
        <v>3547</v>
      </c>
      <c r="B14" t="b">
        <v>1</v>
      </c>
    </row>
    <row r="15" ht="11.25" customHeight="1">
      <c r="A15" t="s">
        <v>3548</v>
      </c>
      <c r="B15" t="b">
        <v>1</v>
      </c>
    </row>
  </sheetData>
  <sheetProtection autoFilter="0" deleteColumns="1" deleteRows="1" insertColumns="1" insertRows="1" sheet="1" sort="1"/>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1704" width="9.140625"/>
  </cols>
  <sheetData>
    <row r="1" ht="12.75" customHeight="1">
      <c r="A1" s="62"/>
    </row>
  </sheetData>
  <sheetProtection autoFilter="0" deleteColumns="1" deleteRows="1" insertColumns="1" insertRows="1" sheet="1" sort="1"/>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0" width="36.28125"/>
    <col customWidth="1" min="2" max="2" style="1850" width="21.140625"/>
  </cols>
  <sheetData>
    <row r="1" ht="11.25" customHeight="1">
      <c r="A1" s="67" t="s">
        <v>3549</v>
      </c>
      <c r="B1" s="67" t="s">
        <v>3550</v>
      </c>
    </row>
    <row r="2" ht="11.25" customHeight="1">
      <c r="A2" s="64" t="s">
        <v>3551</v>
      </c>
      <c r="B2" s="64" t="s">
        <v>3552</v>
      </c>
    </row>
    <row r="3" ht="11.25" customHeight="1">
      <c r="A3" s="64" t="s">
        <v>3553</v>
      </c>
      <c r="B3" s="64" t="s">
        <v>3554</v>
      </c>
    </row>
    <row r="4" ht="11.25" customHeight="1">
      <c r="A4" s="64" t="s">
        <v>3555</v>
      </c>
      <c r="B4" s="64" t="s">
        <v>3556</v>
      </c>
    </row>
    <row r="5" ht="11.25" customHeight="1">
      <c r="A5" s="64" t="s">
        <v>3557</v>
      </c>
      <c r="B5" s="64" t="s">
        <v>3558</v>
      </c>
    </row>
    <row r="6" ht="11.25" customHeight="1">
      <c r="A6" s="64" t="s">
        <v>3559</v>
      </c>
      <c r="B6" s="64" t="s">
        <v>3560</v>
      </c>
    </row>
    <row r="7" ht="11.25" customHeight="1">
      <c r="A7" s="64" t="s">
        <v>3561</v>
      </c>
      <c r="B7" s="64" t="s">
        <v>3562</v>
      </c>
    </row>
    <row r="8" ht="11.25" customHeight="1">
      <c r="A8" s="64" t="s">
        <v>3563</v>
      </c>
      <c r="B8" s="64" t="s">
        <v>3564</v>
      </c>
    </row>
    <row r="9" ht="11.25" customHeight="1">
      <c r="A9" s="64" t="s">
        <v>3565</v>
      </c>
      <c r="B9" s="64" t="s">
        <v>3566</v>
      </c>
    </row>
    <row r="10" ht="11.25" customHeight="1">
      <c r="A10" s="64" t="s">
        <v>3567</v>
      </c>
      <c r="B10" s="64" t="s">
        <v>3568</v>
      </c>
    </row>
    <row r="11" ht="11.25" customHeight="1">
      <c r="A11" s="64" t="s">
        <v>3569</v>
      </c>
      <c r="B11" s="64" t="s">
        <v>3570</v>
      </c>
    </row>
    <row r="12" ht="11.25" customHeight="1">
      <c r="A12" s="64" t="s">
        <v>3571</v>
      </c>
      <c r="B12" s="64" t="s">
        <v>3572</v>
      </c>
    </row>
    <row r="13" ht="11.25" customHeight="1">
      <c r="A13" s="64" t="s">
        <v>3573</v>
      </c>
      <c r="B13" s="64" t="s">
        <v>3574</v>
      </c>
    </row>
    <row r="14" ht="11.25" customHeight="1">
      <c r="A14" s="64" t="s">
        <v>3575</v>
      </c>
      <c r="B14" s="64" t="s">
        <v>3576</v>
      </c>
    </row>
    <row r="15" ht="11.25" customHeight="1">
      <c r="A15" s="64" t="s">
        <v>3577</v>
      </c>
      <c r="B15" s="64" t="s">
        <v>3578</v>
      </c>
    </row>
    <row r="16" ht="11.25" customHeight="1">
      <c r="A16" s="64" t="s">
        <v>3579</v>
      </c>
      <c r="B16" s="64" t="s">
        <v>3580</v>
      </c>
    </row>
    <row r="17" ht="11.25" customHeight="1">
      <c r="A17" s="64" t="s">
        <v>3581</v>
      </c>
      <c r="B17" s="64" t="s">
        <v>3582</v>
      </c>
    </row>
    <row r="18" ht="11.25" customHeight="1">
      <c r="A18" s="64" t="s">
        <v>3583</v>
      </c>
      <c r="B18" s="64" t="s">
        <v>3584</v>
      </c>
    </row>
    <row r="19" ht="11.25" customHeight="1">
      <c r="A19" s="64" t="s">
        <v>3585</v>
      </c>
      <c r="B19" s="64" t="s">
        <v>3586</v>
      </c>
    </row>
    <row r="20" ht="11.25" customHeight="1">
      <c r="A20" s="64" t="s">
        <v>3587</v>
      </c>
      <c r="B20" s="64" t="s">
        <v>3588</v>
      </c>
    </row>
    <row r="21" ht="11.25" customHeight="1">
      <c r="A21" s="64" t="s">
        <v>3589</v>
      </c>
      <c r="B21" s="64" t="s">
        <v>3590</v>
      </c>
    </row>
    <row r="22" ht="11.25" customHeight="1">
      <c r="A22" s="64" t="s">
        <v>3591</v>
      </c>
      <c r="B22" s="64" t="s">
        <v>3592</v>
      </c>
    </row>
    <row r="23" ht="11.25" customHeight="1">
      <c r="A23" s="64" t="s">
        <v>3593</v>
      </c>
      <c r="B23" s="64" t="s">
        <v>3594</v>
      </c>
    </row>
    <row r="24" ht="11.25" customHeight="1">
      <c r="A24" s="64" t="s">
        <v>3595</v>
      </c>
      <c r="B24" s="64" t="s">
        <v>3596</v>
      </c>
    </row>
    <row r="25" ht="11.25" customHeight="1">
      <c r="A25" s="64" t="s">
        <v>3597</v>
      </c>
      <c r="B25" s="64" t="s">
        <v>3598</v>
      </c>
    </row>
    <row r="26" ht="11.25" customHeight="1">
      <c r="A26" s="64" t="s">
        <v>3599</v>
      </c>
      <c r="B26" s="64" t="s">
        <v>3600</v>
      </c>
    </row>
    <row r="27" ht="11.25" customHeight="1">
      <c r="A27" s="64" t="s">
        <v>3601</v>
      </c>
      <c r="B27" s="64" t="s">
        <v>3602</v>
      </c>
    </row>
    <row r="28" ht="11.25" customHeight="1">
      <c r="A28" s="64" t="s">
        <v>3603</v>
      </c>
      <c r="B28" s="64" t="s">
        <v>3604</v>
      </c>
    </row>
    <row r="29" ht="11.25" customHeight="1">
      <c r="A29" s="64" t="s">
        <v>3605</v>
      </c>
      <c r="B29" s="64" t="s">
        <v>3606</v>
      </c>
    </row>
    <row r="30" ht="11.25" customHeight="1">
      <c r="A30" s="64" t="s">
        <v>3607</v>
      </c>
      <c r="B30" s="64" t="s">
        <v>3608</v>
      </c>
    </row>
    <row r="31" ht="11.25" customHeight="1">
      <c r="A31" s="64" t="s">
        <v>3609</v>
      </c>
      <c r="B31" s="64" t="s">
        <v>3610</v>
      </c>
    </row>
    <row r="32" ht="11.25" customHeight="1">
      <c r="A32" s="64" t="s">
        <v>3611</v>
      </c>
      <c r="B32" s="64" t="s">
        <v>3612</v>
      </c>
    </row>
    <row r="33" ht="11.25" customHeight="1">
      <c r="A33" s="64" t="s">
        <v>3613</v>
      </c>
      <c r="B33" s="64" t="s">
        <v>3614</v>
      </c>
    </row>
    <row r="34" ht="11.25" customHeight="1">
      <c r="A34" s="64" t="s">
        <v>3615</v>
      </c>
      <c r="B34" s="64" t="s">
        <v>3616</v>
      </c>
    </row>
    <row r="35" ht="11.25" customHeight="1">
      <c r="A35" s="64" t="s">
        <v>3617</v>
      </c>
      <c r="B35" s="64" t="s">
        <v>3618</v>
      </c>
    </row>
    <row r="36" ht="11.25" customHeight="1">
      <c r="A36" s="64" t="s">
        <v>3619</v>
      </c>
      <c r="B36" s="64" t="s">
        <v>3620</v>
      </c>
    </row>
    <row r="37" ht="11.25" customHeight="1">
      <c r="A37" s="64" t="s">
        <v>3621</v>
      </c>
      <c r="B37" s="64" t="s">
        <v>3622</v>
      </c>
    </row>
    <row r="38" ht="11.25" customHeight="1">
      <c r="A38" s="64" t="s">
        <v>3623</v>
      </c>
      <c r="B38" s="64" t="s">
        <v>3624</v>
      </c>
    </row>
    <row r="39" ht="11.25" customHeight="1">
      <c r="A39" s="64" t="s">
        <v>3625</v>
      </c>
      <c r="B39" s="64" t="s">
        <v>3626</v>
      </c>
    </row>
    <row r="40" ht="11.25" customHeight="1">
      <c r="A40" s="64" t="s">
        <v>3627</v>
      </c>
      <c r="B40" s="64" t="s">
        <v>3628</v>
      </c>
    </row>
    <row r="41" ht="11.25" customHeight="1">
      <c r="A41" s="64" t="s">
        <v>3629</v>
      </c>
      <c r="B41" s="64" t="s">
        <v>3630</v>
      </c>
    </row>
    <row r="42" ht="11.25" customHeight="1">
      <c r="A42" s="64" t="s">
        <v>3631</v>
      </c>
      <c r="B42" s="64" t="s">
        <v>3632</v>
      </c>
    </row>
    <row r="43" ht="11.25" customHeight="1">
      <c r="A43" s="64" t="s">
        <v>3633</v>
      </c>
      <c r="B43" s="64" t="s">
        <v>3634</v>
      </c>
    </row>
    <row r="44" ht="11.25" customHeight="1">
      <c r="A44" s="64" t="s">
        <v>3635</v>
      </c>
      <c r="B44" s="64" t="s">
        <v>3636</v>
      </c>
    </row>
    <row r="45" ht="11.25" customHeight="1">
      <c r="A45" s="64" t="s">
        <v>3637</v>
      </c>
      <c r="B45" s="64" t="s">
        <v>3638</v>
      </c>
    </row>
    <row r="46" ht="11.25" customHeight="1">
      <c r="A46" s="64" t="s">
        <v>3639</v>
      </c>
      <c r="B46" s="64" t="s">
        <v>3640</v>
      </c>
    </row>
    <row r="47" ht="11.25" customHeight="1">
      <c r="A47" s="64" t="s">
        <v>3641</v>
      </c>
      <c r="B47" s="64" t="s">
        <v>3642</v>
      </c>
    </row>
    <row r="48" ht="11.25" customHeight="1">
      <c r="A48" s="64" t="s">
        <v>3643</v>
      </c>
      <c r="B48" s="64" t="s">
        <v>3644</v>
      </c>
    </row>
    <row r="49" ht="11.25" customHeight="1">
      <c r="A49" s="64" t="s">
        <v>3645</v>
      </c>
      <c r="B49" s="64" t="s">
        <v>3646</v>
      </c>
    </row>
    <row r="50" ht="11.25" customHeight="1">
      <c r="A50" s="64" t="s">
        <v>3647</v>
      </c>
      <c r="B50" s="64" t="s">
        <v>3648</v>
      </c>
    </row>
    <row r="51" ht="11.25" customHeight="1">
      <c r="A51" s="64" t="s">
        <v>3649</v>
      </c>
      <c r="B51" s="64" t="s">
        <v>3650</v>
      </c>
    </row>
    <row r="52" ht="11.25" customHeight="1">
      <c r="A52" s="64" t="s">
        <v>3651</v>
      </c>
      <c r="B52" s="64" t="s">
        <v>3652</v>
      </c>
    </row>
    <row r="53" ht="11.25" customHeight="1">
      <c r="A53" s="64" t="s">
        <v>3653</v>
      </c>
      <c r="B53" s="64" t="s">
        <v>3654</v>
      </c>
    </row>
    <row r="54" ht="11.25" customHeight="1">
      <c r="A54" s="64" t="s">
        <v>3655</v>
      </c>
      <c r="B54" s="64" t="s">
        <v>3656</v>
      </c>
    </row>
    <row r="55" ht="11.25" customHeight="1">
      <c r="A55" s="64" t="s">
        <v>3657</v>
      </c>
      <c r="B55" s="64" t="s">
        <v>3658</v>
      </c>
    </row>
    <row r="56" ht="11.25" customHeight="1">
      <c r="A56" s="64" t="s">
        <v>3659</v>
      </c>
      <c r="B56" s="64" t="s">
        <v>3660</v>
      </c>
    </row>
    <row r="57" ht="11.25" customHeight="1">
      <c r="A57" s="64" t="s">
        <v>3661</v>
      </c>
      <c r="B57" s="64" t="s">
        <v>3662</v>
      </c>
    </row>
    <row r="58" ht="11.25" customHeight="1">
      <c r="A58" s="64" t="s">
        <v>3663</v>
      </c>
      <c r="B58" s="64" t="s">
        <v>3664</v>
      </c>
    </row>
    <row r="59" ht="11.25" customHeight="1">
      <c r="A59" s="64" t="s">
        <v>3665</v>
      </c>
      <c r="B59" s="64" t="s">
        <v>3666</v>
      </c>
    </row>
    <row r="60" ht="11.25" customHeight="1">
      <c r="A60" s="64" t="s">
        <v>3667</v>
      </c>
      <c r="B60" s="64" t="s">
        <v>3668</v>
      </c>
    </row>
    <row r="61" ht="11.25" customHeight="1">
      <c r="A61" s="64"/>
      <c r="B61" s="64" t="s">
        <v>3669</v>
      </c>
    </row>
    <row r="62" ht="11.25" customHeight="1">
      <c r="A62" s="64"/>
      <c r="B62" s="64" t="s">
        <v>3670</v>
      </c>
    </row>
    <row r="63" ht="11.25" customHeight="1">
      <c r="A63" s="64"/>
      <c r="B63" s="64" t="s">
        <v>3671</v>
      </c>
    </row>
    <row r="64" ht="11.25" customHeight="1">
      <c r="A64" s="64"/>
      <c r="B64" s="64" t="s">
        <v>3672</v>
      </c>
    </row>
    <row r="65" ht="11.25" customHeight="1">
      <c r="A65" s="64"/>
      <c r="B65" s="64" t="s">
        <v>3673</v>
      </c>
    </row>
    <row r="66" ht="11.25" customHeight="1">
      <c r="A66" s="64"/>
      <c r="B66" s="64" t="s">
        <v>3674</v>
      </c>
    </row>
    <row r="67" ht="11.25" customHeight="1">
      <c r="A67" s="64"/>
      <c r="B67" s="64" t="s">
        <v>3675</v>
      </c>
    </row>
    <row r="68" ht="11.25" customHeight="1">
      <c r="A68" s="64"/>
      <c r="B68" s="64" t="s">
        <v>3676</v>
      </c>
    </row>
    <row r="69" ht="11.25" customHeight="1">
      <c r="A69" s="64"/>
      <c r="B69" s="64" t="s">
        <v>3677</v>
      </c>
    </row>
    <row r="70" ht="11.25" customHeight="1">
      <c r="A70" s="64"/>
      <c r="B70" s="64" t="s">
        <v>3678</v>
      </c>
    </row>
    <row r="71" ht="11.25" customHeight="1">
      <c r="A71" s="64"/>
      <c r="B71" s="64"/>
    </row>
    <row r="72" ht="11.25" customHeight="1">
      <c r="A72" s="64"/>
      <c r="B72" s="64"/>
    </row>
    <row r="73" ht="11.25" customHeight="1">
      <c r="A73" s="64"/>
      <c r="B73" s="64"/>
    </row>
    <row r="74" ht="11.25" customHeight="1">
      <c r="A74" s="64"/>
      <c r="B74" s="64"/>
    </row>
    <row r="75" ht="11.25" customHeight="1">
      <c r="A75" s="64"/>
      <c r="B75" s="64"/>
    </row>
    <row r="76" ht="11.25" customHeight="1">
      <c r="A76" s="64"/>
      <c r="B76" s="64"/>
    </row>
    <row r="77" ht="11.25" customHeight="1">
      <c r="A77" s="64"/>
      <c r="B77" s="64"/>
    </row>
    <row r="78" ht="11.25" customHeight="1">
      <c r="A78" s="64"/>
      <c r="B78" s="64"/>
    </row>
    <row r="79" ht="11.25" customHeight="1">
      <c r="A79" s="64"/>
      <c r="B79" s="64"/>
    </row>
    <row r="80" ht="11.25" customHeight="1">
      <c r="A80" s="64"/>
      <c r="B80" s="64"/>
    </row>
    <row r="81" ht="11.25" customHeight="1">
      <c r="A81" s="64"/>
      <c r="B81" s="64"/>
    </row>
    <row r="82" ht="11.25" customHeight="1">
      <c r="A82" s="64"/>
      <c r="B82" s="64"/>
    </row>
    <row r="83" ht="11.25" customHeight="1">
      <c r="A83" s="64"/>
      <c r="B83" s="64"/>
    </row>
    <row r="84" ht="11.25" customHeight="1">
      <c r="A84" s="64"/>
      <c r="B84" s="64"/>
    </row>
    <row r="85" ht="11.25" customHeight="1">
      <c r="A85" s="64"/>
      <c r="B85" s="64"/>
    </row>
    <row r="86" ht="11.25" customHeight="1">
      <c r="A86" s="64"/>
      <c r="B86" s="64"/>
    </row>
    <row r="87" ht="11.25" customHeight="1">
      <c r="A87" s="64"/>
      <c r="B87" s="64"/>
    </row>
    <row r="88" ht="11.25" customHeight="1">
      <c r="A88" s="64"/>
      <c r="B88" s="64"/>
    </row>
    <row r="89" ht="11.25" customHeight="1">
      <c r="A89" s="64"/>
      <c r="B89" s="64"/>
    </row>
    <row r="90" ht="11.25" customHeight="1">
      <c r="A90" s="64"/>
      <c r="B90" s="64"/>
    </row>
    <row r="91" ht="11.25" customHeight="1">
      <c r="A91" s="64"/>
      <c r="B91" s="64"/>
    </row>
    <row r="92" ht="11.25" customHeight="1">
      <c r="A92" s="64"/>
      <c r="B92" s="64"/>
    </row>
    <row r="93" ht="11.25" customHeight="1">
      <c r="A93" s="64"/>
      <c r="B93" s="64"/>
    </row>
    <row r="94" ht="11.25" customHeight="1">
      <c r="A94" s="64"/>
      <c r="B94" s="64"/>
    </row>
    <row r="95" ht="11.25" customHeight="1">
      <c r="A95" s="64"/>
      <c r="B95" s="64"/>
    </row>
    <row r="96" ht="11.25" customHeight="1">
      <c r="A96" s="64"/>
      <c r="B96" s="64"/>
    </row>
    <row r="97" ht="11.25" customHeight="1">
      <c r="A97" s="64"/>
      <c r="B97" s="64"/>
    </row>
    <row r="98" ht="11.25" customHeight="1">
      <c r="A98" s="64"/>
      <c r="B98" s="64"/>
    </row>
    <row r="99" ht="11.25" customHeight="1">
      <c r="A99" s="64"/>
      <c r="B99" s="64"/>
    </row>
    <row r="100" ht="11.25" customHeight="1">
      <c r="A100" s="64"/>
      <c r="B100" s="64"/>
    </row>
    <row r="101" ht="11.25" customHeight="1">
      <c r="A101" s="64"/>
      <c r="B101" s="64"/>
    </row>
    <row r="102" ht="11.25" customHeight="1">
      <c r="A102" s="64"/>
      <c r="B102" s="64"/>
    </row>
    <row r="103" ht="11.25" customHeight="1">
      <c r="A103" s="64"/>
      <c r="B103" s="64"/>
    </row>
    <row r="104" ht="11.25" customHeight="1">
      <c r="A104" s="64"/>
      <c r="B104" s="64"/>
    </row>
    <row r="105" ht="11.25" customHeight="1">
      <c r="A105" s="64"/>
      <c r="B105" s="64"/>
    </row>
    <row r="106" ht="11.25" customHeight="1">
      <c r="A106" s="64"/>
      <c r="B106" s="64"/>
    </row>
    <row r="107" ht="11.25" customHeight="1">
      <c r="A107" s="64"/>
      <c r="B107" s="64"/>
    </row>
    <row r="108" ht="11.25" customHeight="1">
      <c r="A108" s="64"/>
      <c r="B108" s="64"/>
    </row>
    <row r="109" ht="11.25" customHeight="1">
      <c r="A109" s="64"/>
      <c r="B109" s="64"/>
    </row>
    <row r="110" ht="11.25" customHeight="1">
      <c r="A110" s="64"/>
      <c r="B110" s="64"/>
    </row>
    <row r="111" ht="11.25" customHeight="1">
      <c r="A111" s="64"/>
      <c r="B111" s="64"/>
    </row>
    <row r="112" ht="11.25" customHeight="1">
      <c r="A112" s="64"/>
      <c r="B112" s="64"/>
    </row>
    <row r="113" ht="11.25" customHeight="1">
      <c r="A113" s="64"/>
      <c r="B113" s="64"/>
    </row>
    <row r="114" ht="11.25" customHeight="1">
      <c r="A114" s="64"/>
      <c r="B114" s="64"/>
    </row>
    <row r="115" ht="11.25" customHeight="1">
      <c r="A115" s="64"/>
      <c r="B115" s="64"/>
    </row>
    <row r="116" ht="11.25" customHeight="1">
      <c r="A116" s="64"/>
      <c r="B116" s="64"/>
    </row>
    <row r="117" ht="11.25" customHeight="1">
      <c r="A117" s="64"/>
      <c r="B117" s="64"/>
    </row>
    <row r="118" ht="11.25" customHeight="1">
      <c r="A118" s="64"/>
      <c r="B118" s="64"/>
    </row>
    <row r="119" ht="11.25" customHeight="1">
      <c r="A119" s="64"/>
      <c r="B119" s="64"/>
    </row>
    <row r="120" ht="11.25" customHeight="1">
      <c r="A120" s="64"/>
      <c r="B120" s="64"/>
    </row>
    <row r="121" ht="11.25" customHeight="1">
      <c r="A121" s="64"/>
      <c r="B121" s="64"/>
    </row>
    <row r="122" ht="11.25" customHeight="1">
      <c r="A122" s="64"/>
      <c r="B122" s="64"/>
    </row>
    <row r="123" ht="11.25" customHeight="1">
      <c r="A123" s="64"/>
      <c r="B123" s="64"/>
    </row>
    <row r="124" ht="11.25" customHeight="1">
      <c r="A124" s="64"/>
      <c r="B124" s="64"/>
    </row>
    <row r="125" ht="11.25" customHeight="1">
      <c r="A125" s="64"/>
      <c r="B125" s="64"/>
    </row>
    <row r="126" ht="11.25" customHeight="1">
      <c r="A126" s="64"/>
      <c r="B126" s="64"/>
    </row>
    <row r="127" ht="11.25" customHeight="1">
      <c r="A127" s="64"/>
      <c r="B127" s="64"/>
    </row>
    <row r="128" ht="11.25" customHeight="1">
      <c r="A128" s="64"/>
      <c r="B128" s="64"/>
    </row>
    <row r="129" ht="11.25" customHeight="1">
      <c r="A129" s="64"/>
      <c r="B129" s="64"/>
    </row>
    <row r="130" ht="11.25" customHeight="1">
      <c r="A130" s="64"/>
      <c r="B130" s="64"/>
    </row>
    <row r="131" ht="11.25" customHeight="1">
      <c r="A131" s="64"/>
      <c r="B131" s="64"/>
    </row>
    <row r="132" ht="11.25" customHeight="1">
      <c r="A132" s="64"/>
      <c r="B132" s="64"/>
    </row>
    <row r="133" ht="11.25" customHeight="1">
      <c r="A133" s="64"/>
      <c r="B133" s="64"/>
    </row>
    <row r="134" ht="11.25" customHeight="1">
      <c r="A134" s="64"/>
      <c r="B134" s="64"/>
    </row>
    <row r="135" ht="11.25" customHeight="1">
      <c r="A135" s="64"/>
      <c r="B135" s="64"/>
    </row>
    <row r="136" ht="11.25" customHeight="1">
      <c r="A136" s="64"/>
      <c r="B136" s="64"/>
    </row>
    <row r="137" ht="11.25" customHeight="1">
      <c r="A137" s="64"/>
      <c r="B137" s="64"/>
    </row>
    <row r="138" ht="11.25" customHeight="1">
      <c r="A138" s="64"/>
      <c r="B138" s="64"/>
    </row>
    <row r="139" ht="11.25" customHeight="1">
      <c r="A139" s="64"/>
      <c r="B139" s="64"/>
    </row>
    <row r="140" ht="11.25" customHeight="1">
      <c r="A140" s="64"/>
      <c r="B140" s="64"/>
    </row>
    <row r="141" ht="11.25" customHeight="1">
      <c r="A141" s="64"/>
      <c r="B141" s="64"/>
    </row>
    <row r="142" ht="11.25" customHeight="1">
      <c r="A142" s="64"/>
      <c r="B142" s="64"/>
    </row>
    <row r="143" ht="11.25" customHeight="1">
      <c r="A143" s="64"/>
      <c r="B143" s="64"/>
    </row>
    <row r="144" ht="11.25" customHeight="1">
      <c r="A144" s="64"/>
      <c r="B144" s="64"/>
    </row>
    <row r="145" ht="11.25" customHeight="1">
      <c r="A145" s="64"/>
      <c r="B145" s="64"/>
    </row>
    <row r="146" ht="11.25" customHeight="1">
      <c r="A146" s="64"/>
      <c r="B146" s="64"/>
    </row>
    <row r="147" ht="11.25" customHeight="1">
      <c r="A147" s="64"/>
      <c r="B147" s="64"/>
    </row>
    <row r="148" ht="11.25" customHeight="1">
      <c r="A148" s="64"/>
      <c r="B148" s="64"/>
    </row>
    <row r="149" ht="11.25" customHeight="1">
      <c r="A149" s="64"/>
      <c r="B149" s="64"/>
    </row>
    <row r="150" ht="11.25" customHeight="1">
      <c r="A150" s="64"/>
      <c r="B150" s="64"/>
    </row>
    <row r="151" ht="11.25" customHeight="1">
      <c r="A151" s="64"/>
      <c r="B151" s="64"/>
    </row>
    <row r="152" ht="11.25" customHeight="1">
      <c r="A152" s="64"/>
      <c r="B152" s="64"/>
    </row>
    <row r="153" ht="11.25" customHeight="1">
      <c r="A153" s="64"/>
      <c r="B153" s="64"/>
    </row>
    <row r="154" ht="11.25" customHeight="1">
      <c r="A154" s="64"/>
      <c r="B154" s="64"/>
    </row>
    <row r="155" ht="11.25" customHeight="1">
      <c r="A155" s="64"/>
      <c r="B155" s="64"/>
    </row>
    <row r="156" ht="11.25" customHeight="1">
      <c r="A156" s="64"/>
      <c r="B156" s="64"/>
    </row>
    <row r="157" ht="11.25" customHeight="1">
      <c r="A157" s="64"/>
      <c r="B157" s="64"/>
    </row>
    <row r="158" ht="11.25" customHeight="1">
      <c r="A158" s="64"/>
      <c r="B158" s="64"/>
    </row>
    <row r="159" ht="11.25" customHeight="1">
      <c r="A159" s="64"/>
      <c r="B159" s="64"/>
    </row>
    <row r="160" ht="11.25" customHeight="1">
      <c r="A160" s="64"/>
      <c r="B160" s="64"/>
    </row>
    <row r="161" ht="11.25" customHeight="1">
      <c r="A161" s="64"/>
      <c r="B161" s="64"/>
    </row>
    <row r="162" ht="11.25" customHeight="1">
      <c r="A162" s="64"/>
      <c r="B162" s="64"/>
    </row>
    <row r="163" ht="11.25" customHeight="1">
      <c r="A163" s="64"/>
      <c r="B163" s="64"/>
    </row>
    <row r="164" ht="11.25" customHeight="1">
      <c r="A164" s="64"/>
      <c r="B164" s="64"/>
    </row>
    <row r="165" ht="11.25" customHeight="1">
      <c r="A165" s="64"/>
      <c r="B165" s="64"/>
    </row>
    <row r="166" ht="11.25" customHeight="1">
      <c r="A166" s="64"/>
      <c r="B166" s="64"/>
    </row>
    <row r="167" ht="11.25" customHeight="1">
      <c r="A167" s="64"/>
      <c r="B167" s="64"/>
    </row>
    <row r="168" ht="11.25" customHeight="1">
      <c r="A168" s="64"/>
      <c r="B168" s="64"/>
    </row>
    <row r="169" ht="11.25" customHeight="1">
      <c r="A169" s="64"/>
      <c r="B169" s="64"/>
    </row>
    <row r="170" ht="11.25" customHeight="1">
      <c r="A170" s="64"/>
      <c r="B170" s="64"/>
    </row>
    <row r="171" ht="11.25" customHeight="1">
      <c r="A171" s="64"/>
      <c r="B171" s="64"/>
    </row>
    <row r="172" ht="11.25" customHeight="1">
      <c r="A172" s="64"/>
      <c r="B172" s="64"/>
    </row>
    <row r="173" ht="11.25" customHeight="1">
      <c r="A173" s="64"/>
      <c r="B173" s="64"/>
    </row>
    <row r="174" ht="11.25" customHeight="1">
      <c r="A174" s="64"/>
      <c r="B174" s="64"/>
    </row>
    <row r="175" ht="11.25" customHeight="1">
      <c r="A175" s="64"/>
      <c r="B175" s="64"/>
    </row>
    <row r="176" ht="11.25" customHeight="1">
      <c r="A176" s="64"/>
      <c r="B176" s="64"/>
    </row>
    <row r="177" ht="11.25" customHeight="1">
      <c r="A177" s="64"/>
      <c r="B177" s="64"/>
    </row>
    <row r="178" ht="11.25" customHeight="1">
      <c r="A178" s="64"/>
      <c r="B178" s="64"/>
    </row>
    <row r="179" ht="11.25" customHeight="1">
      <c r="A179" s="64"/>
      <c r="B179" s="64"/>
    </row>
    <row r="180" ht="11.25" customHeight="1">
      <c r="A180" s="64"/>
      <c r="B180" s="64"/>
    </row>
    <row r="181" ht="11.25" customHeight="1">
      <c r="A181" s="64"/>
      <c r="B181" s="64"/>
    </row>
    <row r="182" ht="11.25" customHeight="1">
      <c r="A182" s="64"/>
      <c r="B182" s="64"/>
    </row>
    <row r="183" ht="11.25" customHeight="1">
      <c r="A183" s="64"/>
      <c r="B183" s="64"/>
    </row>
    <row r="184" ht="11.25" customHeight="1">
      <c r="A184" s="64"/>
      <c r="B184" s="64"/>
    </row>
    <row r="185" ht="11.25" customHeight="1">
      <c r="A185" s="64"/>
      <c r="B185" s="64"/>
    </row>
    <row r="186" ht="11.25" customHeight="1">
      <c r="A186" s="64"/>
      <c r="B186" s="64"/>
    </row>
    <row r="187" ht="11.25" customHeight="1">
      <c r="A187" s="64"/>
      <c r="B187" s="64"/>
    </row>
    <row r="188" ht="11.25" customHeight="1">
      <c r="A188" s="64"/>
      <c r="B188" s="64"/>
    </row>
    <row r="189" ht="11.25" customHeight="1">
      <c r="A189" s="64"/>
      <c r="B189" s="64"/>
    </row>
    <row r="190" ht="11.25" customHeight="1">
      <c r="A190" s="64"/>
      <c r="B190" s="64"/>
    </row>
    <row r="191" ht="11.25" customHeight="1">
      <c r="A191" s="64"/>
      <c r="B191" s="64"/>
    </row>
    <row r="192" ht="11.25" customHeight="1">
      <c r="A192" s="64"/>
      <c r="B192" s="64"/>
    </row>
    <row r="193" ht="11.25" customHeight="1">
      <c r="A193" s="64"/>
      <c r="B193" s="64"/>
    </row>
    <row r="194" ht="11.25" customHeight="1">
      <c r="A194" s="64"/>
      <c r="B194" s="64"/>
    </row>
    <row r="195" ht="11.25" customHeight="1">
      <c r="A195" s="64"/>
      <c r="B195" s="64"/>
    </row>
    <row r="196" ht="11.25" customHeight="1">
      <c r="A196" s="64"/>
      <c r="B196" s="64"/>
    </row>
    <row r="197" ht="11.25" customHeight="1">
      <c r="A197" s="64"/>
      <c r="B197" s="64"/>
    </row>
    <row r="198" ht="11.25" customHeight="1">
      <c r="A198" s="64"/>
      <c r="B198" s="64"/>
    </row>
    <row r="199" ht="11.25" customHeight="1">
      <c r="A199" s="64"/>
      <c r="B199" s="64"/>
    </row>
    <row r="200" ht="11.25" customHeight="1">
      <c r="A200" s="64"/>
      <c r="B200" s="64"/>
    </row>
    <row r="201" ht="11.25" customHeight="1">
      <c r="A201" s="64"/>
      <c r="B201" s="64"/>
    </row>
    <row r="202" ht="11.25" customHeight="1">
      <c r="A202" s="64"/>
      <c r="B202" s="64"/>
    </row>
    <row r="203" ht="11.25" customHeight="1">
      <c r="A203" s="64"/>
      <c r="B203" s="64"/>
    </row>
    <row r="204" ht="11.25" customHeight="1">
      <c r="A204" s="64"/>
      <c r="B204" s="64"/>
    </row>
    <row r="205" ht="11.25" customHeight="1">
      <c r="A205" s="64"/>
      <c r="B205" s="64"/>
    </row>
    <row r="206" ht="11.25" customHeight="1">
      <c r="A206" s="64"/>
      <c r="B206" s="64"/>
    </row>
    <row r="207" ht="11.25" customHeight="1">
      <c r="A207" s="64"/>
      <c r="B207" s="64"/>
    </row>
    <row r="208" ht="11.25" customHeight="1">
      <c r="A208" s="64"/>
      <c r="B208" s="64"/>
    </row>
    <row r="209" ht="11.25" customHeight="1">
      <c r="A209" s="64"/>
      <c r="B209" s="64"/>
    </row>
    <row r="210" ht="11.25" customHeight="1">
      <c r="A210" s="64"/>
      <c r="B210" s="64"/>
    </row>
    <row r="211" ht="11.25" customHeight="1">
      <c r="A211" s="64"/>
      <c r="B211" s="64"/>
    </row>
    <row r="212" ht="11.25" customHeight="1">
      <c r="A212" s="64"/>
      <c r="B212" s="64"/>
    </row>
    <row r="213" ht="11.25" customHeight="1">
      <c r="A213" s="64"/>
      <c r="B213" s="64"/>
    </row>
    <row r="214" ht="11.25" customHeight="1">
      <c r="A214" s="64"/>
      <c r="B214" s="64"/>
    </row>
    <row r="215" ht="11.25" customHeight="1">
      <c r="A215" s="64"/>
      <c r="B215" s="64"/>
    </row>
    <row r="216" ht="11.25" customHeight="1">
      <c r="A216" s="64"/>
      <c r="B216" s="64"/>
    </row>
    <row r="217" ht="11.25" customHeight="1">
      <c r="A217" s="64"/>
      <c r="B217" s="64"/>
    </row>
    <row r="218" ht="11.25" customHeight="1">
      <c r="A218" s="64"/>
      <c r="B218" s="64"/>
    </row>
    <row r="219" ht="11.25" customHeight="1">
      <c r="A219" s="64"/>
      <c r="B219" s="64"/>
    </row>
    <row r="220" ht="11.25" customHeight="1">
      <c r="A220" s="64"/>
      <c r="B220" s="64"/>
    </row>
    <row r="221" ht="11.25" customHeight="1">
      <c r="A221" s="64"/>
      <c r="B221" s="64"/>
    </row>
    <row r="222" ht="11.25" customHeight="1">
      <c r="A222" s="64"/>
      <c r="B222" s="64"/>
    </row>
    <row r="223" ht="11.25" customHeight="1">
      <c r="A223" s="64"/>
      <c r="B223" s="64"/>
    </row>
    <row r="224" ht="11.25" customHeight="1">
      <c r="A224" s="64"/>
      <c r="B224" s="64"/>
    </row>
    <row r="225" ht="11.25" customHeight="1">
      <c r="A225" s="64"/>
      <c r="B225" s="64"/>
    </row>
    <row r="226" ht="11.25" customHeight="1">
      <c r="A226" s="64"/>
      <c r="B226" s="64"/>
    </row>
    <row r="227" ht="11.25" customHeight="1">
      <c r="A227" s="64"/>
      <c r="B227" s="64"/>
    </row>
    <row r="228" ht="11.25" customHeight="1">
      <c r="A228" s="64"/>
      <c r="B228" s="64"/>
    </row>
    <row r="229" ht="11.25" customHeight="1">
      <c r="A229" s="64"/>
      <c r="B229" s="64"/>
    </row>
    <row r="230" ht="11.25" customHeight="1">
      <c r="A230" s="64"/>
      <c r="B230" s="64"/>
    </row>
    <row r="231" ht="11.25" customHeight="1">
      <c r="A231" s="64"/>
      <c r="B231" s="64"/>
    </row>
    <row r="232" ht="11.25" customHeight="1">
      <c r="A232" s="64"/>
      <c r="B232" s="64"/>
    </row>
    <row r="233" ht="11.25" customHeight="1">
      <c r="A233" s="64"/>
      <c r="B233" s="64"/>
    </row>
    <row r="234" ht="11.25" customHeight="1">
      <c r="A234" s="64"/>
      <c r="B234" s="64"/>
    </row>
    <row r="235" ht="11.25" customHeight="1">
      <c r="A235" s="64"/>
      <c r="B235" s="64"/>
    </row>
    <row r="236" ht="11.25" customHeight="1">
      <c r="A236" s="64"/>
      <c r="B236" s="64"/>
    </row>
    <row r="237" ht="11.25" customHeight="1">
      <c r="A237" s="64"/>
      <c r="B237" s="64"/>
    </row>
    <row r="238" ht="11.25" customHeight="1">
      <c r="A238" s="64"/>
      <c r="B238" s="64"/>
    </row>
    <row r="239" ht="11.25" customHeight="1">
      <c r="A239" s="64"/>
      <c r="B239" s="64"/>
    </row>
    <row r="240" ht="11.25" customHeight="1">
      <c r="A240" s="64"/>
      <c r="B240" s="64"/>
    </row>
    <row r="241" ht="11.25" customHeight="1">
      <c r="A241" s="64"/>
      <c r="B241" s="64"/>
    </row>
    <row r="242" ht="11.25" customHeight="1">
      <c r="A242" s="64"/>
      <c r="B242" s="64"/>
    </row>
    <row r="243" ht="11.25" customHeight="1">
      <c r="A243" s="64"/>
      <c r="B243" s="64"/>
    </row>
    <row r="244" ht="11.25" customHeight="1">
      <c r="A244" s="64"/>
      <c r="B244" s="64"/>
    </row>
    <row r="245" ht="11.25" customHeight="1">
      <c r="A245" s="64"/>
      <c r="B245" s="64"/>
    </row>
    <row r="246" ht="11.25" customHeight="1">
      <c r="A246" s="64"/>
      <c r="B246" s="64"/>
    </row>
    <row r="247" ht="11.25" customHeight="1">
      <c r="A247" s="64"/>
      <c r="B247" s="64"/>
    </row>
    <row r="248" ht="11.25" customHeight="1">
      <c r="A248" s="64"/>
      <c r="B248" s="64"/>
    </row>
    <row r="249" ht="11.25" customHeight="1">
      <c r="A249" s="64"/>
      <c r="B249" s="64"/>
    </row>
    <row r="250" ht="11.25" customHeight="1">
      <c r="A250" s="64"/>
      <c r="B250" s="64"/>
    </row>
    <row r="251" ht="11.25" customHeight="1">
      <c r="A251" s="64"/>
      <c r="B251" s="64"/>
    </row>
    <row r="252" ht="11.25" customHeight="1">
      <c r="A252" s="64"/>
      <c r="B252" s="64"/>
    </row>
    <row r="253" ht="11.25" customHeight="1">
      <c r="A253" s="64"/>
      <c r="B253" s="64"/>
    </row>
  </sheetData>
  <sheetProtection autoFilter="0" deleteColumns="1" deleteRows="1" formatColumns="0" formatRows="0" insertColumns="1" insertRows="1" sheet="1" sort="1"/>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0" width="3.7109375"/>
    <col customWidth="1" min="2" max="2" style="1850" width="90.7109375"/>
    <col min="3" max="4" style="1850" width="9.140625"/>
  </cols>
  <sheetData>
    <row r="1" ht="11.25" customHeight="1">
      <c r="B1" s="93" t="s">
        <v>3679</v>
      </c>
    </row>
    <row r="2" ht="90" customHeight="1">
      <c r="B2" s="94" t="s">
        <v>3680</v>
      </c>
    </row>
    <row r="3" ht="67.5" customHeight="1">
      <c r="B3" s="94" t="s">
        <v>3681</v>
      </c>
    </row>
    <row r="4" ht="33.75" customHeight="1">
      <c r="B4" s="94" t="s">
        <v>3682</v>
      </c>
    </row>
    <row r="5" ht="11.25" customHeight="1">
      <c r="B5" s="94" t="s">
        <v>3683</v>
      </c>
    </row>
    <row r="6" ht="22.5" customHeight="1">
      <c r="B6" s="94" t="s">
        <v>3684</v>
      </c>
    </row>
    <row r="7" ht="22.5" customHeight="1">
      <c r="B7" s="94" t="s">
        <v>3685</v>
      </c>
    </row>
    <row r="8" ht="22.5" customHeight="1">
      <c r="B8" s="94" t="s">
        <v>3686</v>
      </c>
    </row>
    <row r="9" ht="22.5" customHeight="1">
      <c r="B9" s="94" t="s">
        <v>3687</v>
      </c>
    </row>
    <row r="10" ht="56.25" customHeight="1">
      <c r="B10" s="94" t="s">
        <v>3688</v>
      </c>
    </row>
    <row r="11" ht="12.75" customHeight="1">
      <c r="B11" s="159" t="s">
        <v>3689</v>
      </c>
    </row>
    <row r="12" ht="11.25" customHeight="1">
      <c r="B12" s="93" t="s">
        <v>3690</v>
      </c>
    </row>
    <row r="13" ht="22.5" customHeight="1">
      <c r="B13" s="94" t="s">
        <v>3691</v>
      </c>
    </row>
    <row r="14" ht="67.5" customHeight="1">
      <c r="B14" s="94" t="s">
        <v>3692</v>
      </c>
    </row>
    <row r="15" ht="22.5" customHeight="1">
      <c r="B15" s="94" t="s">
        <v>3693</v>
      </c>
    </row>
    <row r="16" ht="11.25" customHeight="1">
      <c r="B16" s="93" t="s">
        <v>3694</v>
      </c>
      <c r="D16" s="100"/>
    </row>
    <row r="17" ht="33.75" customHeight="1">
      <c r="B17" s="94" t="s">
        <v>3695</v>
      </c>
    </row>
    <row r="18" ht="33.75" customHeight="1">
      <c r="B18" s="94" t="s">
        <v>3696</v>
      </c>
    </row>
    <row r="19" ht="11.25" customHeight="1">
      <c r="B19" s="94" t="s">
        <v>3697</v>
      </c>
    </row>
    <row r="20" ht="33.75" customHeight="1">
      <c r="B20" s="94" t="s">
        <v>3698</v>
      </c>
    </row>
    <row r="21" ht="11.25" customHeight="1">
      <c r="B21" s="93" t="s">
        <v>3699</v>
      </c>
    </row>
    <row r="22" ht="11.25" customHeight="1">
      <c r="B22" s="94" t="s">
        <v>3700</v>
      </c>
    </row>
    <row r="24" ht="22.5" customHeight="1">
      <c r="B24" s="161" t="s">
        <v>3701</v>
      </c>
    </row>
    <row r="26" ht="11.25" customHeight="1">
      <c r="B26" s="93" t="s">
        <v>3702</v>
      </c>
    </row>
    <row r="27" ht="22.5" customHeight="1">
      <c r="B27" s="160" t="s">
        <v>400</v>
      </c>
    </row>
    <row r="28" ht="56.25" customHeight="1">
      <c r="B28" s="160" t="s">
        <v>3703</v>
      </c>
    </row>
    <row r="29" ht="11.25" customHeight="1">
      <c r="B29" s="210" t="s">
        <v>3704</v>
      </c>
    </row>
    <row r="30" ht="22.5" customHeight="1">
      <c r="B30" s="160" t="s">
        <v>3705</v>
      </c>
    </row>
    <row r="32" ht="11.25" customHeight="1">
      <c r="A32" s="188"/>
      <c r="B32" s="189" t="s">
        <v>3706</v>
      </c>
    </row>
    <row r="33" ht="14.25" customHeight="1">
      <c r="A33" s="190">
        <v>1</v>
      </c>
      <c r="B33" s="191" t="s">
        <v>3707</v>
      </c>
    </row>
    <row r="34" ht="14.25" customHeight="1">
      <c r="A34" s="190">
        <v>2</v>
      </c>
      <c r="B34" s="191" t="s">
        <v>3708</v>
      </c>
    </row>
    <row r="35" ht="11.25" customHeight="1">
      <c r="B35" s="189" t="s">
        <v>3709</v>
      </c>
    </row>
    <row r="36" ht="11.25" customHeight="1">
      <c r="B36" s="191" t="s">
        <v>3710</v>
      </c>
    </row>
  </sheetData>
  <sheetProtection autoFilter="0" deleteColumns="1" deleteRows="1" insertColumns="1" insertRows="1" sheet="1" sort="1"/>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defaultRowHeight="14.25" customHeight="1"/>
  <cols>
    <col customWidth="1" hidden="1" min="1" max="1" style="1632" width="9.140625"/>
    <col customWidth="1" hidden="1" min="2" max="2" style="1635" width="9.140625"/>
    <col customWidth="1" min="3" max="3" style="1842" width="3.00390625"/>
    <col customWidth="1" min="4" max="4" style="1635" width="5.00390625"/>
    <col customWidth="1" min="5" max="5" style="1635" width="38.00390625"/>
    <col customWidth="1" min="6" max="7" style="1635" width="3.00390625"/>
    <col customWidth="1" min="8" max="8" style="1635" width="38.00390625"/>
    <col customWidth="1" min="9" max="9" style="1635" width="35.00390625"/>
    <col customWidth="1" min="10" max="10" style="1635" width="103.00390625"/>
    <col customWidth="1" min="11" max="11" style="1819" width="3.00390625"/>
    <col customWidth="1" min="12" max="14" style="1642" width="10.00390625"/>
    <col customWidth="1" min="15" max="15" style="1642" width="13.00390625"/>
    <col customWidth="1" min="16" max="16" style="1642" width="15.00390625"/>
    <col customWidth="1" min="17" max="17" style="1642" width="16.00390625"/>
    <col customWidth="1" min="18" max="21" style="1642" width="10.00390625"/>
    <col hidden="1" min="22" max="22" style="1635" width="10.57421875"/>
  </cols>
  <sheetData>
    <row r="1" ht="22.5" hidden="1" customHeight="1">
      <c r="E1" s="412"/>
      <c r="F1" s="412"/>
      <c r="G1" s="412"/>
      <c r="H1" s="2217" t="s">
        <v>356</v>
      </c>
      <c r="I1" s="2217"/>
      <c r="V1" s="1607" t="s">
        <v>14</v>
      </c>
    </row>
    <row r="2" s="1635" customFormat="1" ht="14.25" hidden="1" customHeight="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r="3" s="1635" customFormat="1" ht="14.25" hidden="1" customHeight="1">
      <c r="C3" s="1619"/>
      <c r="D3" s="2234"/>
      <c r="E3" s="2236"/>
      <c r="F3" s="405"/>
      <c r="G3" s="869"/>
      <c r="H3" s="869" t="s">
        <v>387</v>
      </c>
      <c r="I3" s="313"/>
      <c r="L3" s="1622"/>
      <c r="M3" s="1622"/>
      <c r="N3" s="1622"/>
      <c r="O3" s="1622"/>
      <c r="P3" s="1622"/>
      <c r="Q3" s="1622"/>
      <c r="R3" s="1624"/>
      <c r="S3" s="1624"/>
      <c r="T3" s="1622"/>
      <c r="U3" s="1622"/>
      <c r="V3" s="1618">
        <v>0</v>
      </c>
    </row>
    <row r="4" ht="14.25" hidden="1" customHeight="1">
      <c r="V4" s="1607">
        <v>0</v>
      </c>
    </row>
    <row r="5" s="1613" customFormat="1" ht="5.25" customHeight="1">
      <c r="C5" s="701"/>
      <c r="D5" s="702"/>
      <c r="E5" s="702"/>
      <c r="F5" s="702"/>
      <c r="G5" s="702"/>
      <c r="H5" s="702" t="s">
        <v>360</v>
      </c>
      <c r="I5" s="702"/>
      <c r="J5" s="702"/>
      <c r="L5" s="1614"/>
      <c r="M5" s="1614"/>
      <c r="N5" s="1614"/>
      <c r="O5" s="1614"/>
      <c r="P5" s="1614"/>
      <c r="Q5" s="1614"/>
      <c r="R5" s="1614"/>
      <c r="S5" s="1614"/>
      <c r="T5" s="1614"/>
      <c r="U5" s="1614"/>
      <c r="V5" s="1613">
        <v>5</v>
      </c>
    </row>
    <row r="6" ht="29.25" customHeight="1">
      <c r="C6" s="1516"/>
      <c r="D6" s="2237" t="s">
        <v>388</v>
      </c>
      <c r="E6" s="2237"/>
      <c r="F6" s="2237"/>
      <c r="G6" s="2237"/>
      <c r="H6" s="2237"/>
      <c r="I6" s="2237"/>
      <c r="J6" s="491"/>
      <c r="K6" s="1615"/>
      <c r="V6" s="1607">
        <v>28</v>
      </c>
    </row>
    <row r="7" ht="18" customHeight="1">
      <c r="C7" s="1516"/>
      <c r="D7" s="2176" t="str">
        <f>IF(org=0,"Не определено",org)</f>
        <v xml:space="preserve">АО "ДГК"</v>
      </c>
      <c r="E7" s="2176"/>
      <c r="F7" s="2176"/>
      <c r="G7" s="2176"/>
      <c r="H7" s="2176"/>
      <c r="I7" s="2176"/>
      <c r="J7" s="491"/>
      <c r="K7" s="1615"/>
      <c r="V7" s="1607">
        <v>17</v>
      </c>
    </row>
    <row r="8" s="1612" customFormat="1" ht="5.25" customHeight="1">
      <c r="A8" s="1611"/>
      <c r="C8" s="486"/>
      <c r="D8" s="485"/>
      <c r="E8" s="485"/>
      <c r="F8" s="485"/>
      <c r="G8" s="485"/>
      <c r="H8" s="485"/>
      <c r="I8" s="485"/>
      <c r="J8" s="485"/>
      <c r="L8" s="1614"/>
      <c r="M8" s="1614"/>
      <c r="N8" s="1614"/>
      <c r="O8" s="1614"/>
      <c r="P8" s="1614"/>
      <c r="Q8" s="1614"/>
      <c r="R8" s="1614"/>
      <c r="S8" s="1614"/>
      <c r="T8" s="1614"/>
      <c r="U8" s="1614"/>
      <c r="V8" s="1612">
        <v>5</v>
      </c>
    </row>
    <row r="9" s="1612" customFormat="1" ht="5.25" customHeight="1">
      <c r="A9" s="1611"/>
      <c r="C9" s="486"/>
      <c r="D9" s="485"/>
      <c r="E9" s="485"/>
      <c r="F9" s="485"/>
      <c r="G9" s="485"/>
      <c r="H9" s="485"/>
      <c r="I9" s="485"/>
      <c r="J9" s="485"/>
      <c r="L9" s="1622"/>
      <c r="M9" s="1622"/>
      <c r="N9" s="1622"/>
      <c r="O9" s="1622"/>
      <c r="P9" s="1622"/>
      <c r="Q9" s="1622"/>
      <c r="R9" s="1622"/>
      <c r="S9" s="1622"/>
      <c r="T9" s="1622"/>
      <c r="U9" s="1622"/>
      <c r="V9" s="1612">
        <v>5</v>
      </c>
    </row>
    <row r="10" ht="14.65" customHeight="1">
      <c r="C10" s="1516"/>
      <c r="D10" s="2218" t="s">
        <v>304</v>
      </c>
      <c r="E10" s="2219"/>
      <c r="F10" s="2219"/>
      <c r="G10" s="2219"/>
      <c r="H10" s="2219"/>
      <c r="I10" s="2219"/>
      <c r="J10" s="2223" t="s">
        <v>305</v>
      </c>
      <c r="V10" s="1607">
        <v>14</v>
      </c>
    </row>
    <row r="11" ht="27.300000000000001" customHeight="1">
      <c r="C11" s="1516"/>
      <c r="D11" s="2127" t="s">
        <v>88</v>
      </c>
      <c r="E11" s="2223" t="s">
        <v>104</v>
      </c>
      <c r="F11" s="2192" t="s">
        <v>88</v>
      </c>
      <c r="G11" s="2193"/>
      <c r="H11" s="2175" t="s">
        <v>389</v>
      </c>
      <c r="I11" s="2175" t="s">
        <v>390</v>
      </c>
      <c r="J11" s="2223"/>
      <c r="V11" s="1607">
        <v>26</v>
      </c>
    </row>
    <row r="12" ht="14.65" customHeight="1">
      <c r="C12" s="1516"/>
      <c r="D12" s="2127"/>
      <c r="E12" s="2223"/>
      <c r="F12" s="2200"/>
      <c r="G12" s="2201"/>
      <c r="H12" s="2232"/>
      <c r="I12" s="2232"/>
      <c r="J12" s="2223"/>
      <c r="V12" s="1607">
        <v>14</v>
      </c>
    </row>
    <row r="13" s="1641" customFormat="1" ht="11.25" hidden="1" customHeight="1">
      <c r="C13" s="498"/>
      <c r="D13" s="499" t="s">
        <v>380</v>
      </c>
      <c r="E13" s="499"/>
      <c r="F13" s="499"/>
      <c r="G13" s="499"/>
      <c r="H13" s="497"/>
      <c r="I13" s="497"/>
      <c r="J13" s="435"/>
      <c r="L13" s="1614"/>
      <c r="M13" s="1614"/>
      <c r="N13" s="1614"/>
      <c r="O13" s="1614"/>
      <c r="P13" s="1614"/>
      <c r="Q13" s="1614"/>
      <c r="R13" s="1614"/>
      <c r="S13" s="1614"/>
      <c r="T13" s="1614"/>
      <c r="U13" s="1614"/>
      <c r="V13" s="496">
        <v>0</v>
      </c>
    </row>
    <row r="14" ht="14.65" customHeight="1">
      <c r="A14" s="1607"/>
      <c r="C14" s="1516"/>
      <c r="D14" s="2233" t="s">
        <v>108</v>
      </c>
      <c r="E14" s="2235"/>
      <c r="F14" s="1617"/>
      <c r="G14" s="1616" t="s">
        <v>108</v>
      </c>
      <c r="H14" s="1623"/>
      <c r="I14" s="1621"/>
      <c r="J14" s="2169" t="s">
        <v>391</v>
      </c>
      <c r="K14" s="1607"/>
      <c r="R14" s="500" t="s">
        <v>385</v>
      </c>
      <c r="S14" s="500" t="s">
        <v>385</v>
      </c>
      <c r="V14" s="1607">
        <v>14</v>
      </c>
    </row>
    <row r="15" ht="14.65" customHeight="1">
      <c r="A15" s="1607"/>
      <c r="C15" s="1516"/>
      <c r="D15" s="2234"/>
      <c r="E15" s="2236"/>
      <c r="F15" s="405"/>
      <c r="G15" s="869"/>
      <c r="H15" s="869" t="s">
        <v>387</v>
      </c>
      <c r="I15" s="313"/>
      <c r="J15" s="2170"/>
      <c r="K15" s="1607"/>
      <c r="R15" s="500"/>
      <c r="S15" s="500"/>
      <c r="V15" s="1607">
        <v>14</v>
      </c>
    </row>
    <row r="16" ht="14.65" customHeight="1">
      <c r="A16" s="1607"/>
      <c r="C16" s="1516"/>
      <c r="D16" s="405"/>
      <c r="E16" s="869" t="s">
        <v>120</v>
      </c>
      <c r="F16" s="313"/>
      <c r="G16" s="313"/>
      <c r="H16" s="406"/>
      <c r="I16" s="406"/>
      <c r="J16" s="2171"/>
      <c r="K16" s="1607"/>
      <c r="V16" s="1607">
        <v>14</v>
      </c>
    </row>
    <row r="17" ht="14.65" customHeight="1">
      <c r="K17" s="1607"/>
      <c r="V17" s="1607">
        <v>14</v>
      </c>
    </row>
    <row r="18" ht="22.5" hidden="1" customHeight="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autoFilter="0" deleteColumns="1" deleteRows="1" formatColumns="0" formatRows="0" insertColumns="1" insertRows="1" sheet="1" sort="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61002D-0055-44E9-B889-009F005F001F}"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F90005-002A-4775-BF35-001700EB000B}"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940075-004F-4D00-A14E-009E00710054}"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